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colinpannikkat/Documents/schoolwork/FEL/garisom/03_test_data/fremont-poplar-data/data/"/>
    </mc:Choice>
  </mc:AlternateContent>
  <xr:revisionPtr revIDLastSave="0" documentId="13_ncr:1_{214A6B2E-AB2C-7644-B9C8-1978C1730D0D}" xr6:coauthVersionLast="47" xr6:coauthVersionMax="47" xr10:uidLastSave="{00000000-0000-0000-0000-000000000000}"/>
  <bookViews>
    <workbookView xWindow="41120" yWindow="-18280" windowWidth="33600" windowHeight="37300" activeTab="1" xr2:uid="{EFC7ED9C-9CC9-4939-91D4-CCE385A341BA}"/>
  </bookViews>
  <sheets>
    <sheet name="Two methods" sheetId="1" r:id="rId1"/>
    <sheet name="Tin method" sheetId="2" r:id="rId2"/>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c r="N2" i="2" s="1"/>
  <c r="W3" i="2"/>
  <c r="W4" i="2"/>
  <c r="W5" i="2"/>
  <c r="W6" i="2"/>
  <c r="W7" i="2"/>
  <c r="W8" i="2"/>
  <c r="W9" i="2"/>
  <c r="W2" i="2"/>
  <c r="V3" i="2"/>
  <c r="V4" i="2"/>
  <c r="V5" i="2"/>
  <c r="V6" i="2"/>
  <c r="V7" i="2"/>
  <c r="V8" i="2"/>
  <c r="V9" i="2"/>
  <c r="V2" i="2"/>
  <c r="U3" i="2"/>
  <c r="U4" i="2"/>
  <c r="U5" i="2"/>
  <c r="U6" i="2"/>
  <c r="U7" i="2"/>
  <c r="U8" i="2"/>
  <c r="U9" i="2"/>
  <c r="U2" i="2"/>
  <c r="W12" i="2"/>
  <c r="Q9" i="2"/>
  <c r="Q8" i="2"/>
  <c r="Q7" i="2"/>
  <c r="Q6" i="2"/>
  <c r="Q5" i="2"/>
  <c r="Q4" i="2"/>
  <c r="Q3" i="2"/>
  <c r="Q2" i="2"/>
  <c r="M9" i="2"/>
  <c r="N9" i="2" s="1"/>
  <c r="M8" i="2"/>
  <c r="N8" i="2" s="1"/>
  <c r="R8" i="2" s="1"/>
  <c r="M7" i="2"/>
  <c r="N7" i="2" s="1"/>
  <c r="R7" i="2" s="1"/>
  <c r="M6" i="2"/>
  <c r="N6" i="2" s="1"/>
  <c r="R6" i="2" s="1"/>
  <c r="N5" i="2"/>
  <c r="O5" i="2" s="1"/>
  <c r="P5" i="2" s="1"/>
  <c r="M5" i="2"/>
  <c r="M4" i="2"/>
  <c r="N4" i="2" s="1"/>
  <c r="R4" i="2" s="1"/>
  <c r="M3" i="2"/>
  <c r="N3" i="2" s="1"/>
  <c r="R3" i="2" s="1"/>
  <c r="AE20" i="1"/>
  <c r="AE8" i="1"/>
  <c r="AE21" i="1"/>
  <c r="AE22" i="1"/>
  <c r="AE23" i="1"/>
  <c r="AE24" i="1"/>
  <c r="AE25" i="1"/>
  <c r="AE26" i="1"/>
  <c r="AE27" i="1"/>
  <c r="X20" i="1"/>
  <c r="W20" i="1"/>
  <c r="S21" i="1"/>
  <c r="T14" i="1"/>
  <c r="T13" i="1"/>
  <c r="AC20" i="1"/>
  <c r="AC8" i="1"/>
  <c r="Q20" i="1"/>
  <c r="H11" i="1"/>
  <c r="G11" i="1"/>
  <c r="H10" i="1"/>
  <c r="G10" i="1"/>
  <c r="H9" i="1"/>
  <c r="G9" i="1"/>
  <c r="H8" i="1"/>
  <c r="G8" i="1"/>
  <c r="G21" i="1"/>
  <c r="H21" i="1"/>
  <c r="G22" i="1"/>
  <c r="H22" i="1"/>
  <c r="G23" i="1"/>
  <c r="H23" i="1"/>
  <c r="G24" i="1"/>
  <c r="H24" i="1"/>
  <c r="G25" i="1"/>
  <c r="H25" i="1"/>
  <c r="G26" i="1"/>
  <c r="H26" i="1"/>
  <c r="G27" i="1"/>
  <c r="H27" i="1"/>
  <c r="H20" i="1"/>
  <c r="G20" i="1"/>
  <c r="I9" i="1" a="1"/>
  <c r="I27" i="1" a="1"/>
  <c r="I26" i="1" a="1"/>
  <c r="I11" i="1" a="1"/>
  <c r="I10" i="1" a="1"/>
  <c r="I25" i="1" a="1"/>
  <c r="I20" i="1" a="1"/>
  <c r="I8" i="1" a="1"/>
  <c r="I23" i="1" a="1"/>
  <c r="I21" i="1" a="1"/>
  <c r="I24" i="1" a="1"/>
  <c r="I22" i="1" a="1"/>
  <c r="O8" i="2" l="1"/>
  <c r="P8" i="2" s="1"/>
  <c r="O2" i="2"/>
  <c r="P2" i="2" s="1"/>
  <c r="R2" i="2"/>
  <c r="O4" i="2"/>
  <c r="P4" i="2" s="1"/>
  <c r="U11" i="2"/>
  <c r="V11" i="2"/>
  <c r="R5" i="2"/>
  <c r="O9" i="2"/>
  <c r="P9" i="2" s="1"/>
  <c r="R9" i="2"/>
  <c r="O7" i="2"/>
  <c r="P7" i="2" s="1"/>
  <c r="O3" i="2"/>
  <c r="P3" i="2" s="1"/>
  <c r="V12" i="2"/>
  <c r="O6" i="2"/>
  <c r="P6" i="2" s="1"/>
  <c r="P12" i="2" s="1"/>
  <c r="Q12" i="2"/>
  <c r="W11" i="2"/>
  <c r="U12" i="2"/>
  <c r="Q11" i="2"/>
  <c r="I9" i="1"/>
  <c r="I10" i="1"/>
  <c r="I11" i="1"/>
  <c r="I8" i="1"/>
  <c r="I24" i="1"/>
  <c r="I27" i="1"/>
  <c r="I22" i="1"/>
  <c r="I26" i="1"/>
  <c r="I23" i="1"/>
  <c r="I25" i="1"/>
  <c r="I21" i="1"/>
  <c r="I20" i="1"/>
  <c r="R12" i="2" l="1"/>
  <c r="P11" i="2"/>
  <c r="R11" i="2"/>
  <c r="AC27" i="1"/>
  <c r="AC26" i="1"/>
  <c r="AC25" i="1"/>
  <c r="AC24" i="1"/>
  <c r="AC23" i="1"/>
  <c r="AC22" i="1"/>
  <c r="AC21" i="1"/>
  <c r="AC9" i="1"/>
  <c r="AC10" i="1"/>
  <c r="AC11" i="1"/>
  <c r="P21" i="1"/>
  <c r="Q21" i="1"/>
  <c r="W21" i="1" s="1"/>
  <c r="R21" i="1"/>
  <c r="AD21" i="1" s="1"/>
  <c r="P22" i="1"/>
  <c r="Q22" i="1"/>
  <c r="R22" i="1"/>
  <c r="AD22" i="1" s="1"/>
  <c r="P23" i="1"/>
  <c r="Q23" i="1"/>
  <c r="R23" i="1"/>
  <c r="S23" i="1"/>
  <c r="T23" i="1" s="1"/>
  <c r="U23" i="1" s="1"/>
  <c r="V23" i="1" s="1"/>
  <c r="P24" i="1"/>
  <c r="Q24" i="1"/>
  <c r="R24" i="1"/>
  <c r="AD24" i="1" s="1"/>
  <c r="P25" i="1"/>
  <c r="Q25" i="1"/>
  <c r="R25" i="1"/>
  <c r="AD25" i="1" s="1"/>
  <c r="S25" i="1"/>
  <c r="T25" i="1" s="1"/>
  <c r="U25" i="1" s="1"/>
  <c r="V25" i="1" s="1"/>
  <c r="P26" i="1"/>
  <c r="Q26" i="1"/>
  <c r="R26" i="1"/>
  <c r="AD26" i="1" s="1"/>
  <c r="P27" i="1"/>
  <c r="Q27" i="1"/>
  <c r="S27" i="1" s="1"/>
  <c r="T27" i="1" s="1"/>
  <c r="R27" i="1"/>
  <c r="AD27" i="1" s="1"/>
  <c r="O8" i="1"/>
  <c r="S8" i="1" s="1"/>
  <c r="R20" i="1"/>
  <c r="P20" i="1"/>
  <c r="V9" i="1"/>
  <c r="V10" i="1"/>
  <c r="V11" i="1"/>
  <c r="O9" i="1"/>
  <c r="P9" i="1" s="1"/>
  <c r="O10" i="1"/>
  <c r="S10" i="1" s="1"/>
  <c r="O11" i="1"/>
  <c r="P11" i="1" s="1"/>
  <c r="K9" i="1"/>
  <c r="K10" i="1"/>
  <c r="AD10" i="1" s="1"/>
  <c r="K11" i="1"/>
  <c r="AE11" i="1" s="1"/>
  <c r="K8" i="1"/>
  <c r="AD8" i="1" s="1"/>
  <c r="U8" i="1"/>
  <c r="V8" i="1" s="1"/>
  <c r="AC13" i="1" l="1"/>
  <c r="AB20" i="1" s="1"/>
  <c r="T11" i="1"/>
  <c r="S20" i="1"/>
  <c r="T20" i="1" s="1"/>
  <c r="AD20" i="1"/>
  <c r="AD29" i="1" s="1"/>
  <c r="W23" i="1"/>
  <c r="AD23" i="1"/>
  <c r="W24" i="1"/>
  <c r="Q9" i="1"/>
  <c r="R9" i="1" s="1"/>
  <c r="S26" i="1"/>
  <c r="T26" i="1" s="1"/>
  <c r="U26" i="1" s="1"/>
  <c r="V26" i="1" s="1"/>
  <c r="W25" i="1"/>
  <c r="AE30" i="1"/>
  <c r="AE10" i="1"/>
  <c r="U20" i="1"/>
  <c r="V20" i="1" s="1"/>
  <c r="U27" i="1"/>
  <c r="V27" i="1" s="1"/>
  <c r="X27" i="1"/>
  <c r="X23" i="1"/>
  <c r="S22" i="1"/>
  <c r="T22" i="1" s="1"/>
  <c r="W27" i="1"/>
  <c r="AE9" i="1"/>
  <c r="S24" i="1"/>
  <c r="T24" i="1" s="1"/>
  <c r="AD11" i="1"/>
  <c r="W26" i="1"/>
  <c r="W22" i="1"/>
  <c r="X25" i="1"/>
  <c r="T21" i="1"/>
  <c r="AC29" i="1"/>
  <c r="P8" i="1"/>
  <c r="Z8" i="1" s="1"/>
  <c r="AB25" i="1"/>
  <c r="AB21" i="1"/>
  <c r="AB26" i="1"/>
  <c r="AB24" i="1"/>
  <c r="AB23" i="1"/>
  <c r="AB27" i="1"/>
  <c r="AE29" i="1"/>
  <c r="AD9" i="1"/>
  <c r="AC30" i="1"/>
  <c r="Q8" i="1"/>
  <c r="R8" i="1" s="1"/>
  <c r="Z9" i="1"/>
  <c r="Z11" i="1"/>
  <c r="T9" i="1"/>
  <c r="T8" i="1"/>
  <c r="W9" i="1"/>
  <c r="X9" i="1" s="1"/>
  <c r="W11" i="1"/>
  <c r="S9" i="1"/>
  <c r="P10" i="1"/>
  <c r="T10" i="1" s="1"/>
  <c r="S11" i="1"/>
  <c r="Q11" i="1"/>
  <c r="R11" i="1" s="1"/>
  <c r="AB22" i="1" l="1"/>
  <c r="AD13" i="1"/>
  <c r="AD30" i="1"/>
  <c r="X26" i="1"/>
  <c r="W8" i="1"/>
  <c r="X8" i="1" s="1"/>
  <c r="Y8" i="1" s="1"/>
  <c r="U21" i="1"/>
  <c r="V21" i="1" s="1"/>
  <c r="X21" i="1"/>
  <c r="AD14" i="1"/>
  <c r="U22" i="1"/>
  <c r="V22" i="1" s="1"/>
  <c r="X22" i="1"/>
  <c r="W30" i="1"/>
  <c r="W29" i="1"/>
  <c r="U24" i="1"/>
  <c r="V24" i="1" s="1"/>
  <c r="X24" i="1"/>
  <c r="Q10" i="1"/>
  <c r="R10" i="1" s="1"/>
  <c r="Z10" i="1"/>
  <c r="Z13" i="1" s="1"/>
  <c r="W10" i="1"/>
  <c r="Y9" i="1"/>
  <c r="X11" i="1"/>
  <c r="Y11" i="1" s="1"/>
  <c r="Z14" i="1" l="1"/>
  <c r="V30" i="1"/>
  <c r="X30" i="1"/>
  <c r="X29" i="1"/>
  <c r="V29" i="1"/>
  <c r="X10" i="1"/>
  <c r="Y1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 Koepke</author>
    <author/>
  </authors>
  <commentList>
    <comment ref="G7" authorId="0" shapeId="0" xr:uid="{3A4FE919-140E-4494-9423-EFF441FA748D}">
      <text>
        <r>
          <rPr>
            <b/>
            <sz val="9"/>
            <color indexed="81"/>
            <rFont val="Tahoma"/>
            <family val="2"/>
          </rPr>
          <t>Dan Koepke:</t>
        </r>
        <r>
          <rPr>
            <sz val="9"/>
            <color indexed="81"/>
            <rFont val="Tahoma"/>
            <family val="2"/>
          </rPr>
          <t xml:space="preserve">
source site elevation (m)</t>
        </r>
      </text>
    </comment>
    <comment ref="J7" authorId="0" shapeId="0" xr:uid="{B062426B-0DBC-4C0B-9562-027A6E35D8DF}">
      <text>
        <r>
          <rPr>
            <b/>
            <sz val="9"/>
            <color indexed="81"/>
            <rFont val="Tahoma"/>
            <family val="2"/>
          </rPr>
          <t>Dan Koepke:</t>
        </r>
        <r>
          <rPr>
            <sz val="9"/>
            <color indexed="81"/>
            <rFont val="Tahoma"/>
            <family val="2"/>
          </rPr>
          <t xml:space="preserve">
The height measured in the pot, using a ruler and tapping to the base of the pot. It is the depth of the soil in the pot.
We assumed that the pvc tube, when pounded into the soil, would have the approximate same depth or height. That was not really the case, so another height was measured in the pvc tube (SoilTubeHeight.cm).</t>
        </r>
      </text>
    </comment>
    <comment ref="K7" authorId="0" shapeId="0" xr:uid="{9FDA14C3-FFC0-4A44-992A-431366A0213F}">
      <text>
        <r>
          <rPr>
            <b/>
            <sz val="9"/>
            <color indexed="81"/>
            <rFont val="Tahoma"/>
            <family val="2"/>
          </rPr>
          <t>Dan Koepke:</t>
        </r>
        <r>
          <rPr>
            <sz val="9"/>
            <color indexed="81"/>
            <rFont val="Tahoma"/>
            <family val="2"/>
          </rPr>
          <t xml:space="preserve">
volume of the soil core
 = Vtotal, or total soil vol
V=(Pi)(r^2)h
ID of core = 5.175 cm
This uses the h = SoilHeight.cm</t>
        </r>
      </text>
    </comment>
    <comment ref="L7" authorId="0" shapeId="0" xr:uid="{80BC3D75-5286-4F71-995D-CD170ADDE8BB}">
      <text>
        <r>
          <rPr>
            <b/>
            <sz val="9"/>
            <color indexed="81"/>
            <rFont val="Tahoma"/>
            <family val="2"/>
          </rPr>
          <t>Dan Koepke:</t>
        </r>
        <r>
          <rPr>
            <sz val="9"/>
            <color indexed="81"/>
            <rFont val="Tahoma"/>
            <family val="2"/>
          </rPr>
          <t xml:space="preserve">
Yes - the roots remained in the core sampled and were not removed. Bulk soil density includes roots.
No - roots were removed for root length density</t>
        </r>
      </text>
    </comment>
    <comment ref="M7" authorId="0" shapeId="0" xr:uid="{B5DDB4C9-1B6D-49C8-8595-90137069D114}">
      <text>
        <r>
          <rPr>
            <b/>
            <sz val="9"/>
            <color indexed="81"/>
            <rFont val="Tahoma"/>
            <family val="2"/>
          </rPr>
          <t>Dan Koepke:</t>
        </r>
        <r>
          <rPr>
            <sz val="9"/>
            <color indexed="81"/>
            <rFont val="Tahoma"/>
            <family val="2"/>
          </rPr>
          <t xml:space="preserve">
Saturated soil wght</t>
        </r>
      </text>
    </comment>
    <comment ref="N7" authorId="0" shapeId="0" xr:uid="{03CB3EAF-B4A7-4950-958C-9421007D7FDE}">
      <text>
        <r>
          <rPr>
            <b/>
            <sz val="9"/>
            <color indexed="81"/>
            <rFont val="Tahoma"/>
            <family val="2"/>
          </rPr>
          <t>Dan Koepke:</t>
        </r>
        <r>
          <rPr>
            <sz val="9"/>
            <color indexed="81"/>
            <rFont val="Tahoma"/>
            <family val="2"/>
          </rPr>
          <t xml:space="preserve">
Soil oven-dry wght.
75C for 48 hr or more</t>
        </r>
      </text>
    </comment>
    <comment ref="O7" authorId="0" shapeId="0" xr:uid="{D28F2C32-87DB-4832-83A5-0A5F637036AF}">
      <text>
        <r>
          <rPr>
            <b/>
            <sz val="9"/>
            <color indexed="81"/>
            <rFont val="Tahoma"/>
            <family val="2"/>
          </rPr>
          <t>Dan Koepke:</t>
        </r>
        <r>
          <rPr>
            <sz val="9"/>
            <color indexed="81"/>
            <rFont val="Tahoma"/>
            <family val="2"/>
          </rPr>
          <t xml:space="preserve">
mass of water in sat soil
  = (SoilWetWght.g)-(SoilDryWght.g)</t>
        </r>
      </text>
    </comment>
    <comment ref="P7" authorId="0" shapeId="0" xr:uid="{C41EA084-60B6-4198-8447-38A34EC0BAEE}">
      <text>
        <r>
          <rPr>
            <b/>
            <sz val="9"/>
            <color indexed="81"/>
            <rFont val="Tahoma"/>
            <family val="2"/>
          </rPr>
          <t>Dan Koepke:</t>
        </r>
        <r>
          <rPr>
            <sz val="9"/>
            <color indexed="81"/>
            <rFont val="Tahoma"/>
            <family val="2"/>
          </rPr>
          <t xml:space="preserve">
Vwater = (mass of water)*(cm3/g)
          = (Water.g)*(cm3/g)
          = void space, or Vvoids</t>
        </r>
      </text>
    </comment>
    <comment ref="R7" authorId="0" shapeId="0" xr:uid="{770C1125-88C3-4DF4-B248-3B2B82D052F7}">
      <text>
        <r>
          <rPr>
            <b/>
            <sz val="9"/>
            <color indexed="81"/>
            <rFont val="Tahoma"/>
            <family val="2"/>
          </rPr>
          <t>Dan Koepke:</t>
        </r>
        <r>
          <rPr>
            <sz val="9"/>
            <color indexed="81"/>
            <rFont val="Tahoma"/>
            <family val="2"/>
          </rPr>
          <t xml:space="preserve">
Porosity = [(total vol)-(vol of solid)]/(total vol)
            = (Vtotal - Vsolid)/Vtotal
Vtotal = vol of soil in core = Vol.cm3
Vsolid = Vtotal - vol of water = Vtotal - Vwater
Vwater = (mass of water)*(cm3/g)
mass of water = wet wght = Water.g</t>
        </r>
      </text>
    </comment>
    <comment ref="S7" authorId="0" shapeId="0" xr:uid="{68AD3FCA-2E9F-43AF-88A8-50E3351F37E6}">
      <text>
        <r>
          <rPr>
            <b/>
            <sz val="9"/>
            <color indexed="81"/>
            <rFont val="Tahoma"/>
            <family val="2"/>
          </rPr>
          <t>Dan Koepke:</t>
        </r>
        <r>
          <rPr>
            <sz val="9"/>
            <color indexed="81"/>
            <rFont val="Tahoma"/>
            <family val="2"/>
          </rPr>
          <t xml:space="preserve">
SWC = soil water content     
       = (wet wght -dry wght)/(dry wght)
       = (SoilWetWght.g - SoilDryWght.g)/SoilDryWght.g
       = Water.g/SoilDryWght.g</t>
        </r>
      </text>
    </comment>
    <comment ref="U7" authorId="0" shapeId="0" xr:uid="{89442D1B-1179-49D9-8F51-171B712A8804}">
      <text>
        <r>
          <rPr>
            <b/>
            <sz val="9"/>
            <color indexed="81"/>
            <rFont val="Tahoma"/>
            <family val="2"/>
          </rPr>
          <t>Dan Koepke:</t>
        </r>
        <r>
          <rPr>
            <sz val="9"/>
            <color indexed="81"/>
            <rFont val="Tahoma"/>
            <family val="2"/>
          </rPr>
          <t xml:space="preserve">
Height of soil in pvc tube, after pounding the pvc into the soil. The soil heoght seemed to change from the h measurement taken in the pot.
</t>
        </r>
      </text>
    </comment>
    <comment ref="I8" authorId="1" shapeId="0" xr:uid="{E5C69744-981D-4CC0-A1C0-CC361A92F089}">
      <text>
        <r>
          <rPr>
            <sz val="11"/>
            <color theme="1"/>
            <rFont val="Calibri"/>
            <family val="2"/>
            <scheme val="minor"/>
          </rPr>
          <t>======
ID#AAAA3FkHthw
Dan Koepke    (2023-08-18 09:04:20)
https://www.ablebits.com/office-addins-blog/excel-extract-number-from-string/#:~:text=Select%20all%20cells%20with%20the,leave%20it%20unselected%20(default).</t>
        </r>
      </text>
    </comment>
    <comment ref="D19" authorId="0" shapeId="0" xr:uid="{36E143FA-377F-4626-BE2E-0AFB7305490E}">
      <text>
        <r>
          <rPr>
            <b/>
            <sz val="9"/>
            <color indexed="81"/>
            <rFont val="Tahoma"/>
            <family val="2"/>
          </rPr>
          <t>Dan Koepke:</t>
        </r>
        <r>
          <rPr>
            <sz val="9"/>
            <color indexed="81"/>
            <rFont val="Tahoma"/>
            <family val="2"/>
          </rPr>
          <t xml:space="preserve">
Each pot with a plant had a unique number, ranging from 1 to 90</t>
        </r>
      </text>
    </comment>
    <comment ref="G19" authorId="0" shapeId="0" xr:uid="{749D065D-B0EA-42D1-873B-396EFFC8488A}">
      <text>
        <r>
          <rPr>
            <b/>
            <sz val="9"/>
            <color indexed="81"/>
            <rFont val="Tahoma"/>
            <family val="2"/>
          </rPr>
          <t>Dan Koepke:</t>
        </r>
        <r>
          <rPr>
            <sz val="9"/>
            <color indexed="81"/>
            <rFont val="Tahoma"/>
            <family val="2"/>
          </rPr>
          <t xml:space="preserve">
source site elevation (m)</t>
        </r>
      </text>
    </comment>
    <comment ref="J19" authorId="0" shapeId="0" xr:uid="{B50117C9-E035-440F-81E2-F804F7CCA366}">
      <text>
        <r>
          <rPr>
            <b/>
            <sz val="9"/>
            <color indexed="81"/>
            <rFont val="Tahoma"/>
            <family val="2"/>
          </rPr>
          <t>Dan Koepke:</t>
        </r>
        <r>
          <rPr>
            <sz val="9"/>
            <color indexed="81"/>
            <rFont val="Tahoma"/>
            <family val="2"/>
          </rPr>
          <t xml:space="preserve">
Includes both the cover + the container</t>
        </r>
      </text>
    </comment>
    <comment ref="K19" authorId="0" shapeId="0" xr:uid="{0146714B-8667-49A0-995E-802AC764D8B6}">
      <text>
        <r>
          <rPr>
            <b/>
            <sz val="9"/>
            <color indexed="81"/>
            <rFont val="Tahoma"/>
            <family val="2"/>
          </rPr>
          <t>Dan Koepke:</t>
        </r>
        <r>
          <rPr>
            <sz val="9"/>
            <color indexed="81"/>
            <rFont val="Tahoma"/>
            <family val="2"/>
          </rPr>
          <t xml:space="preserve">
volume of the soil core
 = Vtotal, or total soil vol
V=(Pi)(r^2)h
ID of core = 5.175 cm
This uses the h = SoilHeight.cm
Tin method:
Soil tin volume = 8 fluid oz = 236.588 ml
This is to the rim / top of the container</t>
        </r>
      </text>
    </comment>
    <comment ref="L19" authorId="0" shapeId="0" xr:uid="{4E75F86B-5254-4138-9137-40758BA300C2}">
      <text>
        <r>
          <rPr>
            <b/>
            <sz val="9"/>
            <color indexed="81"/>
            <rFont val="Tahoma"/>
            <family val="2"/>
          </rPr>
          <t>Dan Koepke:</t>
        </r>
        <r>
          <rPr>
            <sz val="9"/>
            <color indexed="81"/>
            <rFont val="Tahoma"/>
            <family val="2"/>
          </rPr>
          <t xml:space="preserve">
Yes - the roots remained in the core sampled and were not removed. Bulk soil density includes roots.
No - roots were removed for root length density</t>
        </r>
      </text>
    </comment>
    <comment ref="M19" authorId="0" shapeId="0" xr:uid="{90820120-2C15-4A69-BB71-3063013A8C59}">
      <text>
        <r>
          <rPr>
            <b/>
            <sz val="9"/>
            <color indexed="81"/>
            <rFont val="Tahoma"/>
            <family val="2"/>
          </rPr>
          <t>Dan Koepke:</t>
        </r>
        <r>
          <rPr>
            <sz val="9"/>
            <color indexed="81"/>
            <rFont val="Tahoma"/>
            <family val="2"/>
          </rPr>
          <t xml:space="preserve">
Fresh, oven-dry, &amp; saturated wght includes 1) soil, 2) tin container, 3) tin cover
"Fresh.g" is the wght after taking the soil sample, but before adding water to saturate it.</t>
        </r>
      </text>
    </comment>
    <comment ref="N19" authorId="0" shapeId="0" xr:uid="{340DCDCD-1A2F-4E46-B6AC-FA1091ECDC0A}">
      <text>
        <r>
          <rPr>
            <b/>
            <sz val="9"/>
            <color indexed="81"/>
            <rFont val="Tahoma"/>
            <family val="2"/>
          </rPr>
          <t>Dan Koepke:</t>
        </r>
        <r>
          <rPr>
            <sz val="9"/>
            <color indexed="81"/>
            <rFont val="Tahoma"/>
            <family val="2"/>
          </rPr>
          <t xml:space="preserve">
Fresh, oven-dry, &amp; saturated wght includes 1) soil, 2) tin container, 3) tin cover
"Saturated.g" is the wght after adding water to the tin to saturate it, then gravity-drain it by turning it upside down with a paper towel over the top. </t>
        </r>
      </text>
    </comment>
    <comment ref="O19" authorId="0" shapeId="0" xr:uid="{D65FB07E-ED38-4FD9-A9C7-0E7A00153A88}">
      <text>
        <r>
          <rPr>
            <b/>
            <sz val="9"/>
            <color indexed="81"/>
            <rFont val="Tahoma"/>
            <family val="2"/>
          </rPr>
          <t>Dan Koepke:</t>
        </r>
        <r>
          <rPr>
            <sz val="9"/>
            <color indexed="81"/>
            <rFont val="Tahoma"/>
            <family val="2"/>
          </rPr>
          <t xml:space="preserve">
Fresh, oven-dry, &amp; saturated wght includes 1) soil, 2) tin container, 3) tin cover
"Dry.g" is the soil oven-dry wght.
75C for 48 hr or more</t>
        </r>
      </text>
    </comment>
    <comment ref="P19" authorId="0" shapeId="0" xr:uid="{1865443F-9458-45B8-B35D-78005A81F28F}">
      <text>
        <r>
          <rPr>
            <b/>
            <sz val="9"/>
            <color indexed="81"/>
            <rFont val="Tahoma"/>
            <family val="2"/>
          </rPr>
          <t>Dan Koepke:</t>
        </r>
        <r>
          <rPr>
            <sz val="9"/>
            <color indexed="81"/>
            <rFont val="Tahoma"/>
            <family val="2"/>
          </rPr>
          <t xml:space="preserve">
Fresh wght of soil.
Fresh.g - Tin.Wght.g</t>
        </r>
      </text>
    </comment>
    <comment ref="Q19" authorId="0" shapeId="0" xr:uid="{EA712B2F-6839-4780-9B0F-BC0B5EBF164F}">
      <text>
        <r>
          <rPr>
            <b/>
            <sz val="9"/>
            <color indexed="81"/>
            <rFont val="Tahoma"/>
            <family val="2"/>
          </rPr>
          <t>Dan Koepke:</t>
        </r>
        <r>
          <rPr>
            <sz val="9"/>
            <color indexed="81"/>
            <rFont val="Tahoma"/>
            <family val="2"/>
          </rPr>
          <t xml:space="preserve">
Saturated soil wght
Sat wght of soil.
Saturated.g - Tin.Wght.g</t>
        </r>
      </text>
    </comment>
    <comment ref="R19" authorId="0" shapeId="0" xr:uid="{949230A7-EC98-44BF-863A-052686E2839B}">
      <text>
        <r>
          <rPr>
            <b/>
            <sz val="9"/>
            <color indexed="81"/>
            <rFont val="Tahoma"/>
            <family val="2"/>
          </rPr>
          <t>Dan Koepke:</t>
        </r>
        <r>
          <rPr>
            <sz val="9"/>
            <color indexed="81"/>
            <rFont val="Tahoma"/>
            <family val="2"/>
          </rPr>
          <t xml:space="preserve">
Soil oven-dry wght.
75C for 48 hr or more
Dry.g - Tin.Wght.g</t>
        </r>
      </text>
    </comment>
    <comment ref="S19" authorId="0" shapeId="0" xr:uid="{3370789D-6D74-47F6-8294-8E9712C65F1F}">
      <text>
        <r>
          <rPr>
            <b/>
            <sz val="9"/>
            <color indexed="81"/>
            <rFont val="Tahoma"/>
            <family val="2"/>
          </rPr>
          <t>Dan Koepke:</t>
        </r>
        <r>
          <rPr>
            <sz val="9"/>
            <color indexed="81"/>
            <rFont val="Tahoma"/>
            <family val="2"/>
          </rPr>
          <t xml:space="preserve">
mass of water in sat soil
  = (SoilWetWght.g)-(SoilDryWght.g)</t>
        </r>
      </text>
    </comment>
    <comment ref="T19" authorId="0" shapeId="0" xr:uid="{1ED82A8F-F9CF-4CE5-8CA2-AA78959A4E4B}">
      <text>
        <r>
          <rPr>
            <b/>
            <sz val="9"/>
            <color indexed="81"/>
            <rFont val="Tahoma"/>
            <family val="2"/>
          </rPr>
          <t>Dan Koepke:</t>
        </r>
        <r>
          <rPr>
            <sz val="9"/>
            <color indexed="81"/>
            <rFont val="Tahoma"/>
            <family val="2"/>
          </rPr>
          <t xml:space="preserve">
Vwater = (mass of water)*(cm3/g)
          = (Water.g)*(cm3/g)
          = void space, or Vvoids</t>
        </r>
      </text>
    </comment>
    <comment ref="U19" authorId="0" shapeId="0" xr:uid="{0527DAE1-9294-4EAA-AC04-CB0686D04147}">
      <text>
        <r>
          <rPr>
            <b/>
            <sz val="9"/>
            <color indexed="81"/>
            <rFont val="Tahoma"/>
            <family val="2"/>
          </rPr>
          <t>Dan Koepke:</t>
        </r>
        <r>
          <rPr>
            <sz val="9"/>
            <color indexed="81"/>
            <rFont val="Tahoma"/>
            <family val="2"/>
          </rPr>
          <t xml:space="preserve">
Vsolid.cm3 = Volume of the soil 
    = (Vtotal.cm3) - (Vwater.cm3)</t>
        </r>
      </text>
    </comment>
    <comment ref="V19" authorId="0" shapeId="0" xr:uid="{AD9D317F-5E7E-4F5B-9902-C94168875A67}">
      <text>
        <r>
          <rPr>
            <b/>
            <sz val="9"/>
            <color indexed="81"/>
            <rFont val="Tahoma"/>
            <family val="2"/>
          </rPr>
          <t>Dan Koepke:</t>
        </r>
        <r>
          <rPr>
            <sz val="9"/>
            <color indexed="81"/>
            <rFont val="Tahoma"/>
            <family val="2"/>
          </rPr>
          <t xml:space="preserve">
Porosity = [(total vol)-(vol of solid)]/(total vol)
            = (Vtotal - Vsolid)/Vtotal
Vtotal = vol of tin container = Vtotal.cm3
Vsolid = Vtotal - vol of water = Vtotal - Vwater
Vwater = (mass of water)*(cm3/g)
mass of water = Water.g
        = (SoilWetWght.g)-(SoilDryWght.g)
Porosity = (Vwater)/(Vtotal)
           = volumetric water content
           = VolWCTin</t>
        </r>
      </text>
    </comment>
    <comment ref="W19" authorId="0" shapeId="0" xr:uid="{F5E55AD2-6423-4FF1-8892-235D268D2531}">
      <text>
        <r>
          <rPr>
            <b/>
            <sz val="9"/>
            <color indexed="81"/>
            <rFont val="Tahoma"/>
            <family val="2"/>
          </rPr>
          <t>Dan Koepke:</t>
        </r>
        <r>
          <rPr>
            <sz val="9"/>
            <color indexed="81"/>
            <rFont val="Tahoma"/>
            <family val="2"/>
          </rPr>
          <t xml:space="preserve">
SWC = soil water content     
       = (wet wght -dry wght)/(dry wght)
       = (SoilWetWght.g - SoilDryWght.g)/SoilDryWght.g
       = Water.g/SoilDryWght.g</t>
        </r>
      </text>
    </comment>
    <comment ref="X19" authorId="0" shapeId="0" xr:uid="{FF39DD97-479C-4031-A6AE-9D6C085CF692}">
      <text>
        <r>
          <rPr>
            <b/>
            <sz val="9"/>
            <color indexed="81"/>
            <rFont val="Tahoma"/>
            <family val="2"/>
          </rPr>
          <t>Dan Koepke:</t>
        </r>
        <r>
          <rPr>
            <sz val="9"/>
            <color indexed="81"/>
            <rFont val="Tahoma"/>
            <family val="2"/>
          </rPr>
          <t xml:space="preserve">
Volumetric water content
   the ratio of the volume of water to the
   unit volume of soil
This is equal to porosity
This is also the same as SATURATED WATER CONTENT
VolWCTin = (Vwater.cm3)/(Vtotal.cm3)
     = (SoilWetWght.g - SoilDryWght.g)/(total vol of tin)
     = (SoilWetWght.g - SoilDryWght.g)/236.588 cm3
VolWCTin = [(SWC)*(BulkDensity)] / (water density)
              = [(g/g)*(g/cm3)] / (g/cm3) = unitless
SWC = soil water content     
       = (wet wght -dry wght)/(dry wght)
       = (SoilWetWght.g - SoilDryWght.g)/SoilDryWght.g
       = Water.g/SoilDryWght.g</t>
        </r>
      </text>
    </comment>
    <comment ref="Y19" authorId="0" shapeId="0" xr:uid="{3F28176D-7F6B-45CE-8D10-9CD03198E5FA}">
      <text>
        <r>
          <rPr>
            <b/>
            <sz val="9"/>
            <color indexed="81"/>
            <rFont val="Tahoma"/>
            <family val="2"/>
          </rPr>
          <t>Dan Koepke:</t>
        </r>
        <r>
          <rPr>
            <sz val="9"/>
            <color indexed="81"/>
            <rFont val="Tahoma"/>
            <family val="2"/>
          </rPr>
          <t xml:space="preserve">
Used the volume displacement method.
Soil sieved &gt; 2mm
Major organic matter removed, such as roots. This was recorded as OrganicMatter.g (dry wght).
Rcorded amount of water displaced by RF &gt; 2mm</t>
        </r>
      </text>
    </comment>
    <comment ref="Z19" authorId="0" shapeId="0" xr:uid="{DB8FB3F9-DC92-4CD1-81E3-42D93FDE15AD}">
      <text>
        <r>
          <rPr>
            <b/>
            <sz val="9"/>
            <color indexed="81"/>
            <rFont val="Tahoma"/>
            <family val="2"/>
          </rPr>
          <t>Dan Koepke:</t>
        </r>
        <r>
          <rPr>
            <sz val="9"/>
            <color indexed="81"/>
            <rFont val="Tahoma"/>
            <family val="2"/>
          </rPr>
          <t xml:space="preserve">
Weight of rock fraction, or soil &gt; 2mm after removing major organic matter</t>
        </r>
      </text>
    </comment>
    <comment ref="AA19" authorId="0" shapeId="0" xr:uid="{A71722EA-9257-41E0-9B07-F2F40E2705EC}">
      <text>
        <r>
          <rPr>
            <b/>
            <sz val="9"/>
            <color indexed="81"/>
            <rFont val="Tahoma"/>
            <family val="2"/>
          </rPr>
          <t>Dan Koepke:</t>
        </r>
        <r>
          <rPr>
            <sz val="9"/>
            <color indexed="81"/>
            <rFont val="Tahoma"/>
            <family val="2"/>
          </rPr>
          <t xml:space="preserve">
dry weight in tin was done, with lid, then the soil was sieved in 2 mm sieve, any major OM such as root, bark, wood was removed before the rock fraction weight was made. </t>
        </r>
      </text>
    </comment>
    <comment ref="AB19" authorId="0" shapeId="0" xr:uid="{EA9D2199-6FEE-481B-AF3F-A210C6A3F866}">
      <text>
        <r>
          <rPr>
            <b/>
            <sz val="9"/>
            <color indexed="81"/>
            <rFont val="Tahoma"/>
            <family val="2"/>
          </rPr>
          <t>Dan Koepke:</t>
        </r>
        <r>
          <rPr>
            <sz val="9"/>
            <color indexed="81"/>
            <rFont val="Tahoma"/>
            <family val="2"/>
          </rPr>
          <t xml:space="preserve">
Calculated estimate of rock fraction, using weight of RF of these samples (from the tins) and multiplying that by the average rock fraction density (ml/g) determined when processing samples with the pvc method.</t>
        </r>
      </text>
    </comment>
    <comment ref="AC19" authorId="0" shapeId="0" xr:uid="{04B733B7-6910-4A7F-A626-F9EBE4A27A84}">
      <text>
        <r>
          <rPr>
            <b/>
            <sz val="9"/>
            <color indexed="81"/>
            <rFont val="Tahoma"/>
            <family val="2"/>
          </rPr>
          <t>Dan Koepke:</t>
        </r>
        <r>
          <rPr>
            <sz val="9"/>
            <color indexed="81"/>
            <rFont val="Tahoma"/>
            <family val="2"/>
          </rPr>
          <t xml:space="preserve">
Percent rock fraction, by volume:
PercentRF (v/v) = (RockFraction.ml)/(Vtotal.cm3)
    = (vol of rocks in soil)/(total vol of soil in tin)
1 cm3 = 1 ml</t>
        </r>
      </text>
    </comment>
    <comment ref="AD19" authorId="0" shapeId="0" xr:uid="{F21493CE-14C7-4F24-8E7E-CA7068332CE7}">
      <text>
        <r>
          <rPr>
            <b/>
            <sz val="9"/>
            <color indexed="81"/>
            <rFont val="Tahoma"/>
            <family val="2"/>
          </rPr>
          <t>Dan Koepke:</t>
        </r>
        <r>
          <rPr>
            <sz val="9"/>
            <color indexed="81"/>
            <rFont val="Tahoma"/>
            <family val="2"/>
          </rPr>
          <t xml:space="preserve">
Percent rock fraction, by wght:
PercentRF (w/w) = (RockFraction.g)/(SoilDryWght.g)
     = (RF wght, dry)/(soil wght oven-dried)</t>
        </r>
      </text>
    </comment>
    <comment ref="AE19" authorId="0" shapeId="0" xr:uid="{EBB0099A-FE0C-4CA9-B5D0-00EE80BF7071}">
      <text>
        <r>
          <rPr>
            <b/>
            <sz val="9"/>
            <color indexed="81"/>
            <rFont val="Tahoma"/>
            <family val="2"/>
          </rPr>
          <t>Dan Koepke:</t>
        </r>
        <r>
          <rPr>
            <sz val="9"/>
            <color indexed="81"/>
            <rFont val="Tahoma"/>
            <family val="2"/>
          </rPr>
          <t xml:space="preserve">
BD = SoilDryWght.g/Vtotal.cm3
     = (dry soil wght)/(total vol)</t>
        </r>
      </text>
    </comment>
    <comment ref="I20" authorId="1" shapeId="0" xr:uid="{310FA61D-67CF-42C2-9480-174944BFAE77}">
      <text>
        <r>
          <rPr>
            <sz val="11"/>
            <color theme="1"/>
            <rFont val="Calibri"/>
            <family val="2"/>
            <scheme val="minor"/>
          </rPr>
          <t>======
ID#AAAA3FkHthw
Dan Koepke    (2023-08-18 09:04:20)
https://www.ablebits.com/office-addins-blog/excel-extract-number-from-string/#:~:text=Select%20all%20cells%20with%20the,leave%20it%20unselected%20(default).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 Koepke</author>
  </authors>
  <commentList>
    <comment ref="B1" authorId="0" shapeId="0" xr:uid="{4BA5DAF1-4E63-4A23-B9FB-180D1468281E}">
      <text>
        <r>
          <rPr>
            <b/>
            <sz val="9"/>
            <color indexed="81"/>
            <rFont val="Tahoma"/>
            <family val="2"/>
          </rPr>
          <t>Dan Koepke:</t>
        </r>
        <r>
          <rPr>
            <sz val="9"/>
            <color indexed="81"/>
            <rFont val="Tahoma"/>
            <family val="2"/>
          </rPr>
          <t xml:space="preserve">
Location of the experimental garden</t>
        </r>
      </text>
    </comment>
    <comment ref="D1" authorId="0" shapeId="0" xr:uid="{AF88F23A-443D-47F6-896B-8787F724811C}">
      <text>
        <r>
          <rPr>
            <b/>
            <sz val="9"/>
            <color indexed="81"/>
            <rFont val="Tahoma"/>
            <family val="2"/>
          </rPr>
          <t>Dan Koepke:</t>
        </r>
        <r>
          <rPr>
            <sz val="9"/>
            <color indexed="81"/>
            <rFont val="Tahoma"/>
            <family val="2"/>
          </rPr>
          <t xml:space="preserve">
Each pot with a plant had a unique number, ranging from 1 to 90</t>
        </r>
      </text>
    </comment>
    <comment ref="G1" authorId="0" shapeId="0" xr:uid="{93703D90-2D4C-4394-A6B1-41BE24DE0C78}">
      <text>
        <r>
          <rPr>
            <b/>
            <sz val="9"/>
            <color indexed="81"/>
            <rFont val="Tahoma"/>
            <family val="2"/>
          </rPr>
          <t>Dan Koepke:</t>
        </r>
        <r>
          <rPr>
            <sz val="9"/>
            <color indexed="81"/>
            <rFont val="Tahoma"/>
            <family val="2"/>
          </rPr>
          <t xml:space="preserve">
source site elevation (m)</t>
        </r>
      </text>
    </comment>
    <comment ref="H1" authorId="0" shapeId="0" xr:uid="{4E70F77E-FE2F-4951-9CC8-D5099EAEAD98}">
      <text>
        <r>
          <rPr>
            <b/>
            <sz val="9"/>
            <color indexed="81"/>
            <rFont val="Tahoma"/>
            <family val="2"/>
          </rPr>
          <t>Dan Koepke:</t>
        </r>
        <r>
          <rPr>
            <sz val="9"/>
            <color indexed="81"/>
            <rFont val="Tahoma"/>
            <family val="2"/>
          </rPr>
          <t xml:space="preserve">
The site where the branch cuttings were taken from</t>
        </r>
      </text>
    </comment>
    <comment ref="I1" authorId="0" shapeId="0" xr:uid="{8656F408-200D-4C47-B903-6F54A39B8106}">
      <text>
        <r>
          <rPr>
            <b/>
            <sz val="9"/>
            <color indexed="81"/>
            <rFont val="Tahoma"/>
            <family val="2"/>
          </rPr>
          <t>Dan Koepke:</t>
        </r>
        <r>
          <rPr>
            <sz val="9"/>
            <color indexed="81"/>
            <rFont val="Tahoma"/>
            <family val="2"/>
          </rPr>
          <t xml:space="preserve">
The tree tag number at the source site</t>
        </r>
      </text>
    </comment>
    <comment ref="J1" authorId="0" shapeId="0" xr:uid="{7F0CAF22-492D-46DC-A6D7-F4C6682FAED8}">
      <text>
        <r>
          <rPr>
            <b/>
            <sz val="9"/>
            <color indexed="81"/>
            <rFont val="Tahoma"/>
            <family val="2"/>
          </rPr>
          <t>Dan Koepke:</t>
        </r>
        <r>
          <rPr>
            <sz val="9"/>
            <color indexed="81"/>
            <rFont val="Tahoma"/>
            <family val="2"/>
          </rPr>
          <t xml:space="preserve">
volume of the soil core
 = Vtotal, or total soil vol
V=(Pi)(r^2)h
ID of core = 5.175 cm
This uses the h = SoilHeight.cm
Tin method:
Soil tin volume = 8 fluid oz = 236.588 ml
This is to the rim / top of the container</t>
        </r>
      </text>
    </comment>
    <comment ref="K1" authorId="0" shapeId="0" xr:uid="{0C298193-559E-4141-A5CB-998575A88576}">
      <text>
        <r>
          <rPr>
            <b/>
            <sz val="9"/>
            <color indexed="81"/>
            <rFont val="Tahoma"/>
            <family val="2"/>
          </rPr>
          <t>Dan Koepke:</t>
        </r>
        <r>
          <rPr>
            <sz val="9"/>
            <color indexed="81"/>
            <rFont val="Tahoma"/>
            <family val="2"/>
          </rPr>
          <t xml:space="preserve">
Saturated soil wght
Sat wght of soil.
Saturated.g - Tin.Wght.g</t>
        </r>
      </text>
    </comment>
    <comment ref="L1" authorId="0" shapeId="0" xr:uid="{C4E0FCFF-5118-4D7E-B981-6532CB58DA00}">
      <text>
        <r>
          <rPr>
            <b/>
            <sz val="9"/>
            <color indexed="81"/>
            <rFont val="Tahoma"/>
            <family val="2"/>
          </rPr>
          <t>Dan Koepke:</t>
        </r>
        <r>
          <rPr>
            <sz val="9"/>
            <color indexed="81"/>
            <rFont val="Tahoma"/>
            <family val="2"/>
          </rPr>
          <t xml:space="preserve">
Soil oven-dry wght.
75C for 48 hr or more
Dry.g - Tin.Wght.g</t>
        </r>
      </text>
    </comment>
    <comment ref="M1" authorId="0" shapeId="0" xr:uid="{D1EEA40B-4A4F-451B-8B9C-AE11E2410875}">
      <text>
        <r>
          <rPr>
            <b/>
            <sz val="9"/>
            <color indexed="81"/>
            <rFont val="Tahoma"/>
            <family val="2"/>
          </rPr>
          <t>Dan Koepke:</t>
        </r>
        <r>
          <rPr>
            <sz val="9"/>
            <color indexed="81"/>
            <rFont val="Tahoma"/>
            <family val="2"/>
          </rPr>
          <t xml:space="preserve">
mass of water in sat soil
  = (SoilWetWght.g)-(SoilDryWght.g)</t>
        </r>
      </text>
    </comment>
    <comment ref="N1" authorId="0" shapeId="0" xr:uid="{525C846A-3D63-4E80-87D9-7B3022B5C9F6}">
      <text>
        <r>
          <rPr>
            <b/>
            <sz val="9"/>
            <color indexed="81"/>
            <rFont val="Tahoma"/>
            <family val="2"/>
          </rPr>
          <t>Dan Koepke:</t>
        </r>
        <r>
          <rPr>
            <sz val="9"/>
            <color indexed="81"/>
            <rFont val="Tahoma"/>
            <family val="2"/>
          </rPr>
          <t xml:space="preserve">
Vwater = (mass of water)*(cm3/g)
          = (Water.g)*(cm3/g)
          = void space, or Vvoids</t>
        </r>
      </text>
    </comment>
    <comment ref="O1" authorId="0" shapeId="0" xr:uid="{2AC94D1A-E81D-4DF2-8F91-3CA34FEA65D5}">
      <text>
        <r>
          <rPr>
            <b/>
            <sz val="9"/>
            <color indexed="81"/>
            <rFont val="Tahoma"/>
            <family val="2"/>
          </rPr>
          <t>Dan Koepke:</t>
        </r>
        <r>
          <rPr>
            <sz val="9"/>
            <color indexed="81"/>
            <rFont val="Tahoma"/>
            <family val="2"/>
          </rPr>
          <t xml:space="preserve">
Vsolid.cm3 = Volume of the soil 
    = (Vtotal.cm3) - (Vwater.cm3)</t>
        </r>
      </text>
    </comment>
    <comment ref="P1" authorId="0" shapeId="0" xr:uid="{2175B60C-6DC4-4E7C-AB86-52D68AC7AC05}">
      <text>
        <r>
          <rPr>
            <b/>
            <sz val="9"/>
            <color indexed="81"/>
            <rFont val="Tahoma"/>
            <family val="2"/>
          </rPr>
          <t>Dan Koepke:</t>
        </r>
        <r>
          <rPr>
            <sz val="9"/>
            <color indexed="81"/>
            <rFont val="Tahoma"/>
            <family val="2"/>
          </rPr>
          <t xml:space="preserve">
Porosity = [(total vol)-(vol of solid)]/(total vol)
            = (Vtotal - Vsolid)/Vtotal
Vtotal = vol of tin container = Vtotal.cm3
Vsolid = Vtotal - vol of water = Vtotal - Vwater
Vwater = (mass of water)*(cm3/g)
mass of water = Water.g
        = (SoilWetWght.g)-(SoilDryWght.g)
Porosity = (Vwater)/(Vtotal)
           = volumetric water content
           = VolWCTin
           = pore spaces in the soil, the same  
              volume when filled with water during 
              saturation</t>
        </r>
      </text>
    </comment>
    <comment ref="Q1" authorId="0" shapeId="0" xr:uid="{678DBED9-C477-439B-9C98-39BFDBCC7CB7}">
      <text>
        <r>
          <rPr>
            <b/>
            <sz val="9"/>
            <color indexed="81"/>
            <rFont val="Tahoma"/>
            <family val="2"/>
          </rPr>
          <t>Dan Koepke:</t>
        </r>
        <r>
          <rPr>
            <sz val="9"/>
            <color indexed="81"/>
            <rFont val="Tahoma"/>
            <family val="2"/>
          </rPr>
          <t xml:space="preserve">
SWC = soil water content     
       = (wet wght -dry wght)/(dry wght)
       = (SoilWetWght.g - SoilDryWght.g)/SoilDryWght.g
       = Water.g/SoilDryWght.g</t>
        </r>
      </text>
    </comment>
    <comment ref="R1" authorId="0" shapeId="0" xr:uid="{4E17EC78-DE75-43BC-9F46-8FAF8D2F5724}">
      <text>
        <r>
          <rPr>
            <b/>
            <sz val="9"/>
            <color indexed="81"/>
            <rFont val="Tahoma"/>
            <family val="2"/>
          </rPr>
          <t>Dan Koepke:</t>
        </r>
        <r>
          <rPr>
            <sz val="9"/>
            <color indexed="81"/>
            <rFont val="Tahoma"/>
            <family val="2"/>
          </rPr>
          <t xml:space="preserve">
Volumetric water content
   the ratio of the volume of water to the
   unit volume of soil
VolWCTin = (Vwater.cm3)/(Vtotal.cm3)
     = (SoilWetWght.g - SoilDryWght.g)/(total vol of tin)
     = (SoilWetWght.g - SoilDryWght.g)/236.588 cm3
     = Porosity</t>
        </r>
      </text>
    </comment>
    <comment ref="S1" authorId="0" shapeId="0" xr:uid="{5636346E-B11F-4B06-B8BF-5D726EED064B}">
      <text>
        <r>
          <rPr>
            <b/>
            <sz val="9"/>
            <color indexed="81"/>
            <rFont val="Tahoma"/>
            <family val="2"/>
          </rPr>
          <t>Dan Koepke:</t>
        </r>
        <r>
          <rPr>
            <sz val="9"/>
            <color indexed="81"/>
            <rFont val="Tahoma"/>
            <family val="2"/>
          </rPr>
          <t xml:space="preserve">
Volume of rock fraction
Used the volume displacement method.
Soil sieved &gt; 2mm
Major organic matter removed, such as roots. This was recorded as OrganicMatter.g (dry wght).
Rcorded amount of water displaced by RF &gt; 2mm
USE THIS for PercentRF(v/v)</t>
        </r>
      </text>
    </comment>
    <comment ref="T1" authorId="0" shapeId="0" xr:uid="{D5B4465E-F676-4AD0-85A3-672DD58AE071}">
      <text>
        <r>
          <rPr>
            <b/>
            <sz val="9"/>
            <color indexed="81"/>
            <rFont val="Tahoma"/>
            <family val="2"/>
          </rPr>
          <t>Dan Koepke:</t>
        </r>
        <r>
          <rPr>
            <sz val="9"/>
            <color indexed="81"/>
            <rFont val="Tahoma"/>
            <family val="2"/>
          </rPr>
          <t xml:space="preserve">
Weight of rock fraction, or soil &gt; 2mm after removing major organic matter</t>
        </r>
      </text>
    </comment>
    <comment ref="U1" authorId="0" shapeId="0" xr:uid="{6AA8EC25-B030-4D15-A709-D3E5832D8DCA}">
      <text>
        <r>
          <rPr>
            <b/>
            <sz val="9"/>
            <color indexed="81"/>
            <rFont val="Tahoma"/>
            <family val="2"/>
          </rPr>
          <t>Dan Koepke:</t>
        </r>
        <r>
          <rPr>
            <sz val="9"/>
            <color indexed="81"/>
            <rFont val="Tahoma"/>
            <family val="2"/>
          </rPr>
          <t xml:space="preserve">
Percent rock fraction, by volume:
PercentRF (v/v) = (RockFraction.ml)/(Vtotal.cm3)
    = (vol of rocks in soil)/(total vol of soil in tin)
1 cm3 = 1 ml</t>
        </r>
      </text>
    </comment>
    <comment ref="V1" authorId="0" shapeId="0" xr:uid="{1BCEA5D5-5580-469D-9CB6-BA440F60C598}">
      <text>
        <r>
          <rPr>
            <b/>
            <sz val="9"/>
            <color indexed="81"/>
            <rFont val="Tahoma"/>
            <family val="2"/>
          </rPr>
          <t>Dan Koepke:</t>
        </r>
        <r>
          <rPr>
            <sz val="9"/>
            <color indexed="81"/>
            <rFont val="Tahoma"/>
            <family val="2"/>
          </rPr>
          <t xml:space="preserve">
Percent rock fraction, by wght:
PercentRF (w/w) = (RockFraction.g)/(SoilDryWght.g)
     = (RF wght, dry)/(soil wght oven-dried)</t>
        </r>
      </text>
    </comment>
    <comment ref="W1" authorId="0" shapeId="0" xr:uid="{813AA487-4897-4F63-8B67-140CB8A62CC7}">
      <text>
        <r>
          <rPr>
            <b/>
            <sz val="9"/>
            <color indexed="81"/>
            <rFont val="Tahoma"/>
            <family val="2"/>
          </rPr>
          <t>Dan Koepke:</t>
        </r>
        <r>
          <rPr>
            <sz val="9"/>
            <color indexed="81"/>
            <rFont val="Tahoma"/>
            <family val="2"/>
          </rPr>
          <t xml:space="preserve">
BD = SoilDryWght.g/Vtotal.cm3
     = (dry soil wght)/(total vol)</t>
        </r>
      </text>
    </comment>
  </commentList>
</comments>
</file>

<file path=xl/sharedStrings.xml><?xml version="1.0" encoding="utf-8"?>
<sst xmlns="http://schemas.openxmlformats.org/spreadsheetml/2006/main" count="212" uniqueCount="87">
  <si>
    <t>Date</t>
  </si>
  <si>
    <t>Site</t>
  </si>
  <si>
    <t>Species</t>
  </si>
  <si>
    <t>Tree.No</t>
  </si>
  <si>
    <t>SoilCore.No</t>
  </si>
  <si>
    <t>Popn.Geno</t>
  </si>
  <si>
    <t>Elevation.m</t>
  </si>
  <si>
    <t>Population</t>
  </si>
  <si>
    <t>Genotype</t>
  </si>
  <si>
    <t>SoilHeight.cm</t>
  </si>
  <si>
    <t>RootsPresent</t>
  </si>
  <si>
    <t>SoilWetWght.g</t>
  </si>
  <si>
    <t>SoilDryWght.g</t>
  </si>
  <si>
    <t>SWC</t>
  </si>
  <si>
    <t>Porosity</t>
  </si>
  <si>
    <t>Water.g</t>
  </si>
  <si>
    <t>Vwater.cm3</t>
  </si>
  <si>
    <t>Vtotal.cm3</t>
  </si>
  <si>
    <t>DBG</t>
  </si>
  <si>
    <t>POFR</t>
  </si>
  <si>
    <t>SoilTubeHeight.cm</t>
  </si>
  <si>
    <t>yes</t>
  </si>
  <si>
    <t>Vsolid.cm3</t>
  </si>
  <si>
    <t>VtotalTube.cm3</t>
  </si>
  <si>
    <t>PorosityTube</t>
  </si>
  <si>
    <t>SatWCTube</t>
  </si>
  <si>
    <t>VsolidTube.cm3</t>
  </si>
  <si>
    <t>VolWC</t>
  </si>
  <si>
    <t>VolWCTube</t>
  </si>
  <si>
    <t>Tin.No</t>
  </si>
  <si>
    <t>Tin.Wght.g</t>
  </si>
  <si>
    <t>FreshWght.g</t>
  </si>
  <si>
    <t>Fresh.g</t>
  </si>
  <si>
    <t>Saturated.g</t>
  </si>
  <si>
    <t>Dry.g</t>
  </si>
  <si>
    <t>Rock Fraction.ml</t>
  </si>
  <si>
    <t>Rock Fraction.g</t>
  </si>
  <si>
    <t>OrganicMatter.g</t>
  </si>
  <si>
    <t>RF.g.ml</t>
  </si>
  <si>
    <t>Percent RF (v/v)</t>
  </si>
  <si>
    <t>BulkDensity.g.cm3</t>
  </si>
  <si>
    <t>PercentRF(v/v)</t>
  </si>
  <si>
    <t>EstimatedRF.ml</t>
  </si>
  <si>
    <t>RockFraction.ml</t>
  </si>
  <si>
    <t>RockFraction.g</t>
  </si>
  <si>
    <t>VolWCTin</t>
  </si>
  <si>
    <t>JLA156</t>
  </si>
  <si>
    <t>JLA158</t>
  </si>
  <si>
    <t>JLA151</t>
  </si>
  <si>
    <t>MEAN</t>
  </si>
  <si>
    <t>SE</t>
  </si>
  <si>
    <t>1. PVC pipe method</t>
  </si>
  <si>
    <t>2. Soil tin method</t>
  </si>
  <si>
    <t>This method was questioned because, after pounding the pvc pipe into the soil and pulling it out, even making sure all of the soil on the bottom was collected, the height of the soil in the tube did not always equal the height of soil in the pot. Some of the soil seemed to get compacted when the pvc pipe went into the pot.</t>
  </si>
  <si>
    <t>The difference between the two heights is seen between the SoilHeight.cm (col J; the height of the soil in the pot) and SoilTubeHeight.cm (col V; the height of soil in the pvc pipe) after the soil was collected from the pot.</t>
  </si>
  <si>
    <t>The pvc pipe was still used to collect soil, but the soil was put into soil tins, lightly pressed, and filled to the top of the tin. The volume of the tins was 8 fluid ounces, or 236.588 ml (or cm3)</t>
  </si>
  <si>
    <r>
      <rPr>
        <sz val="11"/>
        <color rgb="FFFF0000"/>
        <rFont val="Calibri"/>
        <family val="2"/>
        <scheme val="minor"/>
      </rPr>
      <t>TWO METHODS</t>
    </r>
    <r>
      <rPr>
        <sz val="11"/>
        <color theme="1"/>
        <rFont val="Calibri"/>
        <family val="2"/>
        <scheme val="minor"/>
      </rPr>
      <t xml:space="preserve"> to measure saturated soil water content, &amp; rock fraction</t>
    </r>
  </si>
  <si>
    <t>JLA-JAK</t>
  </si>
  <si>
    <t>PercentRF(w/w)</t>
  </si>
  <si>
    <t>From worksheet, "Two methods", method 2. Soil tin method</t>
  </si>
  <si>
    <t xml:space="preserve">All of the calculations are done on that table. The main results are here. </t>
  </si>
  <si>
    <t>All soil samples were taken from the pots that were part of the dry-down project</t>
  </si>
  <si>
    <t>Samples were cored using a pvc pipe, then placed into soil tins that hold 8 fluid ounces (236.588 ml)</t>
  </si>
  <si>
    <t>Calculations:</t>
  </si>
  <si>
    <t>(see also the comments that are part of the column title)</t>
  </si>
  <si>
    <t>pore spaces in the soil, the same volume when filled with water during saturation</t>
  </si>
  <si>
    <t xml:space="preserve"> = volumetric water content = VolWCTin</t>
  </si>
  <si>
    <t xml:space="preserve"> = (volume of water at saturation)/(total volume of soil=236.588 cm3)</t>
  </si>
  <si>
    <t xml:space="preserve"> = (wght of water at saturation)/(oven-dried soil wght)</t>
  </si>
  <si>
    <t xml:space="preserve"> = volumetric water content, or (volume/volume)</t>
  </si>
  <si>
    <t>the ratio of the volume of water to the unit volume of soil</t>
  </si>
  <si>
    <t xml:space="preserve"> = Porosity</t>
  </si>
  <si>
    <t>PercentRF (v/v) = (RockFraction.ml)/(Vtotal.cm3)</t>
  </si>
  <si>
    <t>Percent rock fraction, by volume</t>
  </si>
  <si>
    <t xml:space="preserve"> = (vol of rocks in soil)/(total vol of soil in tin)</t>
  </si>
  <si>
    <t xml:space="preserve"> = (dry soil wght)/(total vol of soil in tin)</t>
  </si>
  <si>
    <t>soil water content, or (wght/wght)</t>
  </si>
  <si>
    <t xml:space="preserve">   bulk density of soil (g/cm3)</t>
  </si>
  <si>
    <t>where "dry soil wght" includes the whole soil core before sieving or removing major organic matter</t>
  </si>
  <si>
    <t xml:space="preserve"> = saturated water content</t>
  </si>
  <si>
    <r>
      <t xml:space="preserve">This method reduced the variation in the measurements, so </t>
    </r>
    <r>
      <rPr>
        <b/>
        <sz val="11"/>
        <color rgb="FF0000CC"/>
        <rFont val="Calibri"/>
        <family val="2"/>
        <scheme val="minor"/>
      </rPr>
      <t>the tin method should be used for the model</t>
    </r>
    <r>
      <rPr>
        <sz val="11"/>
        <color theme="1"/>
        <rFont val="Calibri"/>
        <family val="2"/>
        <scheme val="minor"/>
      </rPr>
      <t>.</t>
    </r>
  </si>
  <si>
    <t>Too much variation (in volumetric water content, porosity, soil dry weight) occurred using either method for measuring height. Do not use these results (from the pvc method) for the model.</t>
  </si>
  <si>
    <r>
      <rPr>
        <b/>
        <sz val="11"/>
        <color theme="1"/>
        <rFont val="Calibri"/>
        <family val="2"/>
        <scheme val="minor"/>
      </rPr>
      <t>The first method</t>
    </r>
    <r>
      <rPr>
        <sz val="11"/>
        <color theme="1"/>
        <rFont val="Calibri"/>
        <family val="2"/>
        <scheme val="minor"/>
      </rPr>
      <t xml:space="preserve"> used a pvc pipe, pounded into the pot of soil, to collect soil. The inside diameter of the pipe was measured, and the height of the soil in the pot the soil was in was measured and recorded as height, and those were used to calculate soil volume from V=PI()(r^2)h</t>
    </r>
  </si>
  <si>
    <r>
      <rPr>
        <b/>
        <sz val="11"/>
        <color theme="1"/>
        <rFont val="Calibri"/>
        <family val="2"/>
        <scheme val="minor"/>
      </rPr>
      <t>A second method</t>
    </r>
    <r>
      <rPr>
        <sz val="11"/>
        <color theme="1"/>
        <rFont val="Calibri"/>
        <family val="2"/>
        <scheme val="minor"/>
      </rPr>
      <t xml:space="preserve"> was used for soil collection and volume measurments</t>
    </r>
  </si>
  <si>
    <t>Column Name</t>
  </si>
  <si>
    <t>Definition</t>
  </si>
  <si>
    <t>BD was measured on 49 soil cores using the pvc method in Oct 2024. The results were similar, with a mean (se) of 0.86 (+/- 0.01) g/cm3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</si>
</sst>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
  </numFmts>
  <fonts count="17" x14ac:knownFonts="1">
    <font>
      <sz val="11"/>
      <color theme="1"/>
      <name val="Calibri"/>
      <family val="2"/>
      <scheme val="minor"/>
    </font>
    <font>
      <b/>
      <sz val="11"/>
      <color theme="1"/>
      <name val="Calibri"/>
      <family val="2"/>
      <scheme val="minor"/>
    </font>
    <font>
      <b/>
      <sz val="11"/>
      <color theme="1"/>
      <name val="Calibri"/>
      <family val="2"/>
    </font>
    <font>
      <b/>
      <sz val="11"/>
      <color rgb="FF0000CC"/>
      <name val="Calibri"/>
      <family val="2"/>
    </font>
    <font>
      <b/>
      <sz val="9"/>
      <color indexed="81"/>
      <name val="Tahoma"/>
      <family val="2"/>
    </font>
    <font>
      <sz val="9"/>
      <color indexed="81"/>
      <name val="Tahoma"/>
      <family val="2"/>
    </font>
    <font>
      <sz val="11"/>
      <color rgb="FFFF0000"/>
      <name val="Calibri"/>
      <family val="2"/>
      <scheme val="minor"/>
    </font>
    <font>
      <b/>
      <sz val="11"/>
      <color rgb="FF7030A0"/>
      <name val="Calibri"/>
      <family val="2"/>
    </font>
    <font>
      <b/>
      <sz val="11"/>
      <color rgb="FF7030A0"/>
      <name val="Calibri"/>
      <family val="2"/>
      <scheme val="minor"/>
    </font>
    <font>
      <sz val="8"/>
      <name val="Calibri"/>
      <family val="2"/>
      <scheme val="minor"/>
    </font>
    <font>
      <b/>
      <sz val="11"/>
      <name val="Calibri"/>
      <family val="2"/>
      <scheme val="minor"/>
    </font>
    <font>
      <sz val="11"/>
      <color theme="1"/>
      <name val="Calibri"/>
      <family val="2"/>
      <scheme val="minor"/>
    </font>
    <font>
      <sz val="11"/>
      <color theme="1"/>
      <name val="Calibri"/>
      <family val="2"/>
    </font>
    <font>
      <sz val="11"/>
      <color theme="10"/>
      <name val="Calibri"/>
      <family val="2"/>
    </font>
    <font>
      <b/>
      <sz val="11"/>
      <color rgb="FF0000CC"/>
      <name val="Calibri"/>
      <family val="2"/>
      <scheme val="minor"/>
    </font>
    <font>
      <b/>
      <sz val="11"/>
      <name val="Calibri"/>
      <family val="2"/>
    </font>
    <font>
      <sz val="11"/>
      <color rgb="FF0000CC"/>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0" fontId="3" fillId="2" borderId="0" xfId="0" applyFont="1" applyFill="1"/>
    <xf numFmtId="0" fontId="1" fillId="0" borderId="0" xfId="0" applyFont="1"/>
    <xf numFmtId="0" fontId="3" fillId="0" borderId="0" xfId="0" applyFont="1"/>
    <xf numFmtId="164" fontId="0" fillId="0" borderId="0" xfId="0" applyNumberFormat="1"/>
    <xf numFmtId="2" fontId="0" fillId="0" borderId="0" xfId="0" applyNumberFormat="1"/>
    <xf numFmtId="165" fontId="0" fillId="0" borderId="0" xfId="0" applyNumberFormat="1"/>
    <xf numFmtId="0" fontId="6" fillId="0" borderId="0" xfId="0" applyFont="1"/>
    <xf numFmtId="0" fontId="7" fillId="0" borderId="0" xfId="0" applyFont="1"/>
    <xf numFmtId="0" fontId="8" fillId="0" borderId="0" xfId="0" applyFont="1"/>
    <xf numFmtId="0" fontId="10" fillId="0" borderId="0" xfId="0" applyFont="1"/>
    <xf numFmtId="166" fontId="0" fillId="0" borderId="0" xfId="0" applyNumberFormat="1"/>
    <xf numFmtId="166" fontId="6" fillId="0" borderId="0" xfId="0" applyNumberFormat="1" applyFont="1"/>
    <xf numFmtId="2" fontId="6" fillId="0" borderId="0" xfId="0" applyNumberFormat="1" applyFont="1"/>
    <xf numFmtId="0" fontId="11" fillId="0" borderId="0" xfId="0" applyFont="1"/>
    <xf numFmtId="1" fontId="12" fillId="0" borderId="0" xfId="0" applyNumberFormat="1" applyFont="1"/>
    <xf numFmtId="0" fontId="13" fillId="0" borderId="0" xfId="0" applyFont="1"/>
    <xf numFmtId="0" fontId="15" fillId="0" borderId="0" xfId="0" applyFont="1"/>
    <xf numFmtId="0" fontId="10" fillId="3" borderId="0" xfId="0" applyFont="1" applyFill="1"/>
    <xf numFmtId="164" fontId="0" fillId="3" borderId="0" xfId="0" applyNumberFormat="1" applyFill="1"/>
    <xf numFmtId="166" fontId="0" fillId="3" borderId="0" xfId="0" applyNumberFormat="1" applyFill="1"/>
    <xf numFmtId="2" fontId="0" fillId="3" borderId="0" xfId="0" applyNumberFormat="1" applyFill="1"/>
    <xf numFmtId="0" fontId="15" fillId="3" borderId="0" xfId="0" applyFont="1" applyFill="1"/>
    <xf numFmtId="0" fontId="16" fillId="0" borderId="0" xfId="0" applyFont="1"/>
    <xf numFmtId="0" fontId="16" fillId="0" borderId="0" xfId="0" applyFont="1" applyAlignment="1">
      <alignment horizontal="center"/>
    </xf>
    <xf numFmtId="0" fontId="16" fillId="0" borderId="0" xfId="0" applyFont="1" applyAlignment="1">
      <alignment horizontal="right"/>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'Two methods'!$T$7</c:f>
              <c:strCache>
                <c:ptCount val="1"/>
                <c:pt idx="0">
                  <c:v>VolWC</c:v>
                </c:pt>
              </c:strCache>
            </c:strRef>
          </c:tx>
          <c:spPr>
            <a:ln w="19050" cap="rnd">
              <a:noFill/>
              <a:round/>
            </a:ln>
            <a:effectLst/>
          </c:spPr>
          <c:marker>
            <c:symbol val="circle"/>
            <c:size val="5"/>
            <c:spPr>
              <a:solidFill>
                <a:schemeClr val="accent1"/>
              </a:solidFill>
              <a:ln w="9525">
                <a:solidFill>
                  <a:schemeClr val="accent1"/>
                </a:solidFill>
              </a:ln>
              <a:effectLst/>
            </c:spPr>
          </c:marker>
          <c:xVal>
            <c:numRef>
              <c:f>'Two methods'!$D$8:$D$11</c:f>
              <c:numCache>
                <c:formatCode>General</c:formatCode>
                <c:ptCount val="4"/>
                <c:pt idx="0">
                  <c:v>70</c:v>
                </c:pt>
                <c:pt idx="1">
                  <c:v>75</c:v>
                </c:pt>
                <c:pt idx="2">
                  <c:v>87</c:v>
                </c:pt>
                <c:pt idx="3">
                  <c:v>88</c:v>
                </c:pt>
              </c:numCache>
            </c:numRef>
          </c:xVal>
          <c:yVal>
            <c:numRef>
              <c:f>'Two methods'!$T$8:$T$11</c:f>
              <c:numCache>
                <c:formatCode>0.00</c:formatCode>
                <c:ptCount val="4"/>
                <c:pt idx="0">
                  <c:v>0.40596164739277019</c:v>
                </c:pt>
                <c:pt idx="1">
                  <c:v>0.25356431768318344</c:v>
                </c:pt>
                <c:pt idx="2">
                  <c:v>0.40728768527861331</c:v>
                </c:pt>
                <c:pt idx="3">
                  <c:v>0.26560862277313452</c:v>
                </c:pt>
              </c:numCache>
            </c:numRef>
          </c:yVal>
          <c:smooth val="0"/>
          <c:extLst>
            <c:ext xmlns:c16="http://schemas.microsoft.com/office/drawing/2014/chart" uri="{C3380CC4-5D6E-409C-BE32-E72D297353CC}">
              <c16:uniqueId val="{00000000-C876-410B-BCC0-530C168FD8D0}"/>
            </c:ext>
          </c:extLst>
        </c:ser>
        <c:ser>
          <c:idx val="1"/>
          <c:order val="1"/>
          <c:tx>
            <c:strRef>
              <c:f>'Two methods'!$Z$7</c:f>
              <c:strCache>
                <c:ptCount val="1"/>
                <c:pt idx="0">
                  <c:v>VolWCTube</c:v>
                </c:pt>
              </c:strCache>
            </c:strRef>
          </c:tx>
          <c:spPr>
            <a:ln w="25400" cap="rnd">
              <a:noFill/>
              <a:round/>
            </a:ln>
            <a:effectLst/>
          </c:spPr>
          <c:marker>
            <c:symbol val="circle"/>
            <c:size val="5"/>
            <c:spPr>
              <a:solidFill>
                <a:schemeClr val="accent2"/>
              </a:solidFill>
              <a:ln w="9525">
                <a:solidFill>
                  <a:schemeClr val="accent2"/>
                </a:solidFill>
              </a:ln>
              <a:effectLst/>
            </c:spPr>
          </c:marker>
          <c:xVal>
            <c:numRef>
              <c:f>'Two methods'!$D$8:$D$11</c:f>
              <c:numCache>
                <c:formatCode>General</c:formatCode>
                <c:ptCount val="4"/>
                <c:pt idx="0">
                  <c:v>70</c:v>
                </c:pt>
                <c:pt idx="1">
                  <c:v>75</c:v>
                </c:pt>
                <c:pt idx="2">
                  <c:v>87</c:v>
                </c:pt>
                <c:pt idx="3">
                  <c:v>88</c:v>
                </c:pt>
              </c:numCache>
            </c:numRef>
          </c:xVal>
          <c:yVal>
            <c:numRef>
              <c:f>'Two methods'!$Z$8:$Z$11</c:f>
              <c:numCache>
                <c:formatCode>0.00</c:formatCode>
                <c:ptCount val="4"/>
                <c:pt idx="0">
                  <c:v>0.39468493496519313</c:v>
                </c:pt>
                <c:pt idx="1">
                  <c:v>0.57957558327584779</c:v>
                </c:pt>
                <c:pt idx="2">
                  <c:v>0.5749943792168658</c:v>
                </c:pt>
                <c:pt idx="3">
                  <c:v>0.28458066725692988</c:v>
                </c:pt>
              </c:numCache>
            </c:numRef>
          </c:yVal>
          <c:smooth val="0"/>
          <c:extLst>
            <c:ext xmlns:c16="http://schemas.microsoft.com/office/drawing/2014/chart" uri="{C3380CC4-5D6E-409C-BE32-E72D297353CC}">
              <c16:uniqueId val="{00000002-C876-410B-BCC0-530C168FD8D0}"/>
            </c:ext>
          </c:extLst>
        </c:ser>
        <c:ser>
          <c:idx val="2"/>
          <c:order val="2"/>
          <c:tx>
            <c:v>VolWCTin</c:v>
          </c:tx>
          <c:spPr>
            <a:ln w="25400" cap="rnd">
              <a:noFill/>
              <a:round/>
            </a:ln>
            <a:effectLst/>
          </c:spPr>
          <c:marker>
            <c:symbol val="circle"/>
            <c:size val="5"/>
            <c:spPr>
              <a:solidFill>
                <a:schemeClr val="accent3"/>
              </a:solidFill>
              <a:ln w="9525">
                <a:solidFill>
                  <a:schemeClr val="accent3"/>
                </a:solidFill>
              </a:ln>
              <a:effectLst/>
            </c:spPr>
          </c:marker>
          <c:xVal>
            <c:numRef>
              <c:f>'Two methods'!$D$20:$D$27</c:f>
              <c:numCache>
                <c:formatCode>General</c:formatCode>
                <c:ptCount val="8"/>
                <c:pt idx="0">
                  <c:v>70</c:v>
                </c:pt>
                <c:pt idx="1">
                  <c:v>70</c:v>
                </c:pt>
                <c:pt idx="2">
                  <c:v>75</c:v>
                </c:pt>
                <c:pt idx="3">
                  <c:v>75</c:v>
                </c:pt>
                <c:pt idx="4">
                  <c:v>87</c:v>
                </c:pt>
                <c:pt idx="5">
                  <c:v>87</c:v>
                </c:pt>
                <c:pt idx="6">
                  <c:v>88</c:v>
                </c:pt>
                <c:pt idx="7">
                  <c:v>88</c:v>
                </c:pt>
              </c:numCache>
            </c:numRef>
          </c:xVal>
          <c:yVal>
            <c:numRef>
              <c:f>'Two methods'!$X$20:$X$27</c:f>
              <c:numCache>
                <c:formatCode>0.000</c:formatCode>
                <c:ptCount val="8"/>
                <c:pt idx="0">
                  <c:v>0.47466481816491124</c:v>
                </c:pt>
                <c:pt idx="1">
                  <c:v>0.30432650852959564</c:v>
                </c:pt>
                <c:pt idx="2">
                  <c:v>0.53257138992679254</c:v>
                </c:pt>
                <c:pt idx="3">
                  <c:v>0.54736503964698147</c:v>
                </c:pt>
                <c:pt idx="4">
                  <c:v>0.50594282043045291</c:v>
                </c:pt>
                <c:pt idx="5">
                  <c:v>0.51016957749336411</c:v>
                </c:pt>
                <c:pt idx="6">
                  <c:v>0.41887162493448549</c:v>
                </c:pt>
                <c:pt idx="7">
                  <c:v>0.49960268483608633</c:v>
                </c:pt>
              </c:numCache>
            </c:numRef>
          </c:yVal>
          <c:smooth val="0"/>
          <c:extLst>
            <c:ext xmlns:c16="http://schemas.microsoft.com/office/drawing/2014/chart" uri="{C3380CC4-5D6E-409C-BE32-E72D297353CC}">
              <c16:uniqueId val="{00000000-70D0-4622-9599-BEA583B4BD19}"/>
            </c:ext>
          </c:extLst>
        </c:ser>
        <c:dLbls>
          <c:showLegendKey val="0"/>
          <c:showVal val="0"/>
          <c:showCatName val="0"/>
          <c:showSerName val="0"/>
          <c:showPercent val="0"/>
          <c:showBubbleSize val="0"/>
        </c:dLbls>
        <c:axId val="934572767"/>
        <c:axId val="812263455"/>
      </c:scatterChart>
      <c:valAx>
        <c:axId val="934572767"/>
        <c:scaling>
          <c:orientation val="minMax"/>
          <c:min val="6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Tree 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263455"/>
        <c:crosses val="autoZero"/>
        <c:crossBetween val="midCat"/>
      </c:valAx>
      <c:valAx>
        <c:axId val="812263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Volumetric Water Content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57276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878937007874016"/>
          <c:y val="0.17171296296296298"/>
          <c:w val="0.79332174103237096"/>
          <c:h val="0.62271617089530473"/>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layout>
                <c:manualLayout>
                  <c:x val="-5.8973097112860889E-2"/>
                  <c:y val="-7.155803441236514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'Two methods'!$Y$20:$Y$27</c:f>
              <c:numCache>
                <c:formatCode>General</c:formatCode>
                <c:ptCount val="8"/>
                <c:pt idx="0">
                  <c:v>105</c:v>
                </c:pt>
                <c:pt idx="1">
                  <c:v>99</c:v>
                </c:pt>
                <c:pt idx="2">
                  <c:v>59</c:v>
                </c:pt>
                <c:pt idx="3">
                  <c:v>50</c:v>
                </c:pt>
                <c:pt idx="4">
                  <c:v>69</c:v>
                </c:pt>
                <c:pt idx="5">
                  <c:v>61</c:v>
                </c:pt>
                <c:pt idx="6">
                  <c:v>91</c:v>
                </c:pt>
                <c:pt idx="7">
                  <c:v>80</c:v>
                </c:pt>
              </c:numCache>
            </c:numRef>
          </c:xVal>
          <c:yVal>
            <c:numRef>
              <c:f>'Two methods'!$AB$20:$AB$27</c:f>
              <c:numCache>
                <c:formatCode>0.0</c:formatCode>
                <c:ptCount val="8"/>
                <c:pt idx="0">
                  <c:v>97.126619358221262</c:v>
                </c:pt>
                <c:pt idx="1">
                  <c:v>94.529106202862437</c:v>
                </c:pt>
                <c:pt idx="2">
                  <c:v>55.770135394468952</c:v>
                </c:pt>
                <c:pt idx="3">
                  <c:v>46.042193969497653</c:v>
                </c:pt>
                <c:pt idx="4">
                  <c:v>65.701803341429169</c:v>
                </c:pt>
                <c:pt idx="5">
                  <c:v>58.46951181082224</c:v>
                </c:pt>
                <c:pt idx="6">
                  <c:v>87.857062607725055</c:v>
                </c:pt>
                <c:pt idx="7">
                  <c:v>79.911728250156884</c:v>
                </c:pt>
              </c:numCache>
            </c:numRef>
          </c:yVal>
          <c:smooth val="0"/>
          <c:extLst>
            <c:ext xmlns:c16="http://schemas.microsoft.com/office/drawing/2014/chart" uri="{C3380CC4-5D6E-409C-BE32-E72D297353CC}">
              <c16:uniqueId val="{00000000-7328-40E9-B93A-6FD0ADD45321}"/>
            </c:ext>
          </c:extLst>
        </c:ser>
        <c:dLbls>
          <c:showLegendKey val="0"/>
          <c:showVal val="0"/>
          <c:showCatName val="0"/>
          <c:showSerName val="0"/>
          <c:showPercent val="0"/>
          <c:showBubbleSize val="0"/>
        </c:dLbls>
        <c:axId val="1093590207"/>
        <c:axId val="1093590687"/>
      </c:scatterChart>
      <c:valAx>
        <c:axId val="1093590207"/>
        <c:scaling>
          <c:orientation val="minMax"/>
          <c:min val="4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EstimatedRF.ml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590687"/>
        <c:crosses val="autoZero"/>
        <c:crossBetween val="midCat"/>
      </c:valAx>
      <c:valAx>
        <c:axId val="109359068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RockFraction.ml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5902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864235</xdr:colOff>
      <xdr:row>31</xdr:row>
      <xdr:rowOff>53340</xdr:rowOff>
    </xdr:from>
    <xdr:to>
      <xdr:col>9</xdr:col>
      <xdr:colOff>404495</xdr:colOff>
      <xdr:row>46</xdr:row>
      <xdr:rowOff>33020</xdr:rowOff>
    </xdr:to>
    <xdr:graphicFrame macro="">
      <xdr:nvGraphicFramePr>
        <xdr:cNvPr id="3" name="Chart 2">
          <a:extLst>
            <a:ext uri="{FF2B5EF4-FFF2-40B4-BE49-F238E27FC236}">
              <a16:creationId xmlns:a16="http://schemas.microsoft.com/office/drawing/2014/main" id="{CC8FD3D0-87A4-D24A-EEFB-7A23669326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638175</xdr:colOff>
      <xdr:row>31</xdr:row>
      <xdr:rowOff>95250</xdr:rowOff>
    </xdr:from>
    <xdr:to>
      <xdr:col>15</xdr:col>
      <xdr:colOff>66675</xdr:colOff>
      <xdr:row>46</xdr:row>
      <xdr:rowOff>76200</xdr:rowOff>
    </xdr:to>
    <xdr:graphicFrame macro="">
      <xdr:nvGraphicFramePr>
        <xdr:cNvPr id="2" name="Chart 1">
          <a:extLst>
            <a:ext uri="{FF2B5EF4-FFF2-40B4-BE49-F238E27FC236}">
              <a16:creationId xmlns:a16="http://schemas.microsoft.com/office/drawing/2014/main" id="{4DE69DBA-48C6-B044-3403-9532C79958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61598-2F1F-4AD4-A0A0-AA6D3AAF6847}">
  <dimension ref="A1:AH38"/>
  <sheetViews>
    <sheetView workbookViewId="0">
      <selection activeCell="B44" sqref="B44"/>
    </sheetView>
  </sheetViews>
  <sheetFormatPr baseColWidth="10" defaultColWidth="8.83203125" defaultRowHeight="15" x14ac:dyDescent="0.2"/>
  <cols>
    <col min="2" max="2" width="15.33203125" bestFit="1" customWidth="1"/>
    <col min="5" max="5" width="10.5" bestFit="1" customWidth="1"/>
    <col min="6" max="6" width="10.1640625" bestFit="1" customWidth="1"/>
    <col min="7" max="7" width="10.83203125" bestFit="1" customWidth="1"/>
    <col min="8" max="8" width="10" bestFit="1" customWidth="1"/>
    <col min="9" max="9" width="9" bestFit="1" customWidth="1"/>
    <col min="10" max="10" width="12.1640625" bestFit="1" customWidth="1"/>
    <col min="11" max="11" width="10" bestFit="1" customWidth="1"/>
    <col min="12" max="12" width="12.1640625" bestFit="1" customWidth="1"/>
    <col min="13" max="14" width="13.33203125" bestFit="1" customWidth="1"/>
    <col min="15" max="15" width="12.6640625" bestFit="1" customWidth="1"/>
    <col min="16" max="16" width="11.33203125" bestFit="1" customWidth="1"/>
    <col min="17" max="17" width="13.33203125" bestFit="1" customWidth="1"/>
    <col min="18" max="18" width="12.6640625" bestFit="1" customWidth="1"/>
    <col min="20" max="20" width="10.83203125" bestFit="1" customWidth="1"/>
    <col min="21" max="21" width="9.83203125" bestFit="1" customWidth="1"/>
    <col min="22" max="22" width="16.5" bestFit="1" customWidth="1"/>
    <col min="23" max="23" width="14.1640625" bestFit="1" customWidth="1"/>
    <col min="24" max="24" width="14.1640625" customWidth="1"/>
    <col min="25" max="25" width="14.83203125" bestFit="1" customWidth="1"/>
    <col min="26" max="26" width="14.6640625" bestFit="1" customWidth="1"/>
    <col min="27" max="27" width="13.5" bestFit="1" customWidth="1"/>
    <col min="28" max="28" width="14.83203125" bestFit="1" customWidth="1"/>
    <col min="29" max="29" width="13.6640625" bestFit="1" customWidth="1"/>
    <col min="30" max="30" width="16.1640625" bestFit="1" customWidth="1"/>
    <col min="31" max="31" width="14.1640625" bestFit="1" customWidth="1"/>
    <col min="32" max="32" width="16.6640625" bestFit="1" customWidth="1"/>
  </cols>
  <sheetData>
    <row r="1" spans="1:31" x14ac:dyDescent="0.2">
      <c r="A1" t="s">
        <v>56</v>
      </c>
    </row>
    <row r="2" spans="1:31" x14ac:dyDescent="0.2">
      <c r="A2" t="s">
        <v>82</v>
      </c>
    </row>
    <row r="3" spans="1:31" x14ac:dyDescent="0.2">
      <c r="A3" t="s">
        <v>53</v>
      </c>
    </row>
    <row r="4" spans="1:31" x14ac:dyDescent="0.2">
      <c r="A4" t="s">
        <v>54</v>
      </c>
    </row>
    <row r="5" spans="1:31" x14ac:dyDescent="0.2">
      <c r="B5" t="s">
        <v>81</v>
      </c>
    </row>
    <row r="6" spans="1:31" x14ac:dyDescent="0.2">
      <c r="A6" s="8" t="s">
        <v>51</v>
      </c>
    </row>
    <row r="7" spans="1:31" x14ac:dyDescent="0.2">
      <c r="A7" s="1" t="s">
        <v>0</v>
      </c>
      <c r="B7" s="1" t="s">
        <v>1</v>
      </c>
      <c r="C7" s="1" t="s">
        <v>2</v>
      </c>
      <c r="D7" s="2" t="s">
        <v>3</v>
      </c>
      <c r="E7" s="2" t="s">
        <v>4</v>
      </c>
      <c r="F7" s="1" t="s">
        <v>5</v>
      </c>
      <c r="G7" s="1" t="s">
        <v>6</v>
      </c>
      <c r="H7" s="2" t="s">
        <v>7</v>
      </c>
      <c r="I7" s="2" t="s">
        <v>8</v>
      </c>
      <c r="J7" s="4" t="s">
        <v>9</v>
      </c>
      <c r="K7" s="1" t="s">
        <v>17</v>
      </c>
      <c r="L7" s="1" t="s">
        <v>10</v>
      </c>
      <c r="M7" s="4" t="s">
        <v>11</v>
      </c>
      <c r="N7" s="4" t="s">
        <v>12</v>
      </c>
      <c r="O7" s="1" t="s">
        <v>15</v>
      </c>
      <c r="P7" s="1" t="s">
        <v>16</v>
      </c>
      <c r="Q7" s="1" t="s">
        <v>22</v>
      </c>
      <c r="R7" s="3" t="s">
        <v>14</v>
      </c>
      <c r="S7" s="1" t="s">
        <v>13</v>
      </c>
      <c r="T7" s="3" t="s">
        <v>27</v>
      </c>
      <c r="U7" s="9" t="s">
        <v>20</v>
      </c>
      <c r="V7" s="10" t="s">
        <v>23</v>
      </c>
      <c r="W7" s="10" t="s">
        <v>26</v>
      </c>
      <c r="X7" s="10" t="s">
        <v>24</v>
      </c>
      <c r="Y7" s="10" t="s">
        <v>25</v>
      </c>
      <c r="Z7" s="10" t="s">
        <v>28</v>
      </c>
      <c r="AA7" s="3" t="s">
        <v>35</v>
      </c>
      <c r="AB7" s="3" t="s">
        <v>36</v>
      </c>
      <c r="AC7" s="11" t="s">
        <v>38</v>
      </c>
      <c r="AD7" s="3" t="s">
        <v>39</v>
      </c>
      <c r="AE7" s="3" t="s">
        <v>40</v>
      </c>
    </row>
    <row r="8" spans="1:31" x14ac:dyDescent="0.2">
      <c r="A8">
        <v>241212</v>
      </c>
      <c r="B8" t="s">
        <v>18</v>
      </c>
      <c r="C8" t="s">
        <v>19</v>
      </c>
      <c r="D8">
        <v>70</v>
      </c>
      <c r="E8">
        <v>1</v>
      </c>
      <c r="F8" s="15" t="s">
        <v>47</v>
      </c>
      <c r="G8" s="16">
        <f t="shared" ref="G8:G11" si="0">IF(LEFT(F8,3)="CCR",72,IF(LEFT(F8,3)="NRV",666,IF(LEFT(F8,3)="TSZ",1219,IF(LEFT(F8,3)="JLA",1521,0))))</f>
        <v>1521</v>
      </c>
      <c r="H8" s="16" t="str">
        <f t="shared" ref="H8:H11" si="1">IF(LEFT(F8,3)="CCR","CCR-COL",IF(LEFT(F8,3)="NRV","NRV-NEW",IF(LEFT(F8,3)="TSZ","TSZ-SAN",IF(LEFT(F8,3)="JLA","JLA-JAK",0))))</f>
        <v>JLA-JAK</v>
      </c>
      <c r="I8" s="17">
        <f t="array" aca="1" ref="I8" ca="1">IF(SUM(LEN(F8)-LEN(SUBSTITUTE(F8, {"0","1","2","3","4","5","6","7","8","9"}, "")))&gt;0, SUMPRODUCT(MID(0&amp;F8, LARGE(INDEX(ISNUMBER(--MID(F8,ROW(INDIRECT("$1:$"&amp;LEN(F8))),1))* ROW(INDIRECT("$1:$"&amp;LEN(F8))),0), ROW(INDIRECT("$1:$"&amp;LEN(F8))))+1,1) * 10^ROW(INDIRECT("$1:$"&amp;LEN(F8)))/10),"")</f>
        <v>158</v>
      </c>
      <c r="J8">
        <v>24.5</v>
      </c>
      <c r="K8" s="7">
        <f>PI()*((5.175/2)^2)*J8</f>
        <v>515.31961539607676</v>
      </c>
      <c r="L8" t="s">
        <v>21</v>
      </c>
      <c r="M8">
        <v>725.2</v>
      </c>
      <c r="N8">
        <v>516</v>
      </c>
      <c r="O8">
        <f>M8-N8</f>
        <v>209.20000000000005</v>
      </c>
      <c r="P8">
        <f>O8*(1/1)</f>
        <v>209.20000000000005</v>
      </c>
      <c r="Q8" s="7">
        <f>K8-P8</f>
        <v>306.11961539607671</v>
      </c>
      <c r="R8" s="5">
        <f>(K8-Q8)/K8</f>
        <v>0.40596164739277019</v>
      </c>
      <c r="S8" s="5">
        <f>O8/N8</f>
        <v>0.40542635658914739</v>
      </c>
      <c r="T8" s="6">
        <f>P8/K8</f>
        <v>0.40596164739277019</v>
      </c>
      <c r="U8">
        <f>61.2-36</f>
        <v>25.200000000000003</v>
      </c>
      <c r="V8" s="7">
        <f>PI()*((5.175/2)^2)*U8</f>
        <v>530.04303297882188</v>
      </c>
      <c r="W8" s="7">
        <f>V8-P8</f>
        <v>320.84303297882184</v>
      </c>
      <c r="X8" s="5">
        <f>(V8-W8)/V8</f>
        <v>0.39468493496519313</v>
      </c>
      <c r="Y8" s="7">
        <f>(S8/X8)*100</f>
        <v>102.72151801915153</v>
      </c>
      <c r="Z8" s="6">
        <f>P8/V8</f>
        <v>0.39468493496519313</v>
      </c>
      <c r="AA8">
        <v>205</v>
      </c>
      <c r="AB8">
        <v>383.8</v>
      </c>
      <c r="AC8" s="6">
        <f>AB8/AA8</f>
        <v>1.8721951219512196</v>
      </c>
      <c r="AD8" s="12">
        <f>AA8/K8</f>
        <v>0.39781136575295345</v>
      </c>
      <c r="AE8" s="6">
        <f>N8/K8</f>
        <v>1.0013203157488975</v>
      </c>
    </row>
    <row r="9" spans="1:31" x14ac:dyDescent="0.2">
      <c r="A9">
        <v>241212</v>
      </c>
      <c r="B9" t="s">
        <v>18</v>
      </c>
      <c r="C9" t="s">
        <v>19</v>
      </c>
      <c r="D9">
        <v>75</v>
      </c>
      <c r="E9">
        <v>1</v>
      </c>
      <c r="F9" s="15" t="s">
        <v>46</v>
      </c>
      <c r="G9" s="16">
        <f t="shared" si="0"/>
        <v>1521</v>
      </c>
      <c r="H9" s="16" t="str">
        <f t="shared" si="1"/>
        <v>JLA-JAK</v>
      </c>
      <c r="I9" s="17">
        <f t="array" aca="1" ref="I9" ca="1">IF(SUM(LEN(F9)-LEN(SUBSTITUTE(F9, {"0","1","2","3","4","5","6","7","8","9"}, "")))&gt;0, SUMPRODUCT(MID(0&amp;F9, LARGE(INDEX(ISNUMBER(--MID(F9,ROW(INDIRECT("$1:$"&amp;LEN(F9))),1))* ROW(INDIRECT("$1:$"&amp;LEN(F9))),0), ROW(INDIRECT("$1:$"&amp;LEN(F9))))+1,1) * 10^ROW(INDIRECT("$1:$"&amp;LEN(F9)))/10),"")</f>
        <v>156</v>
      </c>
      <c r="J9">
        <v>24</v>
      </c>
      <c r="K9" s="7">
        <f>PI()*((5.175/2)^2)*J9</f>
        <v>504.80288855125883</v>
      </c>
      <c r="L9" t="s">
        <v>21</v>
      </c>
      <c r="M9">
        <v>304.60000000000002</v>
      </c>
      <c r="N9">
        <v>176.6</v>
      </c>
      <c r="O9">
        <f t="shared" ref="O9:O11" si="2">M9-N9</f>
        <v>128.00000000000003</v>
      </c>
      <c r="P9">
        <f t="shared" ref="P9:P11" si="3">O9*(1/1)</f>
        <v>128.00000000000003</v>
      </c>
      <c r="Q9" s="7">
        <f>K9-P9</f>
        <v>376.80288855125877</v>
      </c>
      <c r="R9" s="5">
        <f>(K9-Q9)/K9</f>
        <v>0.25356431768318349</v>
      </c>
      <c r="S9" s="5">
        <f>O9/N9</f>
        <v>0.7248018120045302</v>
      </c>
      <c r="T9" s="6">
        <f>P9/K9</f>
        <v>0.25356431768318344</v>
      </c>
      <c r="U9" s="8">
        <v>10.5</v>
      </c>
      <c r="V9" s="7">
        <f>PI()*((5.175/2)^2)*U9</f>
        <v>220.85126374117573</v>
      </c>
      <c r="W9" s="7">
        <f>V9-P9</f>
        <v>92.8512637411757</v>
      </c>
      <c r="X9" s="5">
        <f t="shared" ref="X9:X11" si="4">(V9-W9)/V9</f>
        <v>0.57957558327584779</v>
      </c>
      <c r="Y9" s="7">
        <f>(S9/X9)*100</f>
        <v>125.05734073679263</v>
      </c>
      <c r="Z9" s="6">
        <f>P9/V9</f>
        <v>0.57957558327584779</v>
      </c>
      <c r="AA9">
        <v>48</v>
      </c>
      <c r="AB9">
        <v>92.4</v>
      </c>
      <c r="AC9" s="6">
        <f t="shared" ref="AC9:AC11" si="5">AB9/AA9</f>
        <v>1.925</v>
      </c>
      <c r="AD9" s="13">
        <f>AA9/K9</f>
        <v>9.5086619131193761E-2</v>
      </c>
      <c r="AE9" s="14">
        <f>N9/K9</f>
        <v>0.34983951955351705</v>
      </c>
    </row>
    <row r="10" spans="1:31" x14ac:dyDescent="0.2">
      <c r="A10">
        <v>241212</v>
      </c>
      <c r="B10" t="s">
        <v>18</v>
      </c>
      <c r="C10" t="s">
        <v>19</v>
      </c>
      <c r="D10">
        <v>87</v>
      </c>
      <c r="E10">
        <v>1</v>
      </c>
      <c r="F10" t="s">
        <v>46</v>
      </c>
      <c r="G10" s="16">
        <f t="shared" si="0"/>
        <v>1521</v>
      </c>
      <c r="H10" s="16" t="str">
        <f t="shared" si="1"/>
        <v>JLA-JAK</v>
      </c>
      <c r="I10" s="17">
        <f t="array" aca="1" ref="I10" ca="1">IF(SUM(LEN(F10)-LEN(SUBSTITUTE(F10, {"0","1","2","3","4","5","6","7","8","9"}, "")))&gt;0, SUMPRODUCT(MID(0&amp;F10, LARGE(INDEX(ISNUMBER(--MID(F10,ROW(INDIRECT("$1:$"&amp;LEN(F10))),1))* ROW(INDIRECT("$1:$"&amp;LEN(F10))),0), ROW(INDIRECT("$1:$"&amp;LEN(F10))))+1,1) * 10^ROW(INDIRECT("$1:$"&amp;LEN(F10)))/10),"")</f>
        <v>156</v>
      </c>
      <c r="J10">
        <v>24</v>
      </c>
      <c r="K10" s="7">
        <f>PI()*((5.175/2)^2)*J10</f>
        <v>504.80288855125883</v>
      </c>
      <c r="L10" t="s">
        <v>21</v>
      </c>
      <c r="M10">
        <v>532.6</v>
      </c>
      <c r="N10">
        <v>327</v>
      </c>
      <c r="O10">
        <f t="shared" si="2"/>
        <v>205.60000000000002</v>
      </c>
      <c r="P10">
        <f t="shared" si="3"/>
        <v>205.60000000000002</v>
      </c>
      <c r="Q10" s="7">
        <f t="shared" ref="Q10:Q11" si="6">K10-P10</f>
        <v>299.20288855125881</v>
      </c>
      <c r="R10" s="5">
        <f t="shared" ref="R10:R11" si="7">(K10-Q10)/K10</f>
        <v>0.40728768527861331</v>
      </c>
      <c r="S10" s="5">
        <f t="shared" ref="S10:S11" si="8">O10/N10</f>
        <v>0.62874617737003069</v>
      </c>
      <c r="T10" s="6">
        <f>P10/K10</f>
        <v>0.40728768527861331</v>
      </c>
      <c r="U10">
        <v>17</v>
      </c>
      <c r="V10" s="7">
        <f t="shared" ref="V10:V11" si="9">PI()*((5.175/2)^2)*U10</f>
        <v>357.56871272380835</v>
      </c>
      <c r="W10" s="7">
        <f>V10-P10</f>
        <v>151.96871272380832</v>
      </c>
      <c r="X10" s="5">
        <f t="shared" si="4"/>
        <v>0.5749943792168658</v>
      </c>
      <c r="Y10" s="7">
        <f>(S10/X10)*100</f>
        <v>109.3482301907671</v>
      </c>
      <c r="Z10" s="6">
        <f>P10/V10</f>
        <v>0.5749943792168658</v>
      </c>
      <c r="AA10">
        <v>102</v>
      </c>
      <c r="AB10">
        <v>204.6</v>
      </c>
      <c r="AC10" s="6">
        <f t="shared" si="5"/>
        <v>2.0058823529411764</v>
      </c>
      <c r="AD10" s="12">
        <f>AA10/K10</f>
        <v>0.20205906565378673</v>
      </c>
      <c r="AE10" s="6">
        <f>N10/K10</f>
        <v>0.64777759283125746</v>
      </c>
    </row>
    <row r="11" spans="1:31" x14ac:dyDescent="0.2">
      <c r="A11">
        <v>241212</v>
      </c>
      <c r="B11" t="s">
        <v>18</v>
      </c>
      <c r="C11" t="s">
        <v>19</v>
      </c>
      <c r="D11">
        <v>88</v>
      </c>
      <c r="E11">
        <v>1</v>
      </c>
      <c r="F11" t="s">
        <v>48</v>
      </c>
      <c r="G11" s="16">
        <f t="shared" si="0"/>
        <v>1521</v>
      </c>
      <c r="H11" s="16" t="str">
        <f t="shared" si="1"/>
        <v>JLA-JAK</v>
      </c>
      <c r="I11" s="17">
        <f t="array" aca="1" ref="I11" ca="1">IF(SUM(LEN(F11)-LEN(SUBSTITUTE(F11, {"0","1","2","3","4","5","6","7","8","9"}, "")))&gt;0, SUMPRODUCT(MID(0&amp;F11, LARGE(INDEX(ISNUMBER(--MID(F11,ROW(INDIRECT("$1:$"&amp;LEN(F11))),1))* ROW(INDIRECT("$1:$"&amp;LEN(F11))),0), ROW(INDIRECT("$1:$"&amp;LEN(F11))))+1,1) * 10^ROW(INDIRECT("$1:$"&amp;LEN(F11)))/10),"")</f>
        <v>151</v>
      </c>
      <c r="J11">
        <v>22.5</v>
      </c>
      <c r="K11" s="7">
        <f>PI()*((5.175/2)^2)*J11</f>
        <v>473.25270801680517</v>
      </c>
      <c r="L11" t="s">
        <v>21</v>
      </c>
      <c r="M11">
        <v>601.5</v>
      </c>
      <c r="N11">
        <v>475.8</v>
      </c>
      <c r="O11">
        <f t="shared" si="2"/>
        <v>125.69999999999999</v>
      </c>
      <c r="P11">
        <f t="shared" si="3"/>
        <v>125.69999999999999</v>
      </c>
      <c r="Q11" s="7">
        <f t="shared" si="6"/>
        <v>347.55270801680518</v>
      </c>
      <c r="R11" s="5">
        <f t="shared" si="7"/>
        <v>0.26560862277313452</v>
      </c>
      <c r="S11" s="5">
        <f t="shared" si="8"/>
        <v>0.26418663303909201</v>
      </c>
      <c r="T11" s="6">
        <f>P11/K11</f>
        <v>0.26560862277313452</v>
      </c>
      <c r="U11">
        <v>21</v>
      </c>
      <c r="V11" s="7">
        <f t="shared" si="9"/>
        <v>441.70252748235146</v>
      </c>
      <c r="W11" s="7">
        <f>V11-P11</f>
        <v>316.00252748235147</v>
      </c>
      <c r="X11" s="5">
        <f t="shared" si="4"/>
        <v>0.28458066725692988</v>
      </c>
      <c r="Y11" s="7">
        <f>(S11/X11)*100</f>
        <v>92.833654367875468</v>
      </c>
      <c r="Z11" s="6">
        <f>P11/V11</f>
        <v>0.28458066725692988</v>
      </c>
      <c r="AA11">
        <v>170</v>
      </c>
      <c r="AB11">
        <v>348.6</v>
      </c>
      <c r="AC11" s="6">
        <f t="shared" si="5"/>
        <v>2.0505882352941178</v>
      </c>
      <c r="AD11" s="12">
        <f>AA11/K11</f>
        <v>0.35921611671784309</v>
      </c>
      <c r="AE11" s="6">
        <f>N11/K11</f>
        <v>1.005382519613822</v>
      </c>
    </row>
    <row r="12" spans="1:31" x14ac:dyDescent="0.2">
      <c r="X12" s="5"/>
    </row>
    <row r="13" spans="1:31" x14ac:dyDescent="0.2">
      <c r="Q13" s="3" t="s">
        <v>49</v>
      </c>
      <c r="T13" s="6">
        <f>AVERAGE(T8:T11)</f>
        <v>0.33310556828192533</v>
      </c>
      <c r="Z13" s="6">
        <f>AVERAGE(Z8:Z11)</f>
        <v>0.45845889117870908</v>
      </c>
      <c r="AC13" s="6">
        <f>AVERAGE(AC8:AC11)</f>
        <v>1.9634164275466284</v>
      </c>
      <c r="AD13" s="12">
        <f>AVERAGE(AD8:AD11)</f>
        <v>0.26354329181394426</v>
      </c>
    </row>
    <row r="14" spans="1:31" x14ac:dyDescent="0.2">
      <c r="A14" t="s">
        <v>83</v>
      </c>
      <c r="Q14" s="3" t="s">
        <v>50</v>
      </c>
      <c r="T14" s="6">
        <f>STDEV(T8:T11)/SQRT(COUNT(T8:T11))</f>
        <v>4.2518273468929994E-2</v>
      </c>
      <c r="Z14" s="6">
        <f>STDEV(Z8:Z11)/SQRT(COUNT(Z8:Z11))</f>
        <v>7.2197949718211349E-2</v>
      </c>
      <c r="AD14" s="12">
        <f>STDEV(AD8:AD11)/SQRT(COUNT(AD8:AD11))</f>
        <v>7.0320199647896348E-2</v>
      </c>
    </row>
    <row r="15" spans="1:31" x14ac:dyDescent="0.2">
      <c r="A15" t="s">
        <v>55</v>
      </c>
    </row>
    <row r="16" spans="1:31" x14ac:dyDescent="0.2">
      <c r="A16" t="s">
        <v>80</v>
      </c>
    </row>
    <row r="18" spans="1:34" x14ac:dyDescent="0.2">
      <c r="A18" s="8" t="s">
        <v>52</v>
      </c>
    </row>
    <row r="19" spans="1:34" x14ac:dyDescent="0.2">
      <c r="A19" s="1" t="s">
        <v>0</v>
      </c>
      <c r="B19" s="1" t="s">
        <v>1</v>
      </c>
      <c r="C19" s="1" t="s">
        <v>2</v>
      </c>
      <c r="D19" s="2" t="s">
        <v>3</v>
      </c>
      <c r="E19" s="1" t="s">
        <v>29</v>
      </c>
      <c r="F19" s="1" t="s">
        <v>5</v>
      </c>
      <c r="G19" s="1" t="s">
        <v>6</v>
      </c>
      <c r="H19" s="2" t="s">
        <v>7</v>
      </c>
      <c r="I19" s="2" t="s">
        <v>8</v>
      </c>
      <c r="J19" s="1" t="s">
        <v>30</v>
      </c>
      <c r="K19" s="1" t="s">
        <v>17</v>
      </c>
      <c r="L19" s="1" t="s">
        <v>10</v>
      </c>
      <c r="M19" s="1" t="s">
        <v>32</v>
      </c>
      <c r="N19" s="1" t="s">
        <v>33</v>
      </c>
      <c r="O19" s="1" t="s">
        <v>34</v>
      </c>
      <c r="P19" s="1" t="s">
        <v>31</v>
      </c>
      <c r="Q19" s="4" t="s">
        <v>11</v>
      </c>
      <c r="R19" s="4" t="s">
        <v>12</v>
      </c>
      <c r="S19" s="1" t="s">
        <v>15</v>
      </c>
      <c r="T19" s="1" t="s">
        <v>16</v>
      </c>
      <c r="U19" s="1" t="s">
        <v>22</v>
      </c>
      <c r="V19" s="3" t="s">
        <v>14</v>
      </c>
      <c r="W19" s="1" t="s">
        <v>13</v>
      </c>
      <c r="X19" s="10" t="s">
        <v>45</v>
      </c>
      <c r="Y19" s="3" t="s">
        <v>43</v>
      </c>
      <c r="Z19" s="3" t="s">
        <v>44</v>
      </c>
      <c r="AA19" s="3" t="s">
        <v>37</v>
      </c>
      <c r="AB19" s="3" t="s">
        <v>42</v>
      </c>
      <c r="AC19" s="3" t="s">
        <v>41</v>
      </c>
      <c r="AD19" s="3" t="s">
        <v>58</v>
      </c>
      <c r="AE19" s="3" t="s">
        <v>40</v>
      </c>
    </row>
    <row r="20" spans="1:34" x14ac:dyDescent="0.2">
      <c r="A20">
        <v>241212</v>
      </c>
      <c r="B20" t="s">
        <v>18</v>
      </c>
      <c r="C20" t="s">
        <v>19</v>
      </c>
      <c r="D20">
        <v>70</v>
      </c>
      <c r="E20">
        <v>1</v>
      </c>
      <c r="F20" s="15" t="s">
        <v>47</v>
      </c>
      <c r="G20" s="16">
        <f t="shared" ref="G20" si="10">IF(LEFT(F20,3)="CCR",72,IF(LEFT(F20,3)="NRV",666,IF(LEFT(F20,3)="TSZ",1219,IF(LEFT(F20,3)="JLA",1521,0))))</f>
        <v>1521</v>
      </c>
      <c r="H20" s="16" t="str">
        <f t="shared" ref="H20" si="11">IF(LEFT(F20,3)="CCR","CCR-COL",IF(LEFT(F20,3)="NRV","NRV-NEW",IF(LEFT(F20,3)="TSZ","TSZ-SAN",IF(LEFT(F20,3)="JLA","JLA-JAK",0))))</f>
        <v>JLA-JAK</v>
      </c>
      <c r="I20" s="17">
        <f t="array" aca="1" ref="I20" ca="1">IF(SUM(LEN(F20)-LEN(SUBSTITUTE(F20, {"0","1","2","3","4","5","6","7","8","9"}, "")))&gt;0, SUMPRODUCT(MID(0&amp;F20, LARGE(INDEX(ISNUMBER(--MID(F20,ROW(INDIRECT("$1:$"&amp;LEN(F20))),1))* ROW(INDIRECT("$1:$"&amp;LEN(F20))),0), ROW(INDIRECT("$1:$"&amp;LEN(F20))))+1,1) * 10^ROW(INDIRECT("$1:$"&amp;LEN(F20)))/10),"")</f>
        <v>158</v>
      </c>
      <c r="J20">
        <v>44.7</v>
      </c>
      <c r="K20">
        <v>236.58799999999999</v>
      </c>
      <c r="L20" t="s">
        <v>21</v>
      </c>
      <c r="M20">
        <v>363.8</v>
      </c>
      <c r="N20">
        <v>387</v>
      </c>
      <c r="O20">
        <v>274.7</v>
      </c>
      <c r="P20">
        <f>M20-J20</f>
        <v>319.10000000000002</v>
      </c>
      <c r="Q20">
        <f>N20-J20</f>
        <v>342.3</v>
      </c>
      <c r="R20">
        <f>O20-J20</f>
        <v>230</v>
      </c>
      <c r="S20">
        <f>Q20-R20</f>
        <v>112.30000000000001</v>
      </c>
      <c r="T20">
        <f>S20*(1/1)</f>
        <v>112.30000000000001</v>
      </c>
      <c r="U20" s="7">
        <f>K20-T20</f>
        <v>124.28799999999998</v>
      </c>
      <c r="V20" s="5">
        <f>(K20-U20)/K20</f>
        <v>0.47466481816491124</v>
      </c>
      <c r="W20" s="6">
        <f>(Q20-R20)/R20</f>
        <v>0.48826086956521741</v>
      </c>
      <c r="X20" s="5">
        <f t="shared" ref="X20:X27" si="12">T20/K20</f>
        <v>0.47466481816491124</v>
      </c>
      <c r="Y20">
        <v>105</v>
      </c>
      <c r="Z20">
        <v>190.7</v>
      </c>
      <c r="AA20">
        <v>0.2</v>
      </c>
      <c r="AB20" s="7">
        <f t="shared" ref="AB20:AB27" si="13">Z20*(1/AC$13)</f>
        <v>97.126619358221262</v>
      </c>
      <c r="AC20" s="12">
        <f t="shared" ref="AC20:AC27" si="14">Y20/K20</f>
        <v>0.44380949160566047</v>
      </c>
      <c r="AD20" s="12">
        <f t="shared" ref="AD20:AD27" si="15">Z20/R20</f>
        <v>0.82913043478260862</v>
      </c>
      <c r="AE20" s="6">
        <f t="shared" ref="AE20:AE27" si="16">R20/K20</f>
        <v>0.97215412446954197</v>
      </c>
      <c r="AG20" s="6"/>
      <c r="AH20" s="12"/>
    </row>
    <row r="21" spans="1:34" x14ac:dyDescent="0.2">
      <c r="A21">
        <v>241212</v>
      </c>
      <c r="B21" t="s">
        <v>18</v>
      </c>
      <c r="C21" t="s">
        <v>19</v>
      </c>
      <c r="D21">
        <v>70</v>
      </c>
      <c r="E21">
        <v>2</v>
      </c>
      <c r="F21" s="15" t="s">
        <v>47</v>
      </c>
      <c r="G21" s="16">
        <f t="shared" ref="G21:G27" si="17">IF(LEFT(F21,3)="CCR",72,IF(LEFT(F21,3)="NRV",666,IF(LEFT(F21,3)="TSZ",1219,IF(LEFT(F21,3)="JLA",1521,0))))</f>
        <v>1521</v>
      </c>
      <c r="H21" s="16" t="str">
        <f t="shared" ref="H21:H27" si="18">IF(LEFT(F21,3)="CCR","CCR-COL",IF(LEFT(F21,3)="NRV","NRV-NEW",IF(LEFT(F21,3)="TSZ","TSZ-SAN",IF(LEFT(F21,3)="JLA","JLA-JAK",0))))</f>
        <v>JLA-JAK</v>
      </c>
      <c r="I21" s="17">
        <f t="array" aca="1" ref="I21" ca="1">IF(SUM(LEN(F21)-LEN(SUBSTITUTE(F21, {"0","1","2","3","4","5","6","7","8","9"}, "")))&gt;0, SUMPRODUCT(MID(0&amp;F21, LARGE(INDEX(ISNUMBER(--MID(F21,ROW(INDIRECT("$1:$"&amp;LEN(F21))),1))* ROW(INDIRECT("$1:$"&amp;LEN(F21))),0), ROW(INDIRECT("$1:$"&amp;LEN(F21))))+1,1) * 10^ROW(INDIRECT("$1:$"&amp;LEN(F21)))/10),"")</f>
        <v>158</v>
      </c>
      <c r="J21">
        <v>45.1</v>
      </c>
      <c r="K21">
        <v>236.58799999999999</v>
      </c>
      <c r="L21" t="s">
        <v>21</v>
      </c>
      <c r="M21">
        <v>346.4</v>
      </c>
      <c r="N21">
        <v>355</v>
      </c>
      <c r="O21">
        <v>283</v>
      </c>
      <c r="P21">
        <f t="shared" ref="P21:P27" si="19">M21-J21</f>
        <v>301.29999999999995</v>
      </c>
      <c r="Q21">
        <f t="shared" ref="Q21:Q27" si="20">N21-J21</f>
        <v>309.89999999999998</v>
      </c>
      <c r="R21">
        <f t="shared" ref="R21:R27" si="21">O21-J21</f>
        <v>237.9</v>
      </c>
      <c r="S21">
        <f>Q21-R21</f>
        <v>71.999999999999972</v>
      </c>
      <c r="T21">
        <f t="shared" ref="T21:T27" si="22">S21*(1/1)</f>
        <v>71.999999999999972</v>
      </c>
      <c r="U21" s="7">
        <f t="shared" ref="U21:U27" si="23">K21-T21</f>
        <v>164.58800000000002</v>
      </c>
      <c r="V21" s="5">
        <f t="shared" ref="V21:V26" si="24">(K21-U21)/K21</f>
        <v>0.30432650852959564</v>
      </c>
      <c r="W21" s="6">
        <f t="shared" ref="W21:W27" si="25">(Q21-R21)/R21</f>
        <v>0.30264817150063039</v>
      </c>
      <c r="X21" s="5">
        <f t="shared" si="12"/>
        <v>0.30432650852959564</v>
      </c>
      <c r="Y21">
        <v>99</v>
      </c>
      <c r="Z21">
        <v>185.6</v>
      </c>
      <c r="AA21">
        <v>0.8</v>
      </c>
      <c r="AB21" s="7">
        <f t="shared" si="13"/>
        <v>94.529106202862437</v>
      </c>
      <c r="AC21" s="12">
        <f t="shared" si="14"/>
        <v>0.41844894922819414</v>
      </c>
      <c r="AD21" s="12">
        <f t="shared" si="15"/>
        <v>0.78015973097940305</v>
      </c>
      <c r="AE21" s="6">
        <f t="shared" si="16"/>
        <v>1.0055455052665394</v>
      </c>
      <c r="AG21" s="6"/>
      <c r="AH21" s="12"/>
    </row>
    <row r="22" spans="1:34" x14ac:dyDescent="0.2">
      <c r="A22">
        <v>241212</v>
      </c>
      <c r="B22" t="s">
        <v>18</v>
      </c>
      <c r="C22" t="s">
        <v>19</v>
      </c>
      <c r="D22">
        <v>75</v>
      </c>
      <c r="E22">
        <v>3</v>
      </c>
      <c r="F22" s="15" t="s">
        <v>46</v>
      </c>
      <c r="G22" s="16">
        <f t="shared" si="17"/>
        <v>1521</v>
      </c>
      <c r="H22" s="16" t="str">
        <f t="shared" si="18"/>
        <v>JLA-JAK</v>
      </c>
      <c r="I22" s="17">
        <f t="array" aca="1" ref="I22" ca="1">IF(SUM(LEN(F22)-LEN(SUBSTITUTE(F22, {"0","1","2","3","4","5","6","7","8","9"}, "")))&gt;0, SUMPRODUCT(MID(0&amp;F22, LARGE(INDEX(ISNUMBER(--MID(F22,ROW(INDIRECT("$1:$"&amp;LEN(F22))),1))* ROW(INDIRECT("$1:$"&amp;LEN(F22))),0), ROW(INDIRECT("$1:$"&amp;LEN(F22))))+1,1) * 10^ROW(INDIRECT("$1:$"&amp;LEN(F22)))/10),"")</f>
        <v>156</v>
      </c>
      <c r="J22">
        <v>44.9</v>
      </c>
      <c r="K22">
        <v>236.58799999999999</v>
      </c>
      <c r="L22" t="s">
        <v>21</v>
      </c>
      <c r="M22">
        <v>325.2</v>
      </c>
      <c r="N22">
        <v>350.4</v>
      </c>
      <c r="O22">
        <v>224.4</v>
      </c>
      <c r="P22">
        <f t="shared" si="19"/>
        <v>280.3</v>
      </c>
      <c r="Q22">
        <f t="shared" si="20"/>
        <v>305.5</v>
      </c>
      <c r="R22">
        <f t="shared" si="21"/>
        <v>179.5</v>
      </c>
      <c r="S22">
        <f t="shared" ref="S22:S27" si="26">Q22-R22</f>
        <v>126</v>
      </c>
      <c r="T22">
        <f t="shared" si="22"/>
        <v>126</v>
      </c>
      <c r="U22" s="7">
        <f t="shared" si="23"/>
        <v>110.58799999999999</v>
      </c>
      <c r="V22" s="5">
        <f t="shared" si="24"/>
        <v>0.53257138992679254</v>
      </c>
      <c r="W22" s="6">
        <f t="shared" si="25"/>
        <v>0.70194986072423393</v>
      </c>
      <c r="X22" s="5">
        <f t="shared" si="12"/>
        <v>0.53257138992679254</v>
      </c>
      <c r="Y22">
        <v>59</v>
      </c>
      <c r="Z22">
        <v>109.5</v>
      </c>
      <c r="AA22">
        <v>2.4</v>
      </c>
      <c r="AB22" s="7">
        <f t="shared" si="13"/>
        <v>55.770135394468952</v>
      </c>
      <c r="AC22" s="12">
        <f t="shared" si="14"/>
        <v>0.24937866671175207</v>
      </c>
      <c r="AD22" s="12">
        <f t="shared" si="15"/>
        <v>0.61002785515320335</v>
      </c>
      <c r="AE22" s="6">
        <f t="shared" si="16"/>
        <v>0.75870289279253389</v>
      </c>
      <c r="AG22" s="6"/>
      <c r="AH22" s="12"/>
    </row>
    <row r="23" spans="1:34" x14ac:dyDescent="0.2">
      <c r="A23">
        <v>241212</v>
      </c>
      <c r="B23" t="s">
        <v>18</v>
      </c>
      <c r="C23" t="s">
        <v>19</v>
      </c>
      <c r="D23">
        <v>75</v>
      </c>
      <c r="E23">
        <v>4</v>
      </c>
      <c r="F23" s="15" t="s">
        <v>46</v>
      </c>
      <c r="G23" s="16">
        <f t="shared" si="17"/>
        <v>1521</v>
      </c>
      <c r="H23" s="16" t="str">
        <f t="shared" si="18"/>
        <v>JLA-JAK</v>
      </c>
      <c r="I23" s="17">
        <f t="array" aca="1" ref="I23" ca="1">IF(SUM(LEN(F23)-LEN(SUBSTITUTE(F23, {"0","1","2","3","4","5","6","7","8","9"}, "")))&gt;0, SUMPRODUCT(MID(0&amp;F23, LARGE(INDEX(ISNUMBER(--MID(F23,ROW(INDIRECT("$1:$"&amp;LEN(F23))),1))* ROW(INDIRECT("$1:$"&amp;LEN(F23))),0), ROW(INDIRECT("$1:$"&amp;LEN(F23))))+1,1) * 10^ROW(INDIRECT("$1:$"&amp;LEN(F23)))/10),"")</f>
        <v>156</v>
      </c>
      <c r="J23">
        <v>44.9</v>
      </c>
      <c r="K23">
        <v>236.58799999999999</v>
      </c>
      <c r="L23" t="s">
        <v>21</v>
      </c>
      <c r="M23">
        <v>314.60000000000002</v>
      </c>
      <c r="N23">
        <v>350.6</v>
      </c>
      <c r="O23">
        <v>221.1</v>
      </c>
      <c r="P23">
        <f t="shared" si="19"/>
        <v>269.70000000000005</v>
      </c>
      <c r="Q23">
        <f t="shared" si="20"/>
        <v>305.70000000000005</v>
      </c>
      <c r="R23">
        <f t="shared" si="21"/>
        <v>176.2</v>
      </c>
      <c r="S23">
        <f t="shared" si="26"/>
        <v>129.50000000000006</v>
      </c>
      <c r="T23">
        <f t="shared" si="22"/>
        <v>129.50000000000006</v>
      </c>
      <c r="U23" s="7">
        <f t="shared" si="23"/>
        <v>107.08799999999994</v>
      </c>
      <c r="V23" s="5">
        <f t="shared" si="24"/>
        <v>0.54736503964698147</v>
      </c>
      <c r="W23" s="6">
        <f t="shared" si="25"/>
        <v>0.73496027241770756</v>
      </c>
      <c r="X23" s="5">
        <f t="shared" si="12"/>
        <v>0.54736503964698147</v>
      </c>
      <c r="Y23">
        <v>50</v>
      </c>
      <c r="Z23">
        <v>90.4</v>
      </c>
      <c r="AA23">
        <v>2.6</v>
      </c>
      <c r="AB23" s="7">
        <f t="shared" si="13"/>
        <v>46.042193969497653</v>
      </c>
      <c r="AC23" s="12">
        <f t="shared" si="14"/>
        <v>0.21133785314555262</v>
      </c>
      <c r="AD23" s="12">
        <f t="shared" si="15"/>
        <v>0.51305334846765049</v>
      </c>
      <c r="AE23" s="6">
        <f t="shared" si="16"/>
        <v>0.74475459448492731</v>
      </c>
      <c r="AG23" s="6"/>
      <c r="AH23" s="12"/>
    </row>
    <row r="24" spans="1:34" x14ac:dyDescent="0.2">
      <c r="A24">
        <v>241212</v>
      </c>
      <c r="B24" t="s">
        <v>18</v>
      </c>
      <c r="C24" t="s">
        <v>19</v>
      </c>
      <c r="D24">
        <v>87</v>
      </c>
      <c r="E24">
        <v>5</v>
      </c>
      <c r="F24" t="s">
        <v>46</v>
      </c>
      <c r="G24" s="16">
        <f t="shared" si="17"/>
        <v>1521</v>
      </c>
      <c r="H24" s="16" t="str">
        <f t="shared" si="18"/>
        <v>JLA-JAK</v>
      </c>
      <c r="I24" s="17">
        <f t="array" aca="1" ref="I24" ca="1">IF(SUM(LEN(F24)-LEN(SUBSTITUTE(F24, {"0","1","2","3","4","5","6","7","8","9"}, "")))&gt;0, SUMPRODUCT(MID(0&amp;F24, LARGE(INDEX(ISNUMBER(--MID(F24,ROW(INDIRECT("$1:$"&amp;LEN(F24))),1))* ROW(INDIRECT("$1:$"&amp;LEN(F24))),0), ROW(INDIRECT("$1:$"&amp;LEN(F24))))+1,1) * 10^ROW(INDIRECT("$1:$"&amp;LEN(F24)))/10),"")</f>
        <v>156</v>
      </c>
      <c r="J24">
        <v>45</v>
      </c>
      <c r="K24">
        <v>236.58799999999999</v>
      </c>
      <c r="L24" t="s">
        <v>21</v>
      </c>
      <c r="M24">
        <v>340.6</v>
      </c>
      <c r="N24">
        <v>369.4</v>
      </c>
      <c r="O24">
        <v>249.7</v>
      </c>
      <c r="P24">
        <f t="shared" si="19"/>
        <v>295.60000000000002</v>
      </c>
      <c r="Q24">
        <f t="shared" si="20"/>
        <v>324.39999999999998</v>
      </c>
      <c r="R24">
        <f t="shared" si="21"/>
        <v>204.7</v>
      </c>
      <c r="S24">
        <f t="shared" si="26"/>
        <v>119.69999999999999</v>
      </c>
      <c r="T24">
        <f t="shared" si="22"/>
        <v>119.69999999999999</v>
      </c>
      <c r="U24" s="7">
        <f t="shared" si="23"/>
        <v>116.88800000000001</v>
      </c>
      <c r="V24" s="5">
        <f t="shared" si="24"/>
        <v>0.50594282043045291</v>
      </c>
      <c r="W24" s="6">
        <f t="shared" si="25"/>
        <v>0.58475818270639957</v>
      </c>
      <c r="X24" s="5">
        <f t="shared" si="12"/>
        <v>0.50594282043045291</v>
      </c>
      <c r="Y24">
        <v>69</v>
      </c>
      <c r="Z24">
        <v>129</v>
      </c>
      <c r="AA24">
        <v>0.7</v>
      </c>
      <c r="AB24" s="7">
        <f t="shared" si="13"/>
        <v>65.701803341429169</v>
      </c>
      <c r="AC24" s="12">
        <f t="shared" si="14"/>
        <v>0.29164623734086259</v>
      </c>
      <c r="AD24" s="12">
        <f t="shared" si="15"/>
        <v>0.63019052271617004</v>
      </c>
      <c r="AE24" s="6">
        <f t="shared" si="16"/>
        <v>0.8652171707778924</v>
      </c>
      <c r="AG24" s="6"/>
      <c r="AH24" s="12"/>
    </row>
    <row r="25" spans="1:34" x14ac:dyDescent="0.2">
      <c r="A25">
        <v>241212</v>
      </c>
      <c r="B25" t="s">
        <v>18</v>
      </c>
      <c r="C25" t="s">
        <v>19</v>
      </c>
      <c r="D25">
        <v>87</v>
      </c>
      <c r="E25">
        <v>6</v>
      </c>
      <c r="F25" t="s">
        <v>46</v>
      </c>
      <c r="G25" s="16">
        <f t="shared" si="17"/>
        <v>1521</v>
      </c>
      <c r="H25" s="16" t="str">
        <f t="shared" si="18"/>
        <v>JLA-JAK</v>
      </c>
      <c r="I25" s="17">
        <f t="array" aca="1" ref="I25" ca="1">IF(SUM(LEN(F25)-LEN(SUBSTITUTE(F25, {"0","1","2","3","4","5","6","7","8","9"}, "")))&gt;0, SUMPRODUCT(MID(0&amp;F25, LARGE(INDEX(ISNUMBER(--MID(F25,ROW(INDIRECT("$1:$"&amp;LEN(F25))),1))* ROW(INDIRECT("$1:$"&amp;LEN(F25))),0), ROW(INDIRECT("$1:$"&amp;LEN(F25))))+1,1) * 10^ROW(INDIRECT("$1:$"&amp;LEN(F25)))/10),"")</f>
        <v>156</v>
      </c>
      <c r="J25">
        <v>45</v>
      </c>
      <c r="K25">
        <v>236.58799999999999</v>
      </c>
      <c r="L25" t="s">
        <v>21</v>
      </c>
      <c r="M25">
        <v>312.60000000000002</v>
      </c>
      <c r="N25">
        <v>351.6</v>
      </c>
      <c r="O25">
        <v>230.9</v>
      </c>
      <c r="P25">
        <f t="shared" si="19"/>
        <v>267.60000000000002</v>
      </c>
      <c r="Q25">
        <f t="shared" si="20"/>
        <v>306.60000000000002</v>
      </c>
      <c r="R25">
        <f t="shared" si="21"/>
        <v>185.9</v>
      </c>
      <c r="S25">
        <f t="shared" si="26"/>
        <v>120.70000000000002</v>
      </c>
      <c r="T25">
        <f t="shared" si="22"/>
        <v>120.70000000000002</v>
      </c>
      <c r="U25" s="7">
        <f t="shared" si="23"/>
        <v>115.88799999999998</v>
      </c>
      <c r="V25" s="5">
        <f t="shared" si="24"/>
        <v>0.51016957749336411</v>
      </c>
      <c r="W25" s="6">
        <f t="shared" si="25"/>
        <v>0.64927380311995708</v>
      </c>
      <c r="X25" s="5">
        <f t="shared" si="12"/>
        <v>0.51016957749336411</v>
      </c>
      <c r="Y25">
        <v>61</v>
      </c>
      <c r="Z25">
        <v>114.8</v>
      </c>
      <c r="AA25">
        <v>0.3</v>
      </c>
      <c r="AB25" s="7">
        <f t="shared" si="13"/>
        <v>58.46951181082224</v>
      </c>
      <c r="AC25" s="12">
        <f t="shared" si="14"/>
        <v>0.2578321808375742</v>
      </c>
      <c r="AD25" s="12">
        <f t="shared" si="15"/>
        <v>0.6175363098440021</v>
      </c>
      <c r="AE25" s="6">
        <f t="shared" si="16"/>
        <v>0.78575413799516458</v>
      </c>
      <c r="AG25" s="6"/>
      <c r="AH25" s="12"/>
    </row>
    <row r="26" spans="1:34" x14ac:dyDescent="0.2">
      <c r="A26">
        <v>241212</v>
      </c>
      <c r="B26" t="s">
        <v>18</v>
      </c>
      <c r="C26" t="s">
        <v>19</v>
      </c>
      <c r="D26">
        <v>88</v>
      </c>
      <c r="E26">
        <v>7</v>
      </c>
      <c r="F26" t="s">
        <v>48</v>
      </c>
      <c r="G26" s="16">
        <f t="shared" si="17"/>
        <v>1521</v>
      </c>
      <c r="H26" s="16" t="str">
        <f t="shared" si="18"/>
        <v>JLA-JAK</v>
      </c>
      <c r="I26" s="17">
        <f t="array" aca="1" ref="I26" ca="1">IF(SUM(LEN(F26)-LEN(SUBSTITUTE(F26, {"0","1","2","3","4","5","6","7","8","9"}, "")))&gt;0, SUMPRODUCT(MID(0&amp;F26, LARGE(INDEX(ISNUMBER(--MID(F26,ROW(INDIRECT("$1:$"&amp;LEN(F26))),1))* ROW(INDIRECT("$1:$"&amp;LEN(F26))),0), ROW(INDIRECT("$1:$"&amp;LEN(F26))))+1,1) * 10^ROW(INDIRECT("$1:$"&amp;LEN(F26)))/10),"")</f>
        <v>151</v>
      </c>
      <c r="J26">
        <v>45.4</v>
      </c>
      <c r="K26">
        <v>236.58799999999999</v>
      </c>
      <c r="L26" t="s">
        <v>21</v>
      </c>
      <c r="M26">
        <v>313.2</v>
      </c>
      <c r="N26">
        <v>375</v>
      </c>
      <c r="O26">
        <v>275.89999999999998</v>
      </c>
      <c r="P26">
        <f t="shared" si="19"/>
        <v>267.8</v>
      </c>
      <c r="Q26">
        <f t="shared" si="20"/>
        <v>329.6</v>
      </c>
      <c r="R26">
        <f t="shared" si="21"/>
        <v>230.49999999999997</v>
      </c>
      <c r="S26">
        <f t="shared" si="26"/>
        <v>99.100000000000051</v>
      </c>
      <c r="T26">
        <f t="shared" si="22"/>
        <v>99.100000000000051</v>
      </c>
      <c r="U26" s="7">
        <f t="shared" si="23"/>
        <v>137.48799999999994</v>
      </c>
      <c r="V26" s="5">
        <f t="shared" si="24"/>
        <v>0.41887162493448549</v>
      </c>
      <c r="W26" s="6">
        <f t="shared" si="25"/>
        <v>0.42993492407809136</v>
      </c>
      <c r="X26" s="5">
        <f t="shared" si="12"/>
        <v>0.41887162493448549</v>
      </c>
      <c r="Y26">
        <v>91</v>
      </c>
      <c r="Z26">
        <v>172.5</v>
      </c>
      <c r="AA26">
        <v>0.2</v>
      </c>
      <c r="AB26" s="7">
        <f t="shared" si="13"/>
        <v>87.857062607725055</v>
      </c>
      <c r="AC26" s="12">
        <f t="shared" si="14"/>
        <v>0.38463489272490575</v>
      </c>
      <c r="AD26" s="12">
        <f t="shared" si="15"/>
        <v>0.7483731019522778</v>
      </c>
      <c r="AE26" s="6">
        <f t="shared" si="16"/>
        <v>0.9742675030009974</v>
      </c>
      <c r="AG26" s="6"/>
      <c r="AH26" s="12"/>
    </row>
    <row r="27" spans="1:34" x14ac:dyDescent="0.2">
      <c r="A27">
        <v>241212</v>
      </c>
      <c r="B27" t="s">
        <v>18</v>
      </c>
      <c r="C27" t="s">
        <v>19</v>
      </c>
      <c r="D27">
        <v>88</v>
      </c>
      <c r="E27">
        <v>8</v>
      </c>
      <c r="F27" t="s">
        <v>48</v>
      </c>
      <c r="G27" s="16">
        <f t="shared" si="17"/>
        <v>1521</v>
      </c>
      <c r="H27" s="16" t="str">
        <f t="shared" si="18"/>
        <v>JLA-JAK</v>
      </c>
      <c r="I27" s="17">
        <f t="array" aca="1" ref="I27" ca="1">IF(SUM(LEN(F27)-LEN(SUBSTITUTE(F27, {"0","1","2","3","4","5","6","7","8","9"}, "")))&gt;0, SUMPRODUCT(MID(0&amp;F27, LARGE(INDEX(ISNUMBER(--MID(F27,ROW(INDIRECT("$1:$"&amp;LEN(F27))),1))* ROW(INDIRECT("$1:$"&amp;LEN(F27))),0), ROW(INDIRECT("$1:$"&amp;LEN(F27))))+1,1) * 10^ROW(INDIRECT("$1:$"&amp;LEN(F27)))/10),"")</f>
        <v>151</v>
      </c>
      <c r="J27">
        <v>44.5</v>
      </c>
      <c r="K27">
        <v>236.58799999999999</v>
      </c>
      <c r="L27" t="s">
        <v>21</v>
      </c>
      <c r="M27">
        <v>306.39999999999998</v>
      </c>
      <c r="N27">
        <v>388.4</v>
      </c>
      <c r="O27">
        <v>270.2</v>
      </c>
      <c r="P27">
        <f t="shared" si="19"/>
        <v>261.89999999999998</v>
      </c>
      <c r="Q27">
        <f t="shared" si="20"/>
        <v>343.9</v>
      </c>
      <c r="R27">
        <f t="shared" si="21"/>
        <v>225.7</v>
      </c>
      <c r="S27">
        <f t="shared" si="26"/>
        <v>118.19999999999999</v>
      </c>
      <c r="T27">
        <f t="shared" si="22"/>
        <v>118.19999999999999</v>
      </c>
      <c r="U27" s="7">
        <f t="shared" si="23"/>
        <v>118.38800000000001</v>
      </c>
      <c r="V27" s="5">
        <f>(K27-U27)/K27</f>
        <v>0.49960268483608633</v>
      </c>
      <c r="W27" s="6">
        <f t="shared" si="25"/>
        <v>0.52370403190075321</v>
      </c>
      <c r="X27" s="5">
        <f t="shared" si="12"/>
        <v>0.49960268483608633</v>
      </c>
      <c r="Y27">
        <v>80</v>
      </c>
      <c r="Z27">
        <v>156.9</v>
      </c>
      <c r="AA27">
        <v>0.4</v>
      </c>
      <c r="AB27" s="7">
        <f t="shared" si="13"/>
        <v>79.911728250156884</v>
      </c>
      <c r="AC27" s="12">
        <f t="shared" si="14"/>
        <v>0.3381405650328842</v>
      </c>
      <c r="AD27" s="12">
        <f t="shared" si="15"/>
        <v>0.69517058041648216</v>
      </c>
      <c r="AE27" s="6">
        <f t="shared" si="16"/>
        <v>0.95397906909902441</v>
      </c>
      <c r="AG27" s="6"/>
      <c r="AH27" s="12"/>
    </row>
    <row r="29" spans="1:34" x14ac:dyDescent="0.2">
      <c r="A29" s="3" t="s">
        <v>49</v>
      </c>
      <c r="V29" s="6">
        <f>AVERAGE(V20:V27)</f>
        <v>0.47418930799533371</v>
      </c>
      <c r="W29" s="6">
        <f>AVERAGE(W20:W27)</f>
        <v>0.55193626450162381</v>
      </c>
      <c r="X29" s="6">
        <f>AVERAGE(X20:X27)</f>
        <v>0.47418930799533371</v>
      </c>
      <c r="AC29" s="12">
        <f>AVERAGE(AC20:AC27)</f>
        <v>0.32440360457842321</v>
      </c>
      <c r="AD29" s="12">
        <f>AVERAGE(AD20:AD27)</f>
        <v>0.67795523553897474</v>
      </c>
      <c r="AE29" s="6">
        <f>AVERAGE(AE20:AE27)</f>
        <v>0.88254687473582771</v>
      </c>
    </row>
    <row r="30" spans="1:34" x14ac:dyDescent="0.2">
      <c r="A30" s="3" t="s">
        <v>50</v>
      </c>
      <c r="V30" s="6">
        <f>STDEV(V20:V27)/SQRT(COUNT(V20:V27))</f>
        <v>2.7911052301543896E-2</v>
      </c>
      <c r="W30" s="6">
        <f>STDEV(W20:W27)/SQRT(COUNT(W20:W27))</f>
        <v>5.1484088478066126E-2</v>
      </c>
      <c r="X30" s="6">
        <f>STDEV(X20:X27)/SQRT(COUNT(X20:X27))</f>
        <v>2.7911052301543896E-2</v>
      </c>
      <c r="AC30" s="12">
        <f>STDEV(AC20:AC27)/SQRT(COUNT(AC20:AC27))</f>
        <v>3.012954467129204E-2</v>
      </c>
      <c r="AD30" s="12">
        <f>STDEV(AD20:AD27)/SQRT(COUNT(AD20:AD27))</f>
        <v>3.6910465875203323E-2</v>
      </c>
      <c r="AE30" s="6">
        <f>STDEV(AE20:AE27)/SQRT(COUNT(AE20:AE27))</f>
        <v>3.7953578610563296E-2</v>
      </c>
    </row>
    <row r="31" spans="1:34" x14ac:dyDescent="0.2">
      <c r="V31" s="5"/>
    </row>
    <row r="32" spans="1:34" x14ac:dyDescent="0.2">
      <c r="V32" s="5"/>
      <c r="AC32" s="12">
        <v>0.30929725986481971</v>
      </c>
    </row>
    <row r="33" spans="22:29" x14ac:dyDescent="0.2">
      <c r="V33" s="5"/>
      <c r="AC33" s="12">
        <v>2.8810699944295165E-2</v>
      </c>
    </row>
    <row r="34" spans="22:29" x14ac:dyDescent="0.2">
      <c r="V34" s="5"/>
    </row>
    <row r="35" spans="22:29" x14ac:dyDescent="0.2">
      <c r="V35" s="5"/>
    </row>
    <row r="36" spans="22:29" x14ac:dyDescent="0.2">
      <c r="V36" s="5"/>
    </row>
    <row r="37" spans="22:29" x14ac:dyDescent="0.2">
      <c r="V37" s="5"/>
    </row>
    <row r="38" spans="22:29" x14ac:dyDescent="0.2">
      <c r="V38" s="5"/>
    </row>
  </sheetData>
  <phoneticPr fontId="9" type="noConversion"/>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9074F-5A93-42EA-8C71-893C4EA910CC}">
  <dimension ref="A1:W38"/>
  <sheetViews>
    <sheetView tabSelected="1" workbookViewId="0">
      <selection activeCell="C37" sqref="C37"/>
    </sheetView>
  </sheetViews>
  <sheetFormatPr baseColWidth="10" defaultColWidth="8.83203125" defaultRowHeight="15" x14ac:dyDescent="0.2"/>
  <cols>
    <col min="2" max="2" width="16.1640625" bestFit="1" customWidth="1"/>
    <col min="5" max="5" width="6.33203125" bestFit="1" customWidth="1"/>
    <col min="6" max="6" width="10.1640625" bestFit="1" customWidth="1"/>
    <col min="7" max="7" width="10.83203125" bestFit="1" customWidth="1"/>
    <col min="8" max="8" width="10" bestFit="1" customWidth="1"/>
    <col min="9" max="9" width="9" bestFit="1" customWidth="1"/>
    <col min="10" max="10" width="12.1640625" bestFit="1" customWidth="1"/>
    <col min="11" max="11" width="13.33203125" bestFit="1" customWidth="1"/>
    <col min="12" max="12" width="12.6640625" bestFit="1" customWidth="1"/>
    <col min="13" max="13" width="8.6640625" customWidth="1"/>
    <col min="14" max="14" width="10.83203125" bestFit="1" customWidth="1"/>
    <col min="15" max="15" width="9.83203125" bestFit="1" customWidth="1"/>
    <col min="16" max="17" width="8.6640625" customWidth="1"/>
    <col min="18" max="18" width="9.6640625" customWidth="1"/>
    <col min="19" max="19" width="14.33203125" bestFit="1" customWidth="1"/>
    <col min="20" max="20" width="13.1640625" bestFit="1" customWidth="1"/>
    <col min="21" max="21" width="13.33203125" bestFit="1" customWidth="1"/>
    <col min="22" max="22" width="14.33203125" bestFit="1" customWidth="1"/>
    <col min="23" max="23" width="16.33203125" bestFit="1" customWidth="1"/>
    <col min="24" max="24" width="14.83203125" bestFit="1" customWidth="1"/>
    <col min="25" max="25" width="14.6640625" bestFit="1" customWidth="1"/>
    <col min="26" max="26" width="13.5" bestFit="1" customWidth="1"/>
    <col min="27" max="27" width="14.83203125" bestFit="1" customWidth="1"/>
    <col min="28" max="28" width="13.6640625" bestFit="1" customWidth="1"/>
    <col min="29" max="29" width="16.1640625" bestFit="1" customWidth="1"/>
    <col min="30" max="30" width="14.1640625" bestFit="1" customWidth="1"/>
    <col min="31" max="31" width="16.6640625" bestFit="1" customWidth="1"/>
  </cols>
  <sheetData>
    <row r="1" spans="1:23" x14ac:dyDescent="0.2">
      <c r="A1" s="11" t="s">
        <v>0</v>
      </c>
      <c r="B1" s="11" t="s">
        <v>1</v>
      </c>
      <c r="C1" s="11" t="s">
        <v>2</v>
      </c>
      <c r="D1" s="18" t="s">
        <v>3</v>
      </c>
      <c r="E1" s="11" t="s">
        <v>29</v>
      </c>
      <c r="F1" s="11" t="s">
        <v>5</v>
      </c>
      <c r="G1" s="18" t="s">
        <v>6</v>
      </c>
      <c r="H1" s="11" t="s">
        <v>7</v>
      </c>
      <c r="I1" s="11" t="s">
        <v>8</v>
      </c>
      <c r="J1" s="18" t="s">
        <v>17</v>
      </c>
      <c r="K1" s="18" t="s">
        <v>11</v>
      </c>
      <c r="L1" s="18" t="s">
        <v>12</v>
      </c>
      <c r="M1" s="18" t="s">
        <v>15</v>
      </c>
      <c r="N1" s="18" t="s">
        <v>16</v>
      </c>
      <c r="O1" s="18" t="s">
        <v>22</v>
      </c>
      <c r="P1" s="19" t="s">
        <v>14</v>
      </c>
      <c r="Q1" s="23" t="s">
        <v>13</v>
      </c>
      <c r="R1" s="19" t="s">
        <v>45</v>
      </c>
      <c r="S1" s="11" t="s">
        <v>43</v>
      </c>
      <c r="T1" s="11" t="s">
        <v>44</v>
      </c>
      <c r="U1" s="19" t="s">
        <v>41</v>
      </c>
      <c r="V1" s="11" t="s">
        <v>58</v>
      </c>
      <c r="W1" s="19" t="s">
        <v>40</v>
      </c>
    </row>
    <row r="2" spans="1:23" x14ac:dyDescent="0.2">
      <c r="A2">
        <v>241212</v>
      </c>
      <c r="B2" t="s">
        <v>18</v>
      </c>
      <c r="C2" t="s">
        <v>19</v>
      </c>
      <c r="D2">
        <v>70</v>
      </c>
      <c r="E2">
        <v>1</v>
      </c>
      <c r="F2" t="s">
        <v>47</v>
      </c>
      <c r="G2">
        <v>1521</v>
      </c>
      <c r="H2" t="s">
        <v>57</v>
      </c>
      <c r="I2">
        <v>158</v>
      </c>
      <c r="J2">
        <v>236.58799999999999</v>
      </c>
      <c r="K2">
        <v>342.3</v>
      </c>
      <c r="L2">
        <v>230</v>
      </c>
      <c r="M2">
        <f>K2-L2</f>
        <v>112.30000000000001</v>
      </c>
      <c r="N2">
        <f>M2*(1/1)</f>
        <v>112.30000000000001</v>
      </c>
      <c r="O2" s="7">
        <f>J2-N2</f>
        <v>124.28799999999998</v>
      </c>
      <c r="P2" s="5">
        <f>(J2-O2)/J2</f>
        <v>0.47466481816491124</v>
      </c>
      <c r="Q2" s="6">
        <f>(K2-L2)/L2</f>
        <v>0.48826086956521741</v>
      </c>
      <c r="R2" s="20">
        <f>N2/J2</f>
        <v>0.47466481816491124</v>
      </c>
      <c r="S2">
        <v>105</v>
      </c>
      <c r="T2">
        <v>190.7</v>
      </c>
      <c r="U2" s="21">
        <f>S2/J2</f>
        <v>0.44380949160566047</v>
      </c>
      <c r="V2" s="12">
        <f>T2/L2</f>
        <v>0.82913043478260862</v>
      </c>
      <c r="W2" s="22">
        <f>L2/J2</f>
        <v>0.97215412446954197</v>
      </c>
    </row>
    <row r="3" spans="1:23" x14ac:dyDescent="0.2">
      <c r="A3">
        <v>241212</v>
      </c>
      <c r="B3" t="s">
        <v>18</v>
      </c>
      <c r="C3" t="s">
        <v>19</v>
      </c>
      <c r="D3">
        <v>70</v>
      </c>
      <c r="E3">
        <v>2</v>
      </c>
      <c r="F3" t="s">
        <v>47</v>
      </c>
      <c r="G3">
        <v>1521</v>
      </c>
      <c r="H3" t="s">
        <v>57</v>
      </c>
      <c r="I3">
        <v>158</v>
      </c>
      <c r="J3">
        <v>236.58799999999999</v>
      </c>
      <c r="K3">
        <v>309.89999999999998</v>
      </c>
      <c r="L3">
        <v>237.9</v>
      </c>
      <c r="M3">
        <f>K3-L3</f>
        <v>71.999999999999972</v>
      </c>
      <c r="N3">
        <f t="shared" ref="N3:N9" si="0">M3*(1/1)</f>
        <v>71.999999999999972</v>
      </c>
      <c r="O3" s="7">
        <f t="shared" ref="O3:O9" si="1">J3-N3</f>
        <v>164.58800000000002</v>
      </c>
      <c r="P3" s="5">
        <f t="shared" ref="P3:P9" si="2">(J3-O3)/J3</f>
        <v>0.30432650852959564</v>
      </c>
      <c r="Q3" s="6">
        <f t="shared" ref="Q3:Q9" si="3">(K3-L3)/L3</f>
        <v>0.30264817150063039</v>
      </c>
      <c r="R3" s="20">
        <f t="shared" ref="R3:R9" si="4">N3/J3</f>
        <v>0.30432650852959564</v>
      </c>
      <c r="S3">
        <v>99</v>
      </c>
      <c r="T3">
        <v>185.6</v>
      </c>
      <c r="U3" s="21">
        <f t="shared" ref="U3:U9" si="5">S3/J3</f>
        <v>0.41844894922819414</v>
      </c>
      <c r="V3" s="12">
        <f t="shared" ref="V3:V9" si="6">T3/L3</f>
        <v>0.78015973097940305</v>
      </c>
      <c r="W3" s="22">
        <f t="shared" ref="W3:W9" si="7">L3/J3</f>
        <v>1.0055455052665394</v>
      </c>
    </row>
    <row r="4" spans="1:23" x14ac:dyDescent="0.2">
      <c r="A4">
        <v>241212</v>
      </c>
      <c r="B4" t="s">
        <v>18</v>
      </c>
      <c r="C4" t="s">
        <v>19</v>
      </c>
      <c r="D4">
        <v>75</v>
      </c>
      <c r="E4">
        <v>3</v>
      </c>
      <c r="F4" t="s">
        <v>46</v>
      </c>
      <c r="G4">
        <v>1521</v>
      </c>
      <c r="H4" t="s">
        <v>57</v>
      </c>
      <c r="I4">
        <v>156</v>
      </c>
      <c r="J4">
        <v>236.58799999999999</v>
      </c>
      <c r="K4">
        <v>305.5</v>
      </c>
      <c r="L4">
        <v>179.5</v>
      </c>
      <c r="M4">
        <f t="shared" ref="M4:M9" si="8">K4-L4</f>
        <v>126</v>
      </c>
      <c r="N4">
        <f t="shared" si="0"/>
        <v>126</v>
      </c>
      <c r="O4" s="7">
        <f t="shared" si="1"/>
        <v>110.58799999999999</v>
      </c>
      <c r="P4" s="5">
        <f t="shared" si="2"/>
        <v>0.53257138992679254</v>
      </c>
      <c r="Q4" s="6">
        <f t="shared" si="3"/>
        <v>0.70194986072423393</v>
      </c>
      <c r="R4" s="20">
        <f t="shared" si="4"/>
        <v>0.53257138992679254</v>
      </c>
      <c r="S4">
        <v>59</v>
      </c>
      <c r="T4">
        <v>109.5</v>
      </c>
      <c r="U4" s="21">
        <f t="shared" si="5"/>
        <v>0.24937866671175207</v>
      </c>
      <c r="V4" s="12">
        <f t="shared" si="6"/>
        <v>0.61002785515320335</v>
      </c>
      <c r="W4" s="22">
        <f t="shared" si="7"/>
        <v>0.75870289279253389</v>
      </c>
    </row>
    <row r="5" spans="1:23" x14ac:dyDescent="0.2">
      <c r="A5">
        <v>241212</v>
      </c>
      <c r="B5" t="s">
        <v>18</v>
      </c>
      <c r="C5" t="s">
        <v>19</v>
      </c>
      <c r="D5">
        <v>75</v>
      </c>
      <c r="E5">
        <v>4</v>
      </c>
      <c r="F5" t="s">
        <v>46</v>
      </c>
      <c r="G5">
        <v>1521</v>
      </c>
      <c r="H5" t="s">
        <v>57</v>
      </c>
      <c r="I5">
        <v>156</v>
      </c>
      <c r="J5">
        <v>236.58799999999999</v>
      </c>
      <c r="K5">
        <v>305.70000000000005</v>
      </c>
      <c r="L5">
        <v>176.2</v>
      </c>
      <c r="M5">
        <f t="shared" si="8"/>
        <v>129.50000000000006</v>
      </c>
      <c r="N5">
        <f t="shared" si="0"/>
        <v>129.50000000000006</v>
      </c>
      <c r="O5" s="7">
        <f t="shared" si="1"/>
        <v>107.08799999999994</v>
      </c>
      <c r="P5" s="5">
        <f t="shared" si="2"/>
        <v>0.54736503964698147</v>
      </c>
      <c r="Q5" s="6">
        <f t="shared" si="3"/>
        <v>0.73496027241770756</v>
      </c>
      <c r="R5" s="20">
        <f t="shared" si="4"/>
        <v>0.54736503964698147</v>
      </c>
      <c r="S5">
        <v>50</v>
      </c>
      <c r="T5">
        <v>90.4</v>
      </c>
      <c r="U5" s="21">
        <f t="shared" si="5"/>
        <v>0.21133785314555262</v>
      </c>
      <c r="V5" s="12">
        <f t="shared" si="6"/>
        <v>0.51305334846765049</v>
      </c>
      <c r="W5" s="22">
        <f t="shared" si="7"/>
        <v>0.74475459448492731</v>
      </c>
    </row>
    <row r="6" spans="1:23" x14ac:dyDescent="0.2">
      <c r="A6">
        <v>241212</v>
      </c>
      <c r="B6" t="s">
        <v>18</v>
      </c>
      <c r="C6" t="s">
        <v>19</v>
      </c>
      <c r="D6">
        <v>87</v>
      </c>
      <c r="E6">
        <v>5</v>
      </c>
      <c r="F6" t="s">
        <v>46</v>
      </c>
      <c r="G6">
        <v>1521</v>
      </c>
      <c r="H6" t="s">
        <v>57</v>
      </c>
      <c r="I6">
        <v>156</v>
      </c>
      <c r="J6">
        <v>236.58799999999999</v>
      </c>
      <c r="K6">
        <v>324.39999999999998</v>
      </c>
      <c r="L6">
        <v>204.7</v>
      </c>
      <c r="M6">
        <f t="shared" si="8"/>
        <v>119.69999999999999</v>
      </c>
      <c r="N6">
        <f t="shared" si="0"/>
        <v>119.69999999999999</v>
      </c>
      <c r="O6" s="7">
        <f t="shared" si="1"/>
        <v>116.88800000000001</v>
      </c>
      <c r="P6" s="5">
        <f t="shared" si="2"/>
        <v>0.50594282043045291</v>
      </c>
      <c r="Q6" s="6">
        <f t="shared" si="3"/>
        <v>0.58475818270639957</v>
      </c>
      <c r="R6" s="20">
        <f t="shared" si="4"/>
        <v>0.50594282043045291</v>
      </c>
      <c r="S6">
        <v>69</v>
      </c>
      <c r="T6">
        <v>129</v>
      </c>
      <c r="U6" s="21">
        <f t="shared" si="5"/>
        <v>0.29164623734086259</v>
      </c>
      <c r="V6" s="12">
        <f t="shared" si="6"/>
        <v>0.63019052271617004</v>
      </c>
      <c r="W6" s="22">
        <f t="shared" si="7"/>
        <v>0.8652171707778924</v>
      </c>
    </row>
    <row r="7" spans="1:23" x14ac:dyDescent="0.2">
      <c r="A7">
        <v>241212</v>
      </c>
      <c r="B7" t="s">
        <v>18</v>
      </c>
      <c r="C7" t="s">
        <v>19</v>
      </c>
      <c r="D7">
        <v>87</v>
      </c>
      <c r="E7">
        <v>6</v>
      </c>
      <c r="F7" t="s">
        <v>46</v>
      </c>
      <c r="G7">
        <v>1521</v>
      </c>
      <c r="H7" t="s">
        <v>57</v>
      </c>
      <c r="I7">
        <v>156</v>
      </c>
      <c r="J7">
        <v>236.58799999999999</v>
      </c>
      <c r="K7">
        <v>306.60000000000002</v>
      </c>
      <c r="L7">
        <v>185.9</v>
      </c>
      <c r="M7">
        <f t="shared" si="8"/>
        <v>120.70000000000002</v>
      </c>
      <c r="N7">
        <f t="shared" si="0"/>
        <v>120.70000000000002</v>
      </c>
      <c r="O7" s="7">
        <f t="shared" si="1"/>
        <v>115.88799999999998</v>
      </c>
      <c r="P7" s="5">
        <f t="shared" si="2"/>
        <v>0.51016957749336411</v>
      </c>
      <c r="Q7" s="6">
        <f t="shared" si="3"/>
        <v>0.64927380311995708</v>
      </c>
      <c r="R7" s="20">
        <f t="shared" si="4"/>
        <v>0.51016957749336411</v>
      </c>
      <c r="S7">
        <v>61</v>
      </c>
      <c r="T7">
        <v>114.8</v>
      </c>
      <c r="U7" s="21">
        <f t="shared" si="5"/>
        <v>0.2578321808375742</v>
      </c>
      <c r="V7" s="12">
        <f t="shared" si="6"/>
        <v>0.6175363098440021</v>
      </c>
      <c r="W7" s="22">
        <f t="shared" si="7"/>
        <v>0.78575413799516458</v>
      </c>
    </row>
    <row r="8" spans="1:23" x14ac:dyDescent="0.2">
      <c r="A8">
        <v>241212</v>
      </c>
      <c r="B8" t="s">
        <v>18</v>
      </c>
      <c r="C8" t="s">
        <v>19</v>
      </c>
      <c r="D8">
        <v>88</v>
      </c>
      <c r="E8">
        <v>7</v>
      </c>
      <c r="F8" t="s">
        <v>48</v>
      </c>
      <c r="G8">
        <v>1521</v>
      </c>
      <c r="H8" t="s">
        <v>57</v>
      </c>
      <c r="I8">
        <v>151</v>
      </c>
      <c r="J8">
        <v>236.58799999999999</v>
      </c>
      <c r="K8">
        <v>329.6</v>
      </c>
      <c r="L8">
        <v>230.49999999999997</v>
      </c>
      <c r="M8">
        <f t="shared" si="8"/>
        <v>99.100000000000051</v>
      </c>
      <c r="N8">
        <f t="shared" si="0"/>
        <v>99.100000000000051</v>
      </c>
      <c r="O8" s="7">
        <f t="shared" si="1"/>
        <v>137.48799999999994</v>
      </c>
      <c r="P8" s="5">
        <f t="shared" si="2"/>
        <v>0.41887162493448549</v>
      </c>
      <c r="Q8" s="6">
        <f t="shared" si="3"/>
        <v>0.42993492407809136</v>
      </c>
      <c r="R8" s="20">
        <f t="shared" si="4"/>
        <v>0.41887162493448549</v>
      </c>
      <c r="S8">
        <v>91</v>
      </c>
      <c r="T8">
        <v>172.5</v>
      </c>
      <c r="U8" s="21">
        <f t="shared" si="5"/>
        <v>0.38463489272490575</v>
      </c>
      <c r="V8" s="12">
        <f t="shared" si="6"/>
        <v>0.7483731019522778</v>
      </c>
      <c r="W8" s="22">
        <f t="shared" si="7"/>
        <v>0.9742675030009974</v>
      </c>
    </row>
    <row r="9" spans="1:23" x14ac:dyDescent="0.2">
      <c r="A9">
        <v>241212</v>
      </c>
      <c r="B9" t="s">
        <v>18</v>
      </c>
      <c r="C9" t="s">
        <v>19</v>
      </c>
      <c r="D9">
        <v>88</v>
      </c>
      <c r="E9">
        <v>8</v>
      </c>
      <c r="F9" t="s">
        <v>48</v>
      </c>
      <c r="G9">
        <v>1521</v>
      </c>
      <c r="H9" t="s">
        <v>57</v>
      </c>
      <c r="I9">
        <v>151</v>
      </c>
      <c r="J9">
        <v>236.58799999999999</v>
      </c>
      <c r="K9">
        <v>343.9</v>
      </c>
      <c r="L9">
        <v>225.7</v>
      </c>
      <c r="M9">
        <f t="shared" si="8"/>
        <v>118.19999999999999</v>
      </c>
      <c r="N9">
        <f t="shared" si="0"/>
        <v>118.19999999999999</v>
      </c>
      <c r="O9" s="7">
        <f t="shared" si="1"/>
        <v>118.38800000000001</v>
      </c>
      <c r="P9" s="5">
        <f t="shared" si="2"/>
        <v>0.49960268483608633</v>
      </c>
      <c r="Q9" s="6">
        <f t="shared" si="3"/>
        <v>0.52370403190075321</v>
      </c>
      <c r="R9" s="20">
        <f t="shared" si="4"/>
        <v>0.49960268483608633</v>
      </c>
      <c r="S9">
        <v>80</v>
      </c>
      <c r="T9">
        <v>156.9</v>
      </c>
      <c r="U9" s="21">
        <f t="shared" si="5"/>
        <v>0.3381405650328842</v>
      </c>
      <c r="V9" s="12">
        <f t="shared" si="6"/>
        <v>0.69517058041648216</v>
      </c>
      <c r="W9" s="22">
        <f t="shared" si="7"/>
        <v>0.95397906909902441</v>
      </c>
    </row>
    <row r="11" spans="1:23" x14ac:dyDescent="0.2">
      <c r="A11" s="3" t="s">
        <v>49</v>
      </c>
      <c r="P11" s="6">
        <f>AVERAGE(P2:P9)</f>
        <v>0.47418930799533371</v>
      </c>
      <c r="Q11" s="6">
        <f>AVERAGE(Q2:Q9)</f>
        <v>0.55193626450162381</v>
      </c>
      <c r="R11" s="6">
        <f>AVERAGE(R2:R9)</f>
        <v>0.47418930799533371</v>
      </c>
      <c r="U11" s="12">
        <f>AVERAGE(U2:U9)</f>
        <v>0.32440360457842321</v>
      </c>
      <c r="V11" s="12">
        <f>AVERAGE(V2:V9)</f>
        <v>0.67795523553897474</v>
      </c>
      <c r="W11" s="6">
        <f>AVERAGE(W2:W9)</f>
        <v>0.88254687473582771</v>
      </c>
    </row>
    <row r="12" spans="1:23" x14ac:dyDescent="0.2">
      <c r="A12" s="3" t="s">
        <v>50</v>
      </c>
      <c r="P12" s="6">
        <f>STDEV(P2:P9)/SQRT(COUNT(P2:P9))</f>
        <v>2.7911052301543896E-2</v>
      </c>
      <c r="Q12" s="6">
        <f>STDEV(Q2:Q9)/SQRT(COUNT(Q2:Q9))</f>
        <v>5.1484088478066126E-2</v>
      </c>
      <c r="R12" s="6">
        <f>STDEV(R2:R9)/SQRT(COUNT(R2:R9))</f>
        <v>2.7911052301543896E-2</v>
      </c>
      <c r="U12" s="12">
        <f>STDEV(U2:U9)/SQRT(COUNT(U2:U9))</f>
        <v>3.012954467129204E-2</v>
      </c>
      <c r="V12" s="12">
        <f>STDEV(V2:V9)/SQRT(COUNT(V2:V9))</f>
        <v>3.6910465875203323E-2</v>
      </c>
      <c r="W12" s="6">
        <f>STDEV(W2:W9)/SQRT(COUNT(W2:W9))</f>
        <v>3.7953578610563296E-2</v>
      </c>
    </row>
    <row r="14" spans="1:23" x14ac:dyDescent="0.2">
      <c r="A14" s="24" t="s">
        <v>59</v>
      </c>
    </row>
    <row r="15" spans="1:23" x14ac:dyDescent="0.2">
      <c r="A15" t="s">
        <v>60</v>
      </c>
    </row>
    <row r="16" spans="1:23" x14ac:dyDescent="0.2">
      <c r="A16" t="s">
        <v>61</v>
      </c>
    </row>
    <row r="17" spans="1:3" x14ac:dyDescent="0.2">
      <c r="A17" t="s">
        <v>62</v>
      </c>
    </row>
    <row r="18" spans="1:3" x14ac:dyDescent="0.2">
      <c r="A18" s="3" t="s">
        <v>63</v>
      </c>
      <c r="C18" t="s">
        <v>64</v>
      </c>
    </row>
    <row r="19" spans="1:3" x14ac:dyDescent="0.2">
      <c r="B19" s="3" t="s">
        <v>84</v>
      </c>
      <c r="C19" s="3" t="s">
        <v>85</v>
      </c>
    </row>
    <row r="20" spans="1:3" x14ac:dyDescent="0.2">
      <c r="B20" s="25" t="s">
        <v>14</v>
      </c>
      <c r="C20" t="s">
        <v>65</v>
      </c>
    </row>
    <row r="21" spans="1:3" x14ac:dyDescent="0.2">
      <c r="C21" t="s">
        <v>66</v>
      </c>
    </row>
    <row r="22" spans="1:3" x14ac:dyDescent="0.2">
      <c r="C22" t="s">
        <v>67</v>
      </c>
    </row>
    <row r="23" spans="1:3" x14ac:dyDescent="0.2">
      <c r="B23" s="25" t="s">
        <v>13</v>
      </c>
      <c r="C23" t="s">
        <v>76</v>
      </c>
    </row>
    <row r="24" spans="1:3" x14ac:dyDescent="0.2">
      <c r="C24" t="s">
        <v>68</v>
      </c>
    </row>
    <row r="25" spans="1:3" x14ac:dyDescent="0.2">
      <c r="B25" s="25" t="s">
        <v>45</v>
      </c>
      <c r="C25" t="s">
        <v>70</v>
      </c>
    </row>
    <row r="26" spans="1:3" x14ac:dyDescent="0.2">
      <c r="C26" t="s">
        <v>69</v>
      </c>
    </row>
    <row r="27" spans="1:3" x14ac:dyDescent="0.2">
      <c r="C27" t="s">
        <v>67</v>
      </c>
    </row>
    <row r="28" spans="1:3" x14ac:dyDescent="0.2">
      <c r="C28" t="s">
        <v>79</v>
      </c>
    </row>
    <row r="29" spans="1:3" x14ac:dyDescent="0.2">
      <c r="C29" t="s">
        <v>71</v>
      </c>
    </row>
    <row r="30" spans="1:3" x14ac:dyDescent="0.2">
      <c r="B30" s="25" t="s">
        <v>41</v>
      </c>
      <c r="C30" t="s">
        <v>73</v>
      </c>
    </row>
    <row r="31" spans="1:3" x14ac:dyDescent="0.2">
      <c r="C31" t="s">
        <v>72</v>
      </c>
    </row>
    <row r="32" spans="1:3" x14ac:dyDescent="0.2">
      <c r="C32" t="s">
        <v>74</v>
      </c>
    </row>
    <row r="33" spans="1:3" x14ac:dyDescent="0.2">
      <c r="B33" s="26" t="s">
        <v>40</v>
      </c>
      <c r="C33" t="s">
        <v>77</v>
      </c>
    </row>
    <row r="34" spans="1:3" x14ac:dyDescent="0.2">
      <c r="C34" t="s">
        <v>75</v>
      </c>
    </row>
    <row r="35" spans="1:3" x14ac:dyDescent="0.2">
      <c r="C35" t="s">
        <v>78</v>
      </c>
    </row>
    <row r="36" spans="1:3" x14ac:dyDescent="0.2">
      <c r="C36" t="s">
        <v>86</v>
      </c>
    </row>
    <row r="38" spans="1:3" x14ac:dyDescent="0.2">
      <c r="A38" t="s">
        <v>80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Two methods</vt:lpstr>
      <vt:lpstr>Tin 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Koepke</dc:creator>
  <cp:lastModifiedBy>Pannikkat, Colin</cp:lastModifiedBy>
  <dcterms:created xsi:type="dcterms:W3CDTF">2024-12-10T22:59:20Z</dcterms:created>
  <dcterms:modified xsi:type="dcterms:W3CDTF">2025-03-30T01:18:48Z</dcterms:modified>
</cp:coreProperties>
</file>