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\"/>
    </mc:Choice>
  </mc:AlternateContent>
  <xr:revisionPtr revIDLastSave="0" documentId="8_{F900635D-7FD3-46F5-8BB9-3BBAD6537153}" xr6:coauthVersionLast="47" xr6:coauthVersionMax="47" xr10:uidLastSave="{00000000-0000-0000-0000-000000000000}"/>
  <bookViews>
    <workbookView xWindow="-108" yWindow="-108" windowWidth="23256" windowHeight="12456" firstSheet="4" activeTab="6" xr2:uid="{541C6361-5D6C-4F0D-BA59-A9413249565D}"/>
  </bookViews>
  <sheets>
    <sheet name="Phoenix Build" sheetId="48" r:id="rId1"/>
    <sheet name="Phoenix Build Solution" sheetId="43" r:id="rId2"/>
    <sheet name="Phoenix Lease1" sheetId="49" r:id="rId3"/>
    <sheet name="Phoenix Lease1 Solution" sheetId="46" r:id="rId4"/>
    <sheet name="Phoenix LeaseX" sheetId="50" r:id="rId5"/>
    <sheet name="Phoenix LeaseX Solution" sheetId="44" r:id="rId6"/>
    <sheet name="Phoenix Risk" sheetId="51" r:id="rId7"/>
    <sheet name="Sheet1" sheetId="52" r:id="rId8"/>
    <sheet name="Phoenix Risk Solution" sheetId="47" r:id="rId9"/>
  </sheets>
  <calcPr calcId="191029" iterate="1" iterateCount="500" iterateDelta="1.0000000000000001E-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" i="51" l="1"/>
  <c r="Q17" i="51"/>
  <c r="P17" i="51"/>
  <c r="O18" i="51"/>
  <c r="O17" i="51"/>
  <c r="N16" i="51"/>
  <c r="B49" i="50"/>
  <c r="B50" i="50"/>
  <c r="B51" i="50"/>
  <c r="B52" i="50"/>
  <c r="B48" i="50"/>
  <c r="B47" i="50"/>
  <c r="O18" i="49"/>
  <c r="Q18" i="49" s="1"/>
  <c r="O19" i="49"/>
  <c r="Q19" i="49" s="1"/>
  <c r="O20" i="49"/>
  <c r="O21" i="49"/>
  <c r="O17" i="49"/>
  <c r="Q20" i="49"/>
  <c r="Q21" i="49"/>
  <c r="P18" i="49"/>
  <c r="P19" i="49"/>
  <c r="P20" i="49"/>
  <c r="P21" i="49"/>
  <c r="Q17" i="49"/>
  <c r="N18" i="49" s="1"/>
  <c r="P17" i="49"/>
  <c r="N17" i="49"/>
  <c r="I26" i="48"/>
  <c r="D26" i="48"/>
  <c r="E26" i="48"/>
  <c r="F26" i="48"/>
  <c r="G26" i="48"/>
  <c r="C26" i="48"/>
  <c r="D19" i="48"/>
  <c r="D20" i="48" s="1"/>
  <c r="D23" i="48" s="1"/>
  <c r="D24" i="48" s="1"/>
  <c r="E19" i="48"/>
  <c r="E20" i="48" s="1"/>
  <c r="E23" i="48" s="1"/>
  <c r="E24" i="48" s="1"/>
  <c r="F19" i="48"/>
  <c r="F20" i="48" s="1"/>
  <c r="F23" i="48" s="1"/>
  <c r="F24" i="48" s="1"/>
  <c r="G19" i="48"/>
  <c r="G20" i="48"/>
  <c r="G23" i="48" s="1"/>
  <c r="G24" i="48" s="1"/>
  <c r="D21" i="48"/>
  <c r="E21" i="48"/>
  <c r="F21" i="48"/>
  <c r="G21" i="48"/>
  <c r="D22" i="48"/>
  <c r="E22" i="48"/>
  <c r="F22" i="48"/>
  <c r="G22" i="48"/>
  <c r="C19" i="48"/>
  <c r="C24" i="48"/>
  <c r="C23" i="48"/>
  <c r="C22" i="48"/>
  <c r="C20" i="48"/>
  <c r="C21" i="48"/>
  <c r="B42" i="51"/>
  <c r="B38" i="51"/>
  <c r="G37" i="51"/>
  <c r="F37" i="51"/>
  <c r="E37" i="51"/>
  <c r="D37" i="51"/>
  <c r="C37" i="51"/>
  <c r="G33" i="51"/>
  <c r="G35" i="51" s="1"/>
  <c r="F33" i="51"/>
  <c r="F35" i="51" s="1"/>
  <c r="E33" i="51"/>
  <c r="E35" i="51" s="1"/>
  <c r="D33" i="51"/>
  <c r="D35" i="51" s="1"/>
  <c r="C33" i="51"/>
  <c r="C35" i="51" s="1"/>
  <c r="B26" i="51"/>
  <c r="G22" i="51"/>
  <c r="F22" i="51"/>
  <c r="E22" i="51"/>
  <c r="D22" i="51"/>
  <c r="C22" i="51"/>
  <c r="B22" i="51"/>
  <c r="G21" i="51"/>
  <c r="F21" i="51"/>
  <c r="E21" i="51"/>
  <c r="D21" i="51"/>
  <c r="C21" i="51"/>
  <c r="G19" i="51"/>
  <c r="F19" i="51"/>
  <c r="F20" i="51" s="1"/>
  <c r="E19" i="51"/>
  <c r="D19" i="51"/>
  <c r="D20" i="51" s="1"/>
  <c r="D23" i="51" s="1"/>
  <c r="D24" i="51" s="1"/>
  <c r="D26" i="51" s="1"/>
  <c r="C19" i="51"/>
  <c r="N32" i="51"/>
  <c r="N38" i="47"/>
  <c r="Q37" i="47"/>
  <c r="P37" i="47"/>
  <c r="O37" i="47"/>
  <c r="N37" i="47"/>
  <c r="Q36" i="47"/>
  <c r="P36" i="47"/>
  <c r="O36" i="47"/>
  <c r="N36" i="47"/>
  <c r="Q35" i="47"/>
  <c r="P35" i="47"/>
  <c r="O35" i="47"/>
  <c r="N35" i="47"/>
  <c r="Q34" i="47"/>
  <c r="P34" i="47"/>
  <c r="O34" i="47"/>
  <c r="N34" i="47"/>
  <c r="Q33" i="47"/>
  <c r="P33" i="47"/>
  <c r="O33" i="47"/>
  <c r="N33" i="47"/>
  <c r="N32" i="47"/>
  <c r="G38" i="47"/>
  <c r="F38" i="47"/>
  <c r="E38" i="47"/>
  <c r="D38" i="47"/>
  <c r="C38" i="47"/>
  <c r="G38" i="44"/>
  <c r="F38" i="44"/>
  <c r="E38" i="44"/>
  <c r="D38" i="44"/>
  <c r="C38" i="44"/>
  <c r="G38" i="50"/>
  <c r="F38" i="50"/>
  <c r="E38" i="50"/>
  <c r="D38" i="50"/>
  <c r="C38" i="50"/>
  <c r="B38" i="50"/>
  <c r="B42" i="50" s="1"/>
  <c r="G37" i="50"/>
  <c r="F37" i="50"/>
  <c r="E37" i="50"/>
  <c r="D37" i="50"/>
  <c r="C37" i="50"/>
  <c r="G35" i="50"/>
  <c r="G36" i="50" s="1"/>
  <c r="F35" i="50"/>
  <c r="F36" i="50" s="1"/>
  <c r="E35" i="50"/>
  <c r="D35" i="50"/>
  <c r="D36" i="50" s="1"/>
  <c r="C35" i="50"/>
  <c r="C36" i="50" s="1"/>
  <c r="F23" i="50"/>
  <c r="F24" i="50" s="1"/>
  <c r="F26" i="50" s="1"/>
  <c r="G22" i="50"/>
  <c r="F22" i="50"/>
  <c r="E22" i="50"/>
  <c r="D22" i="50"/>
  <c r="C22" i="50"/>
  <c r="B22" i="50"/>
  <c r="B26" i="50" s="1"/>
  <c r="G21" i="50"/>
  <c r="F21" i="50"/>
  <c r="E21" i="50"/>
  <c r="D21" i="50"/>
  <c r="C21" i="50"/>
  <c r="F20" i="50"/>
  <c r="E20" i="50"/>
  <c r="D20" i="50"/>
  <c r="C20" i="50"/>
  <c r="G19" i="50"/>
  <c r="G20" i="50" s="1"/>
  <c r="G23" i="50" s="1"/>
  <c r="G24" i="50" s="1"/>
  <c r="G26" i="50" s="1"/>
  <c r="F19" i="50"/>
  <c r="E19" i="50"/>
  <c r="E23" i="50" s="1"/>
  <c r="E24" i="50" s="1"/>
  <c r="E26" i="50" s="1"/>
  <c r="D19" i="50"/>
  <c r="D23" i="50" s="1"/>
  <c r="D24" i="50" s="1"/>
  <c r="D26" i="50" s="1"/>
  <c r="C19" i="50"/>
  <c r="C23" i="50" s="1"/>
  <c r="C24" i="50" s="1"/>
  <c r="C26" i="50" s="1"/>
  <c r="N16" i="50"/>
  <c r="B42" i="46"/>
  <c r="G38" i="46"/>
  <c r="F38" i="46"/>
  <c r="E38" i="46"/>
  <c r="D38" i="46"/>
  <c r="C38" i="46"/>
  <c r="B38" i="46"/>
  <c r="G37" i="46"/>
  <c r="F37" i="46"/>
  <c r="E37" i="46"/>
  <c r="D37" i="46"/>
  <c r="C37" i="46"/>
  <c r="G35" i="46"/>
  <c r="G36" i="46" s="1"/>
  <c r="F35" i="46"/>
  <c r="F36" i="46" s="1"/>
  <c r="E35" i="46"/>
  <c r="E36" i="46" s="1"/>
  <c r="D35" i="46"/>
  <c r="D36" i="46" s="1"/>
  <c r="C35" i="46"/>
  <c r="B38" i="49"/>
  <c r="B42" i="49" s="1"/>
  <c r="G37" i="49"/>
  <c r="F37" i="49"/>
  <c r="E37" i="49"/>
  <c r="D37" i="49"/>
  <c r="C37" i="49"/>
  <c r="G35" i="49"/>
  <c r="G36" i="49" s="1"/>
  <c r="F35" i="49"/>
  <c r="F36" i="49" s="1"/>
  <c r="E35" i="49"/>
  <c r="E36" i="49" s="1"/>
  <c r="D35" i="49"/>
  <c r="D36" i="49" s="1"/>
  <c r="C35" i="49"/>
  <c r="C36" i="49" s="1"/>
  <c r="B26" i="49"/>
  <c r="G22" i="49"/>
  <c r="F22" i="49"/>
  <c r="E22" i="49"/>
  <c r="D22" i="49"/>
  <c r="C22" i="49"/>
  <c r="B22" i="49"/>
  <c r="G21" i="49"/>
  <c r="F21" i="49"/>
  <c r="E21" i="49"/>
  <c r="D21" i="49"/>
  <c r="C21" i="49"/>
  <c r="G20" i="49"/>
  <c r="F20" i="49"/>
  <c r="E20" i="49"/>
  <c r="D20" i="49"/>
  <c r="G19" i="49"/>
  <c r="F19" i="49"/>
  <c r="E19" i="49"/>
  <c r="D19" i="49"/>
  <c r="C19" i="49"/>
  <c r="N16" i="49"/>
  <c r="B22" i="48"/>
  <c r="B26" i="48" s="1"/>
  <c r="G33" i="47"/>
  <c r="G35" i="47" s="1"/>
  <c r="G36" i="47" s="1"/>
  <c r="F33" i="47"/>
  <c r="F35" i="47" s="1"/>
  <c r="E33" i="47"/>
  <c r="E35" i="47" s="1"/>
  <c r="D33" i="47"/>
  <c r="D35" i="47" s="1"/>
  <c r="C33" i="47"/>
  <c r="C35" i="47" s="1"/>
  <c r="B38" i="47"/>
  <c r="B42" i="47" s="1"/>
  <c r="G37" i="47"/>
  <c r="F37" i="47"/>
  <c r="E37" i="47"/>
  <c r="D37" i="47"/>
  <c r="C37" i="47"/>
  <c r="G22" i="47"/>
  <c r="F22" i="47"/>
  <c r="E22" i="47"/>
  <c r="D22" i="47"/>
  <c r="C22" i="47"/>
  <c r="B22" i="47"/>
  <c r="B26" i="47" s="1"/>
  <c r="G21" i="47"/>
  <c r="F21" i="47"/>
  <c r="E21" i="47"/>
  <c r="D21" i="47"/>
  <c r="C21" i="47"/>
  <c r="G19" i="47"/>
  <c r="F19" i="47"/>
  <c r="F20" i="47" s="1"/>
  <c r="E19" i="47"/>
  <c r="E20" i="47" s="1"/>
  <c r="E23" i="47" s="1"/>
  <c r="E24" i="47" s="1"/>
  <c r="E26" i="47" s="1"/>
  <c r="D19" i="47"/>
  <c r="C19" i="47"/>
  <c r="C20" i="47" s="1"/>
  <c r="N16" i="47"/>
  <c r="N17" i="47" s="1"/>
  <c r="B26" i="46"/>
  <c r="G22" i="46"/>
  <c r="F22" i="46"/>
  <c r="E22" i="46"/>
  <c r="D22" i="46"/>
  <c r="C22" i="46"/>
  <c r="B22" i="46"/>
  <c r="G21" i="46"/>
  <c r="F21" i="46"/>
  <c r="E21" i="46"/>
  <c r="D21" i="46"/>
  <c r="C21" i="46"/>
  <c r="F20" i="46"/>
  <c r="E20" i="46"/>
  <c r="D20" i="46"/>
  <c r="C20" i="46"/>
  <c r="G19" i="46"/>
  <c r="G20" i="46" s="1"/>
  <c r="F19" i="46"/>
  <c r="E19" i="46"/>
  <c r="D19" i="46"/>
  <c r="C19" i="46"/>
  <c r="N16" i="46"/>
  <c r="N17" i="46" s="1"/>
  <c r="B38" i="44"/>
  <c r="B42" i="44" s="1"/>
  <c r="G37" i="44"/>
  <c r="F37" i="44"/>
  <c r="E37" i="44"/>
  <c r="D37" i="44"/>
  <c r="G35" i="44"/>
  <c r="G36" i="44" s="1"/>
  <c r="F35" i="44"/>
  <c r="F36" i="44" s="1"/>
  <c r="E35" i="44"/>
  <c r="E36" i="44" s="1"/>
  <c r="D35" i="44"/>
  <c r="D36" i="44" s="1"/>
  <c r="C35" i="44"/>
  <c r="C36" i="44" s="1"/>
  <c r="C37" i="44"/>
  <c r="N16" i="44"/>
  <c r="N17" i="44" s="1"/>
  <c r="H40" i="47"/>
  <c r="H38" i="47"/>
  <c r="R18" i="51"/>
  <c r="C47" i="44"/>
  <c r="H36" i="51"/>
  <c r="R16" i="47"/>
  <c r="C45" i="47"/>
  <c r="H19" i="46"/>
  <c r="H38" i="51"/>
  <c r="S17" i="44"/>
  <c r="H23" i="46"/>
  <c r="H21" i="47"/>
  <c r="H37" i="46"/>
  <c r="J42" i="50"/>
  <c r="H37" i="47"/>
  <c r="H19" i="50"/>
  <c r="H37" i="51"/>
  <c r="C56" i="44"/>
  <c r="R16" i="50"/>
  <c r="S18" i="47"/>
  <c r="H19" i="51"/>
  <c r="H23" i="50"/>
  <c r="H40" i="51"/>
  <c r="R18" i="46"/>
  <c r="R16" i="46"/>
  <c r="R18" i="50"/>
  <c r="J27" i="50"/>
  <c r="H21" i="51"/>
  <c r="R17" i="47"/>
  <c r="H40" i="50"/>
  <c r="H39" i="46"/>
  <c r="T17" i="50"/>
  <c r="J42" i="46"/>
  <c r="H35" i="51"/>
  <c r="S33" i="47"/>
  <c r="J42" i="51"/>
  <c r="H22" i="50"/>
  <c r="S17" i="50"/>
  <c r="J43" i="47"/>
  <c r="H36" i="50"/>
  <c r="R16" i="51"/>
  <c r="H24" i="50"/>
  <c r="R33" i="47"/>
  <c r="U17" i="46"/>
  <c r="R33" i="51"/>
  <c r="H40" i="46"/>
  <c r="S18" i="44"/>
  <c r="J26" i="50"/>
  <c r="H33" i="51"/>
  <c r="J46" i="47"/>
  <c r="J27" i="46"/>
  <c r="R18" i="47"/>
  <c r="T17" i="46"/>
  <c r="J46" i="51"/>
  <c r="H39" i="50"/>
  <c r="J26" i="47"/>
  <c r="T17" i="44"/>
  <c r="R18" i="44"/>
  <c r="T17" i="47"/>
  <c r="J43" i="46"/>
  <c r="C45" i="51"/>
  <c r="S17" i="47"/>
  <c r="H33" i="47"/>
  <c r="R16" i="44"/>
  <c r="H22" i="51"/>
  <c r="H23" i="47"/>
  <c r="R17" i="51"/>
  <c r="T17" i="51"/>
  <c r="H35" i="46"/>
  <c r="H22" i="47"/>
  <c r="H38" i="46"/>
  <c r="T33" i="47"/>
  <c r="H39" i="51"/>
  <c r="T33" i="51"/>
  <c r="J43" i="51"/>
  <c r="S18" i="51"/>
  <c r="H22" i="46"/>
  <c r="H24" i="47"/>
  <c r="S17" i="51"/>
  <c r="R17" i="46"/>
  <c r="H20" i="51"/>
  <c r="H24" i="51"/>
  <c r="J27" i="47"/>
  <c r="J43" i="50"/>
  <c r="H19" i="47"/>
  <c r="H36" i="46"/>
  <c r="H38" i="50"/>
  <c r="R17" i="50"/>
  <c r="J42" i="47"/>
  <c r="H21" i="50"/>
  <c r="H20" i="47"/>
  <c r="S18" i="46"/>
  <c r="H35" i="50"/>
  <c r="H23" i="51"/>
  <c r="J27" i="51"/>
  <c r="S18" i="50"/>
  <c r="H20" i="50"/>
  <c r="R17" i="44"/>
  <c r="H35" i="47"/>
  <c r="R32" i="47"/>
  <c r="H39" i="47"/>
  <c r="S33" i="51"/>
  <c r="S17" i="46"/>
  <c r="R32" i="51"/>
  <c r="J26" i="51"/>
  <c r="H37" i="50"/>
  <c r="H36" i="47"/>
  <c r="N19" i="49" l="1"/>
  <c r="C20" i="51"/>
  <c r="C23" i="51" s="1"/>
  <c r="C24" i="51" s="1"/>
  <c r="C26" i="51" s="1"/>
  <c r="G20" i="51"/>
  <c r="G23" i="51" s="1"/>
  <c r="G24" i="51" s="1"/>
  <c r="G26" i="51" s="1"/>
  <c r="F36" i="51"/>
  <c r="C36" i="51"/>
  <c r="D36" i="51"/>
  <c r="E36" i="51"/>
  <c r="G36" i="51"/>
  <c r="F23" i="51"/>
  <c r="F24" i="51" s="1"/>
  <c r="F26" i="51" s="1"/>
  <c r="N17" i="51"/>
  <c r="E20" i="51"/>
  <c r="E23" i="51" s="1"/>
  <c r="E24" i="51" s="1"/>
  <c r="E26" i="51" s="1"/>
  <c r="I27" i="50"/>
  <c r="I26" i="50"/>
  <c r="E36" i="50"/>
  <c r="N17" i="50"/>
  <c r="D23" i="49"/>
  <c r="D24" i="49" s="1"/>
  <c r="D26" i="49" s="1"/>
  <c r="E23" i="49"/>
  <c r="E24" i="49" s="1"/>
  <c r="E26" i="49" s="1"/>
  <c r="F23" i="49"/>
  <c r="F24" i="49" s="1"/>
  <c r="F26" i="49" s="1"/>
  <c r="G23" i="49"/>
  <c r="G24" i="49" s="1"/>
  <c r="G26" i="49" s="1"/>
  <c r="C20" i="49"/>
  <c r="C23" i="49" s="1"/>
  <c r="C24" i="49" s="1"/>
  <c r="C26" i="49" s="1"/>
  <c r="D39" i="46"/>
  <c r="D40" i="46" s="1"/>
  <c r="D42" i="46" s="1"/>
  <c r="F39" i="46"/>
  <c r="F40" i="46" s="1"/>
  <c r="F42" i="46" s="1"/>
  <c r="G39" i="46"/>
  <c r="G40" i="46" s="1"/>
  <c r="G42" i="46" s="1"/>
  <c r="C36" i="46"/>
  <c r="C39" i="46" s="1"/>
  <c r="C40" i="46" s="1"/>
  <c r="C42" i="46" s="1"/>
  <c r="E39" i="46"/>
  <c r="E40" i="46" s="1"/>
  <c r="E42" i="46" s="1"/>
  <c r="F23" i="47"/>
  <c r="F24" i="47" s="1"/>
  <c r="F26" i="47" s="1"/>
  <c r="C23" i="47"/>
  <c r="C24" i="47" s="1"/>
  <c r="C26" i="47" s="1"/>
  <c r="D20" i="47"/>
  <c r="D23" i="47" s="1"/>
  <c r="D24" i="47" s="1"/>
  <c r="D26" i="47" s="1"/>
  <c r="C36" i="47"/>
  <c r="D36" i="47"/>
  <c r="E36" i="47"/>
  <c r="F36" i="47"/>
  <c r="P19" i="47"/>
  <c r="P21" i="47"/>
  <c r="P20" i="47"/>
  <c r="P17" i="47"/>
  <c r="O17" i="47"/>
  <c r="P18" i="47"/>
  <c r="G20" i="47"/>
  <c r="G23" i="47" s="1"/>
  <c r="G24" i="47" s="1"/>
  <c r="G26" i="47" s="1"/>
  <c r="G23" i="46"/>
  <c r="G24" i="46" s="1"/>
  <c r="G26" i="46" s="1"/>
  <c r="C23" i="46"/>
  <c r="C24" i="46" s="1"/>
  <c r="C26" i="46" s="1"/>
  <c r="D23" i="46"/>
  <c r="D24" i="46" s="1"/>
  <c r="D26" i="46" s="1"/>
  <c r="E23" i="46"/>
  <c r="E24" i="46" s="1"/>
  <c r="E26" i="46" s="1"/>
  <c r="F23" i="46"/>
  <c r="F24" i="46" s="1"/>
  <c r="F26" i="46" s="1"/>
  <c r="H20" i="46"/>
  <c r="H21" i="46"/>
  <c r="H24" i="46"/>
  <c r="N20" i="49" l="1"/>
  <c r="I26" i="51"/>
  <c r="I27" i="51"/>
  <c r="P33" i="51"/>
  <c r="P21" i="51"/>
  <c r="P37" i="51" s="1"/>
  <c r="P19" i="51"/>
  <c r="P35" i="51" s="1"/>
  <c r="P20" i="51"/>
  <c r="P36" i="51" s="1"/>
  <c r="N33" i="51"/>
  <c r="P18" i="51"/>
  <c r="P34" i="51" s="1"/>
  <c r="P21" i="50"/>
  <c r="P17" i="50"/>
  <c r="P18" i="50"/>
  <c r="P20" i="50"/>
  <c r="O17" i="50"/>
  <c r="P19" i="50"/>
  <c r="F39" i="50"/>
  <c r="F40" i="50" s="1"/>
  <c r="F42" i="50" s="1"/>
  <c r="E39" i="50"/>
  <c r="E40" i="50" s="1"/>
  <c r="E42" i="50" s="1"/>
  <c r="G39" i="50"/>
  <c r="G40" i="50" s="1"/>
  <c r="G42" i="50" s="1"/>
  <c r="D39" i="50"/>
  <c r="D40" i="50" s="1"/>
  <c r="D42" i="50" s="1"/>
  <c r="C39" i="50"/>
  <c r="C40" i="50" s="1"/>
  <c r="C42" i="50" s="1"/>
  <c r="I26" i="49"/>
  <c r="I27" i="49"/>
  <c r="I43" i="46"/>
  <c r="I42" i="46"/>
  <c r="G39" i="49"/>
  <c r="G40" i="49" s="1"/>
  <c r="F39" i="49"/>
  <c r="F40" i="49" s="1"/>
  <c r="D39" i="49"/>
  <c r="D40" i="49" s="1"/>
  <c r="C39" i="49"/>
  <c r="C40" i="49" s="1"/>
  <c r="E39" i="49"/>
  <c r="E40" i="49" s="1"/>
  <c r="G39" i="47"/>
  <c r="G40" i="47" s="1"/>
  <c r="G42" i="47" s="1"/>
  <c r="G46" i="47" s="1"/>
  <c r="F39" i="47"/>
  <c r="F40" i="47" s="1"/>
  <c r="F42" i="47" s="1"/>
  <c r="F46" i="47" s="1"/>
  <c r="E39" i="47"/>
  <c r="E40" i="47" s="1"/>
  <c r="E42" i="47" s="1"/>
  <c r="E46" i="47" s="1"/>
  <c r="C39" i="47"/>
  <c r="C40" i="47" s="1"/>
  <c r="C42" i="47" s="1"/>
  <c r="D39" i="47"/>
  <c r="D40" i="47" s="1"/>
  <c r="D42" i="47" s="1"/>
  <c r="D46" i="47" s="1"/>
  <c r="I27" i="47"/>
  <c r="I26" i="47"/>
  <c r="O19" i="47"/>
  <c r="Q19" i="47" s="1"/>
  <c r="Q17" i="47"/>
  <c r="N18" i="47" s="1"/>
  <c r="O20" i="47"/>
  <c r="Q20" i="47" s="1"/>
  <c r="O21" i="47"/>
  <c r="Q21" i="47" s="1"/>
  <c r="O18" i="47"/>
  <c r="Q18" i="47" s="1"/>
  <c r="I27" i="46"/>
  <c r="I26" i="46"/>
  <c r="J42" i="44"/>
  <c r="H40" i="44"/>
  <c r="H35" i="44"/>
  <c r="H36" i="44"/>
  <c r="J26" i="46"/>
  <c r="H37" i="44"/>
  <c r="J43" i="44"/>
  <c r="H39" i="44"/>
  <c r="H38" i="44"/>
  <c r="N21" i="49" l="1"/>
  <c r="C38" i="51"/>
  <c r="C39" i="51" s="1"/>
  <c r="C40" i="51" s="1"/>
  <c r="C42" i="51" s="1"/>
  <c r="F38" i="51"/>
  <c r="F39" i="51" s="1"/>
  <c r="F40" i="51" s="1"/>
  <c r="F42" i="51" s="1"/>
  <c r="F46" i="51" s="1"/>
  <c r="O33" i="51"/>
  <c r="O20" i="51"/>
  <c r="E38" i="51"/>
  <c r="E39" i="51" s="1"/>
  <c r="E40" i="51" s="1"/>
  <c r="E42" i="51" s="1"/>
  <c r="E46" i="51" s="1"/>
  <c r="O19" i="51"/>
  <c r="D38" i="51"/>
  <c r="D39" i="51" s="1"/>
  <c r="D40" i="51" s="1"/>
  <c r="D42" i="51" s="1"/>
  <c r="D46" i="51" s="1"/>
  <c r="O21" i="51"/>
  <c r="G38" i="51"/>
  <c r="G39" i="51" s="1"/>
  <c r="G40" i="51" s="1"/>
  <c r="G42" i="51" s="1"/>
  <c r="G46" i="51" s="1"/>
  <c r="I43" i="50"/>
  <c r="I42" i="50"/>
  <c r="O19" i="50"/>
  <c r="Q19" i="50" s="1"/>
  <c r="O21" i="50"/>
  <c r="Q21" i="50" s="1"/>
  <c r="Q17" i="50"/>
  <c r="N18" i="50" s="1"/>
  <c r="N19" i="50" s="1"/>
  <c r="N20" i="50" s="1"/>
  <c r="O18" i="50"/>
  <c r="Q18" i="50" s="1"/>
  <c r="O20" i="50"/>
  <c r="Q20" i="50" s="1"/>
  <c r="I43" i="49"/>
  <c r="I42" i="49"/>
  <c r="C46" i="47"/>
  <c r="I46" i="47" s="1"/>
  <c r="I43" i="47"/>
  <c r="I42" i="47"/>
  <c r="G39" i="44"/>
  <c r="G40" i="44" s="1"/>
  <c r="G42" i="44" s="1"/>
  <c r="E39" i="44"/>
  <c r="E40" i="44" s="1"/>
  <c r="E42" i="44" s="1"/>
  <c r="C39" i="44"/>
  <c r="C40" i="44" s="1"/>
  <c r="C42" i="44" s="1"/>
  <c r="F39" i="44"/>
  <c r="F40" i="44" s="1"/>
  <c r="F42" i="44" s="1"/>
  <c r="D39" i="44"/>
  <c r="D40" i="44" s="1"/>
  <c r="D42" i="44" s="1"/>
  <c r="N19" i="47"/>
  <c r="N20" i="47" s="1"/>
  <c r="N21" i="47" s="1"/>
  <c r="N22" i="47" s="1"/>
  <c r="P19" i="46"/>
  <c r="P20" i="46"/>
  <c r="P17" i="46"/>
  <c r="P21" i="46"/>
  <c r="P18" i="46"/>
  <c r="O17" i="46"/>
  <c r="P21" i="44"/>
  <c r="P17" i="44"/>
  <c r="O17" i="44"/>
  <c r="O19" i="44" s="1"/>
  <c r="P19" i="44"/>
  <c r="P20" i="44"/>
  <c r="P18" i="44"/>
  <c r="N22" i="49" l="1"/>
  <c r="Q21" i="51"/>
  <c r="Q37" i="51" s="1"/>
  <c r="O37" i="51"/>
  <c r="O34" i="51"/>
  <c r="Q18" i="51"/>
  <c r="Q34" i="51" s="1"/>
  <c r="O35" i="51"/>
  <c r="Q19" i="51"/>
  <c r="Q35" i="51" s="1"/>
  <c r="Q33" i="51"/>
  <c r="O36" i="51"/>
  <c r="Q20" i="51"/>
  <c r="Q36" i="51" s="1"/>
  <c r="C46" i="51"/>
  <c r="I46" i="51" s="1"/>
  <c r="I42" i="51"/>
  <c r="I43" i="51"/>
  <c r="N21" i="50"/>
  <c r="N22" i="50" s="1"/>
  <c r="O19" i="46"/>
  <c r="Q19" i="46" s="1"/>
  <c r="Q17" i="46"/>
  <c r="N18" i="46" s="1"/>
  <c r="O20" i="46"/>
  <c r="Q20" i="46" s="1"/>
  <c r="O21" i="46"/>
  <c r="Q21" i="46" s="1"/>
  <c r="O18" i="46"/>
  <c r="Q18" i="46" s="1"/>
  <c r="O21" i="44"/>
  <c r="Q21" i="44" s="1"/>
  <c r="Q19" i="44"/>
  <c r="O18" i="44"/>
  <c r="Q18" i="44" s="1"/>
  <c r="Q17" i="44"/>
  <c r="N18" i="44" s="1"/>
  <c r="O20" i="44"/>
  <c r="Q20" i="44" s="1"/>
  <c r="I43" i="44"/>
  <c r="B56" i="44" s="1"/>
  <c r="I42" i="44"/>
  <c r="B47" i="44" s="1"/>
  <c r="N19" i="51" l="1"/>
  <c r="N34" i="51"/>
  <c r="N19" i="44"/>
  <c r="N20" i="44" s="1"/>
  <c r="N21" i="44" s="1"/>
  <c r="N22" i="44" s="1"/>
  <c r="N19" i="46"/>
  <c r="N20" i="46" s="1"/>
  <c r="N21" i="46" s="1"/>
  <c r="N22" i="46" s="1"/>
  <c r="N35" i="51" l="1"/>
  <c r="N20" i="51"/>
  <c r="G22" i="44"/>
  <c r="F22" i="44"/>
  <c r="E22" i="44"/>
  <c r="D22" i="44"/>
  <c r="C22" i="44"/>
  <c r="B22" i="44"/>
  <c r="B26" i="44" s="1"/>
  <c r="G21" i="44"/>
  <c r="F21" i="44"/>
  <c r="E21" i="44"/>
  <c r="D21" i="44"/>
  <c r="C21" i="44"/>
  <c r="G19" i="44"/>
  <c r="G20" i="44" s="1"/>
  <c r="F19" i="44"/>
  <c r="F20" i="44" s="1"/>
  <c r="E19" i="44"/>
  <c r="E20" i="44" s="1"/>
  <c r="D19" i="44"/>
  <c r="D20" i="44" s="1"/>
  <c r="C19" i="44"/>
  <c r="C20" i="44" s="1"/>
  <c r="G22" i="43"/>
  <c r="F22" i="43"/>
  <c r="E22" i="43"/>
  <c r="D22" i="43"/>
  <c r="C22" i="43"/>
  <c r="B22" i="43"/>
  <c r="B26" i="43" s="1"/>
  <c r="G21" i="43"/>
  <c r="F21" i="43"/>
  <c r="E21" i="43"/>
  <c r="D21" i="43"/>
  <c r="C21" i="43"/>
  <c r="G20" i="43"/>
  <c r="G19" i="43"/>
  <c r="F19" i="43"/>
  <c r="F20" i="43" s="1"/>
  <c r="E19" i="43"/>
  <c r="E20" i="43" s="1"/>
  <c r="D19" i="43"/>
  <c r="C19" i="43"/>
  <c r="J26" i="43"/>
  <c r="J27" i="44"/>
  <c r="H19" i="43"/>
  <c r="H24" i="43"/>
  <c r="H22" i="43"/>
  <c r="H21" i="43"/>
  <c r="H19" i="44"/>
  <c r="H24" i="44"/>
  <c r="J27" i="43"/>
  <c r="H20" i="43"/>
  <c r="H23" i="43"/>
  <c r="H23" i="44"/>
  <c r="H22" i="44"/>
  <c r="J26" i="44"/>
  <c r="H21" i="44"/>
  <c r="H20" i="44"/>
  <c r="N21" i="51" l="1"/>
  <c r="N36" i="51"/>
  <c r="E23" i="44"/>
  <c r="E24" i="44" s="1"/>
  <c r="E26" i="44" s="1"/>
  <c r="C23" i="44"/>
  <c r="C24" i="44" s="1"/>
  <c r="C26" i="44" s="1"/>
  <c r="D23" i="44"/>
  <c r="D24" i="44" s="1"/>
  <c r="D26" i="44" s="1"/>
  <c r="F23" i="44"/>
  <c r="F24" i="44" s="1"/>
  <c r="F26" i="44" s="1"/>
  <c r="G23" i="44"/>
  <c r="G24" i="44" s="1"/>
  <c r="G26" i="44" s="1"/>
  <c r="G23" i="43"/>
  <c r="G24" i="43" s="1"/>
  <c r="G26" i="43" s="1"/>
  <c r="E23" i="43"/>
  <c r="E24" i="43" s="1"/>
  <c r="E26" i="43" s="1"/>
  <c r="F23" i="43"/>
  <c r="F24" i="43" s="1"/>
  <c r="F26" i="43" s="1"/>
  <c r="C20" i="43"/>
  <c r="C23" i="43" s="1"/>
  <c r="C24" i="43" s="1"/>
  <c r="C26" i="43" s="1"/>
  <c r="D20" i="43"/>
  <c r="D23" i="43" s="1"/>
  <c r="D24" i="43" s="1"/>
  <c r="D26" i="43" s="1"/>
  <c r="N22" i="51" l="1"/>
  <c r="N38" i="51" s="1"/>
  <c r="N37" i="51"/>
  <c r="I27" i="44"/>
  <c r="I26" i="44"/>
  <c r="I27" i="43"/>
  <c r="I26" i="43"/>
</calcChain>
</file>

<file path=xl/sharedStrings.xml><?xml version="1.0" encoding="utf-8"?>
<sst xmlns="http://schemas.openxmlformats.org/spreadsheetml/2006/main" count="383" uniqueCount="76">
  <si>
    <t>Tax Rate</t>
  </si>
  <si>
    <t>Discount Rate</t>
  </si>
  <si>
    <t>Year</t>
  </si>
  <si>
    <t>Sales</t>
  </si>
  <si>
    <t>Investment\Depreciation</t>
  </si>
  <si>
    <t>Net Profit (Bef Tax)</t>
  </si>
  <si>
    <t>Net Profit (Aft Tax)</t>
  </si>
  <si>
    <t>Cashflow</t>
  </si>
  <si>
    <t>IRR</t>
  </si>
  <si>
    <t>NPV</t>
  </si>
  <si>
    <t>=G19-SUM(G20:G22)</t>
  </si>
  <si>
    <t>=IF(G23&gt;0,G23*(1-$B$4),G23)</t>
  </si>
  <si>
    <t>=IRR(B26:G26)</t>
  </si>
  <si>
    <t>=B26+NPV(B5,C26:G26)</t>
  </si>
  <si>
    <t>SATELLITE SALE-LEASEBACK</t>
  </si>
  <si>
    <t>Number of Transponders</t>
  </si>
  <si>
    <t>Pricing per transponder/yr</t>
  </si>
  <si>
    <t>Fixed Operating Cost/yr</t>
  </si>
  <si>
    <t>Variable Operating Cost/yr</t>
  </si>
  <si>
    <t>Satellite Build Cost</t>
  </si>
  <si>
    <t>Operating Costs</t>
  </si>
  <si>
    <t>Fixed Costs</t>
  </si>
  <si>
    <t>Phoenix</t>
  </si>
  <si>
    <t>Occupancy (# of transponders)</t>
  </si>
  <si>
    <t>Beginning
Balance</t>
  </si>
  <si>
    <t>Payment</t>
  </si>
  <si>
    <t>Interest</t>
  </si>
  <si>
    <t>Principal</t>
  </si>
  <si>
    <t>SALE-LEASEBACK (Asset Capital BanK)</t>
  </si>
  <si>
    <t>BUILD (X-Wing Corp)</t>
  </si>
  <si>
    <t>Interest Rate</t>
  </si>
  <si>
    <t>Years of Life</t>
  </si>
  <si>
    <t>Downpayment</t>
  </si>
  <si>
    <t>Phoenix Leveraged</t>
  </si>
  <si>
    <t>Lease payment</t>
  </si>
  <si>
    <t>Number of Satellites</t>
  </si>
  <si>
    <t>*fixed cost does not change with number of satellites</t>
  </si>
  <si>
    <t>Risk 1</t>
  </si>
  <si>
    <t>Price per transponder is lower</t>
  </si>
  <si>
    <t>Occupance Adj</t>
  </si>
  <si>
    <t>Risk 2</t>
  </si>
  <si>
    <t>Cashlow goes negative</t>
  </si>
  <si>
    <t>Less than 5</t>
  </si>
  <si>
    <t>One Satellite</t>
  </si>
  <si>
    <t>Multiple Satellites</t>
  </si>
  <si>
    <t>=G17*$B$9</t>
  </si>
  <si>
    <t>=G19*$B$10</t>
  </si>
  <si>
    <t>=$B$11</t>
  </si>
  <si>
    <t>=$B$7/$B$3</t>
  </si>
  <si>
    <t>=G33*$B$9*$C$30</t>
  </si>
  <si>
    <t>=G35*$B$10</t>
  </si>
  <si>
    <t>=$O$17*$C$30</t>
  </si>
  <si>
    <t>=G35-SUM(G36:G38)</t>
  </si>
  <si>
    <t>=IF(G39&gt;0,G39*(1-$B$4),G39)</t>
  </si>
  <si>
    <t>=IRR(B42:G42)</t>
  </si>
  <si>
    <t>=B42+NPV(B21,C42:G42)</t>
  </si>
  <si>
    <t>=N17-Q17</t>
  </si>
  <si>
    <t>=$O$17</t>
  </si>
  <si>
    <t>=N16</t>
  </si>
  <si>
    <t>=PMT(N4,B3,-N17)</t>
  </si>
  <si>
    <t>=IPMT($N$4,M17,$B$3,-$N$17)</t>
  </si>
  <si>
    <t>=O17-P17</t>
  </si>
  <si>
    <t>=B7-(B7*N5)</t>
  </si>
  <si>
    <t>Occupancy lower</t>
  </si>
  <si>
    <t>1) Fill in Year 1</t>
  </si>
  <si>
    <t>2) Copy to 5 years</t>
  </si>
  <si>
    <t>3) Do IRR and NPV</t>
  </si>
  <si>
    <t>1) Complete amortization table</t>
  </si>
  <si>
    <t>2) New Pro forma and cashflow</t>
  </si>
  <si>
    <t>1) Datatable IRR</t>
  </si>
  <si>
    <t>2) Data table NPV</t>
  </si>
  <si>
    <t>1) Goalseek transponder price</t>
  </si>
  <si>
    <t>2) Goalseek occupancy</t>
  </si>
  <si>
    <t>0) Changes to formulas</t>
  </si>
  <si>
    <t>3) Error check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</si>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</sst>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4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0" fontId="0" fillId="5" borderId="0" xfId="0" applyFill="1"/>
    <xf numFmtId="9" fontId="0" fillId="5" borderId="0" xfId="1" applyFont="1" applyFill="1"/>
    <xf numFmtId="164" fontId="0" fillId="5" borderId="0" xfId="2" applyNumberFormat="1" applyFont="1" applyFill="1"/>
    <xf numFmtId="6" fontId="0" fillId="5" borderId="0" xfId="0" applyNumberFormat="1" applyFill="1"/>
    <xf numFmtId="164" fontId="0" fillId="0" borderId="0" xfId="2" applyNumberFormat="1" applyFont="1"/>
    <xf numFmtId="0" fontId="0" fillId="0" borderId="5" xfId="0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165" fontId="0" fillId="0" borderId="2" xfId="3" applyNumberFormat="1" applyFont="1" applyBorder="1"/>
    <xf numFmtId="6" fontId="0" fillId="0" borderId="0" xfId="3" applyNumberFormat="1" applyFont="1" applyBorder="1"/>
    <xf numFmtId="6" fontId="0" fillId="0" borderId="3" xfId="3" applyNumberFormat="1" applyFont="1" applyBorder="1"/>
    <xf numFmtId="6" fontId="0" fillId="0" borderId="2" xfId="3" applyNumberFormat="1" applyFont="1" applyBorder="1"/>
    <xf numFmtId="165" fontId="0" fillId="0" borderId="2" xfId="0" applyNumberFormat="1" applyBorder="1"/>
    <xf numFmtId="0" fontId="0" fillId="0" borderId="4" xfId="0" applyBorder="1"/>
    <xf numFmtId="0" fontId="0" fillId="0" borderId="1" xfId="0" applyBorder="1"/>
    <xf numFmtId="6" fontId="0" fillId="0" borderId="0" xfId="0" applyNumberFormat="1"/>
    <xf numFmtId="0" fontId="5" fillId="0" borderId="2" xfId="0" applyFont="1" applyBorder="1"/>
    <xf numFmtId="6" fontId="5" fillId="0" borderId="2" xfId="3" applyNumberFormat="1" applyFont="1" applyBorder="1"/>
    <xf numFmtId="6" fontId="5" fillId="0" borderId="0" xfId="3" applyNumberFormat="1" applyFont="1" applyBorder="1"/>
    <xf numFmtId="6" fontId="5" fillId="0" borderId="3" xfId="3" applyNumberFormat="1" applyFont="1" applyBorder="1"/>
    <xf numFmtId="0" fontId="2" fillId="2" borderId="9" xfId="0" applyFont="1" applyFill="1" applyBorder="1"/>
    <xf numFmtId="0" fontId="2" fillId="2" borderId="10" xfId="0" applyFont="1" applyFill="1" applyBorder="1"/>
    <xf numFmtId="0" fontId="2" fillId="2" borderId="11" xfId="0" applyFont="1" applyFill="1" applyBorder="1"/>
    <xf numFmtId="0" fontId="2" fillId="2" borderId="2" xfId="0" applyFont="1" applyFill="1" applyBorder="1"/>
    <xf numFmtId="0" fontId="2" fillId="2" borderId="0" xfId="0" applyFont="1" applyFill="1"/>
    <xf numFmtId="0" fontId="2" fillId="2" borderId="3" xfId="0" applyFont="1" applyFill="1" applyBorder="1"/>
    <xf numFmtId="9" fontId="2" fillId="0" borderId="12" xfId="0" applyNumberFormat="1" applyFont="1" applyBorder="1"/>
    <xf numFmtId="6" fontId="2" fillId="0" borderId="13" xfId="0" applyNumberFormat="1" applyFont="1" applyBorder="1"/>
    <xf numFmtId="0" fontId="2" fillId="0" borderId="14" xfId="0" applyFont="1" applyBorder="1"/>
    <xf numFmtId="0" fontId="2" fillId="0" borderId="15" xfId="0" applyFont="1" applyBorder="1"/>
    <xf numFmtId="0" fontId="0" fillId="3" borderId="17" xfId="0" applyFill="1" applyBorder="1" applyAlignment="1">
      <alignment wrapText="1"/>
    </xf>
    <xf numFmtId="0" fontId="0" fillId="3" borderId="18" xfId="0" applyFill="1" applyBorder="1"/>
    <xf numFmtId="0" fontId="0" fillId="3" borderId="19" xfId="0" applyFill="1" applyBorder="1"/>
    <xf numFmtId="0" fontId="0" fillId="3" borderId="16" xfId="0" applyFill="1" applyBorder="1" applyAlignment="1">
      <alignment horizontal="center"/>
    </xf>
    <xf numFmtId="6" fontId="0" fillId="0" borderId="0" xfId="3" applyNumberFormat="1" applyFont="1" applyFill="1" applyBorder="1"/>
    <xf numFmtId="0" fontId="6" fillId="0" borderId="0" xfId="0" applyFont="1"/>
    <xf numFmtId="9" fontId="0" fillId="0" borderId="0" xfId="1" applyFont="1"/>
    <xf numFmtId="9" fontId="0" fillId="6" borderId="0" xfId="1" applyFont="1" applyFill="1"/>
    <xf numFmtId="0" fontId="0" fillId="4" borderId="6" xfId="0" applyFill="1" applyBorder="1"/>
    <xf numFmtId="164" fontId="0" fillId="4" borderId="6" xfId="0" applyNumberFormat="1" applyFill="1" applyBorder="1"/>
    <xf numFmtId="0" fontId="0" fillId="4" borderId="7" xfId="0" applyFill="1" applyBorder="1"/>
    <xf numFmtId="0" fontId="2" fillId="4" borderId="16" xfId="0" applyFont="1" applyFill="1" applyBorder="1"/>
    <xf numFmtId="0" fontId="2" fillId="4" borderId="19" xfId="0" applyFont="1" applyFill="1" applyBorder="1"/>
    <xf numFmtId="0" fontId="0" fillId="7" borderId="6" xfId="0" applyFill="1" applyBorder="1"/>
    <xf numFmtId="0" fontId="0" fillId="7" borderId="8" xfId="0" applyFill="1" applyBorder="1"/>
    <xf numFmtId="9" fontId="0" fillId="0" borderId="0" xfId="0" applyNumberFormat="1"/>
    <xf numFmtId="6" fontId="0" fillId="4" borderId="0" xfId="3" applyNumberFormat="1" applyFont="1" applyFill="1" applyBorder="1"/>
    <xf numFmtId="6" fontId="5" fillId="4" borderId="0" xfId="3" applyNumberFormat="1" applyFont="1" applyFill="1" applyBorder="1"/>
    <xf numFmtId="6" fontId="5" fillId="4" borderId="3" xfId="3" applyNumberFormat="1" applyFont="1" applyFill="1" applyBorder="1"/>
    <xf numFmtId="164" fontId="0" fillId="4" borderId="0" xfId="0" applyNumberFormat="1" applyFill="1"/>
    <xf numFmtId="0" fontId="7" fillId="0" borderId="0" xfId="0" applyFont="1"/>
    <xf numFmtId="6" fontId="8" fillId="0" borderId="0" xfId="3" applyNumberFormat="1" applyFont="1" applyBorder="1"/>
    <xf numFmtId="0" fontId="7" fillId="5" borderId="0" xfId="0" applyFont="1" applyFill="1"/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DB168C-6749-45E3-9A1B-11995416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44926"/>
          <a:ext cx="2843566" cy="15648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01AC50-F06C-3418-0E58-ACCC6186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54451"/>
          <a:ext cx="2843566" cy="1564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28B7F-4668-4081-98E9-2CADFBAE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44926"/>
          <a:ext cx="2843566" cy="1564874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26</xdr:row>
      <xdr:rowOff>11427</xdr:rowOff>
    </xdr:from>
    <xdr:to>
      <xdr:col>23</xdr:col>
      <xdr:colOff>128587</xdr:colOff>
      <xdr:row>40</xdr:row>
      <xdr:rowOff>173829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7C397F8-14F6-465C-88FA-417A05957248}"/>
            </a:ext>
          </a:extLst>
        </xdr:cNvPr>
        <xdr:cNvSpPr/>
      </xdr:nvSpPr>
      <xdr:spPr>
        <a:xfrm>
          <a:off x="12496800" y="5116827"/>
          <a:ext cx="12958762" cy="275320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1600" b="1"/>
            <a:t>Remove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3A8B20-9C19-4021-BBA5-FD4AE765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44926"/>
          <a:ext cx="2843566" cy="1564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B1059E-B03E-43B7-B9AC-15B697CA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44926"/>
          <a:ext cx="2843566" cy="15648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A2E822-20A9-4724-A671-469A7847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44926"/>
          <a:ext cx="2843566" cy="156487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46</xdr:row>
      <xdr:rowOff>149678</xdr:rowOff>
    </xdr:from>
    <xdr:to>
      <xdr:col>7</xdr:col>
      <xdr:colOff>298425</xdr:colOff>
      <xdr:row>59</xdr:row>
      <xdr:rowOff>149678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727E7-0ADC-C647-8F4C-FAB9B5575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3643" y="9484178"/>
          <a:ext cx="4053996" cy="2476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671866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583E6-3DEC-46B1-9E12-6BEAEE64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44926"/>
          <a:ext cx="2843566" cy="1564874"/>
        </a:xfrm>
        <a:prstGeom prst="rect">
          <a:avLst/>
        </a:prstGeom>
      </xdr:spPr>
    </xdr:pic>
    <xdr:clientData/>
  </xdr:twoCellAnchor>
  <xdr:twoCellAnchor>
    <xdr:from>
      <xdr:col>7</xdr:col>
      <xdr:colOff>272143</xdr:colOff>
      <xdr:row>74</xdr:row>
      <xdr:rowOff>163286</xdr:rowOff>
    </xdr:from>
    <xdr:to>
      <xdr:col>19</xdr:col>
      <xdr:colOff>424543</xdr:colOff>
      <xdr:row>92</xdr:row>
      <xdr:rowOff>155121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6B6DE54-3412-4897-89BE-B8AE22D715D7}"/>
            </a:ext>
          </a:extLst>
        </xdr:cNvPr>
        <xdr:cNvSpPr/>
      </xdr:nvSpPr>
      <xdr:spPr>
        <a:xfrm>
          <a:off x="9067800" y="14771915"/>
          <a:ext cx="13607143" cy="332286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1600" b="1"/>
            <a:t>Remove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197251</xdr:rowOff>
    </xdr:from>
    <xdr:to>
      <xdr:col>6</xdr:col>
      <xdr:colOff>862366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BCCFAB-7B60-4B60-976C-5A7A2C118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644926"/>
          <a:ext cx="2843566" cy="156487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47</xdr:row>
      <xdr:rowOff>57150</xdr:rowOff>
    </xdr:from>
    <xdr:to>
      <xdr:col>5</xdr:col>
      <xdr:colOff>799829</xdr:colOff>
      <xdr:row>55</xdr:row>
      <xdr:rowOff>85531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18B1AE-BA55-7368-5316-D453B9CCE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3475" y="9582150"/>
          <a:ext cx="2171429" cy="1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58</xdr:row>
      <xdr:rowOff>57150</xdr:rowOff>
    </xdr:from>
    <xdr:to>
      <xdr:col>5</xdr:col>
      <xdr:colOff>818888</xdr:colOff>
      <xdr:row>66</xdr:row>
      <xdr:rowOff>28388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BC3BA9-6CFB-CC02-F360-8E49E8A3F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8725" y="11677650"/>
          <a:ext cx="2095238" cy="1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9A52-65D2-46AB-B820-0B6B5E014EE5}">
  <dimension ref="A1:J27"/>
  <sheetViews>
    <sheetView topLeftCell="A5" zoomScale="95" workbookViewId="0">
      <selection activeCell="C26" sqref="C26"/>
    </sheetView>
  </sheetViews>
  <sheetFormatPr defaultRowHeight="14.4" x14ac:dyDescent="0.3"/>
  <cols>
    <col min="1" max="1" width="27.6640625" customWidth="1"/>
    <col min="2" max="2" width="16.5546875" bestFit="1" customWidth="1"/>
    <col min="3" max="7" width="15.44140625" bestFit="1" customWidth="1"/>
    <col min="8" max="8" width="12.88671875" bestFit="1" customWidth="1"/>
    <col min="9" max="9" width="20.109375" customWidth="1"/>
    <col min="15" max="15" width="5" customWidth="1"/>
    <col min="18" max="18" width="11.33203125" bestFit="1" customWidth="1"/>
  </cols>
  <sheetData>
    <row r="1" spans="1:10" ht="21" x14ac:dyDescent="0.4">
      <c r="A1" s="3" t="s">
        <v>14</v>
      </c>
    </row>
    <row r="3" spans="1:10" x14ac:dyDescent="0.3">
      <c r="A3" t="s">
        <v>31</v>
      </c>
      <c r="B3" s="5">
        <v>5</v>
      </c>
    </row>
    <row r="4" spans="1:10" x14ac:dyDescent="0.3">
      <c r="A4" t="s">
        <v>0</v>
      </c>
      <c r="B4" s="6">
        <v>0.3</v>
      </c>
    </row>
    <row r="5" spans="1:10" x14ac:dyDescent="0.3">
      <c r="A5" t="s">
        <v>1</v>
      </c>
      <c r="B5" s="6">
        <v>0.1</v>
      </c>
    </row>
    <row r="6" spans="1:10" ht="18" x14ac:dyDescent="0.35">
      <c r="J6" s="4" t="s">
        <v>64</v>
      </c>
    </row>
    <row r="7" spans="1:10" ht="18" x14ac:dyDescent="0.35">
      <c r="A7" t="s">
        <v>19</v>
      </c>
      <c r="B7" s="8">
        <v>125000000</v>
      </c>
      <c r="J7" s="4" t="s">
        <v>65</v>
      </c>
    </row>
    <row r="8" spans="1:10" ht="18" x14ac:dyDescent="0.35">
      <c r="A8" t="s">
        <v>15</v>
      </c>
      <c r="B8" s="7">
        <v>64</v>
      </c>
      <c r="J8" s="4" t="s">
        <v>66</v>
      </c>
    </row>
    <row r="9" spans="1:10" x14ac:dyDescent="0.3">
      <c r="A9" t="s">
        <v>16</v>
      </c>
      <c r="B9" s="8">
        <v>1200000</v>
      </c>
    </row>
    <row r="10" spans="1:10" x14ac:dyDescent="0.3">
      <c r="A10" t="s">
        <v>18</v>
      </c>
      <c r="B10" s="6">
        <v>0.12</v>
      </c>
    </row>
    <row r="11" spans="1:10" x14ac:dyDescent="0.3">
      <c r="A11" t="s">
        <v>17</v>
      </c>
      <c r="B11" s="8">
        <v>25000000</v>
      </c>
    </row>
    <row r="14" spans="1:10" x14ac:dyDescent="0.3">
      <c r="B14" s="9"/>
      <c r="C14" s="9"/>
    </row>
    <row r="15" spans="1:10" ht="18" x14ac:dyDescent="0.35">
      <c r="A15" s="4" t="s">
        <v>22</v>
      </c>
      <c r="B15" s="31" t="s">
        <v>2</v>
      </c>
      <c r="C15" s="32"/>
      <c r="D15" s="32"/>
      <c r="E15" s="32"/>
      <c r="F15" s="32"/>
      <c r="G15" s="33"/>
    </row>
    <row r="16" spans="1:10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</row>
    <row r="17" spans="1:1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</row>
    <row r="18" spans="1:10" x14ac:dyDescent="0.3">
      <c r="A18" s="15"/>
      <c r="B18" s="15"/>
      <c r="C18" s="16"/>
      <c r="D18" s="16"/>
      <c r="E18" s="16"/>
      <c r="F18" s="16"/>
      <c r="G18" s="17"/>
    </row>
    <row r="19" spans="1:10" x14ac:dyDescent="0.3">
      <c r="A19" s="18" t="s">
        <v>3</v>
      </c>
      <c r="B19" s="19"/>
      <c r="C19" s="20">
        <f>C$17*$B$9</f>
        <v>66000000</v>
      </c>
      <c r="D19" s="20">
        <f t="shared" ref="D19:G19" si="0">D$17*$B$9</f>
        <v>72000000</v>
      </c>
      <c r="E19" s="20">
        <f t="shared" si="0"/>
        <v>76800000</v>
      </c>
      <c r="F19" s="20">
        <f t="shared" si="0"/>
        <v>76800000</v>
      </c>
      <c r="G19" s="20">
        <f t="shared" si="0"/>
        <v>76800000</v>
      </c>
      <c r="H19" s="14" t="s">
        <v>45</v>
      </c>
    </row>
    <row r="20" spans="1:10" x14ac:dyDescent="0.3">
      <c r="A20" s="18" t="s">
        <v>20</v>
      </c>
      <c r="C20" s="20">
        <f>C19*$B$10</f>
        <v>7920000</v>
      </c>
      <c r="D20" s="20">
        <f t="shared" ref="D20:G20" si="1">D19*$B$10</f>
        <v>8640000</v>
      </c>
      <c r="E20" s="20">
        <f t="shared" si="1"/>
        <v>9216000</v>
      </c>
      <c r="F20" s="20">
        <f t="shared" si="1"/>
        <v>9216000</v>
      </c>
      <c r="G20" s="20">
        <f t="shared" si="1"/>
        <v>9216000</v>
      </c>
      <c r="H20" s="14" t="s">
        <v>46</v>
      </c>
    </row>
    <row r="21" spans="1:10" x14ac:dyDescent="0.3">
      <c r="A21" s="18" t="s">
        <v>21</v>
      </c>
      <c r="B21" s="19"/>
      <c r="C21" s="20">
        <f>$B$11</f>
        <v>25000000</v>
      </c>
      <c r="D21" s="20">
        <f t="shared" ref="D21:G21" si="2">$B$11</f>
        <v>25000000</v>
      </c>
      <c r="E21" s="20">
        <f t="shared" si="2"/>
        <v>25000000</v>
      </c>
      <c r="F21" s="20">
        <f t="shared" si="2"/>
        <v>25000000</v>
      </c>
      <c r="G21" s="20">
        <f t="shared" si="2"/>
        <v>25000000</v>
      </c>
      <c r="H21" s="14" t="s">
        <v>47</v>
      </c>
    </row>
    <row r="22" spans="1:1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 t="shared" ref="D22:G22" si="3">$B$7/$B$3</f>
        <v>25000000</v>
      </c>
      <c r="E22" s="29">
        <f t="shared" si="3"/>
        <v>25000000</v>
      </c>
      <c r="F22" s="29">
        <f t="shared" si="3"/>
        <v>25000000</v>
      </c>
      <c r="G22" s="29">
        <f t="shared" si="3"/>
        <v>25000000</v>
      </c>
      <c r="H22" s="14" t="s">
        <v>48</v>
      </c>
    </row>
    <row r="23" spans="1:10" x14ac:dyDescent="0.3">
      <c r="A23" s="18" t="s">
        <v>5</v>
      </c>
      <c r="B23" s="23"/>
      <c r="C23" s="20">
        <f>C19-SUM(C20:C22)</f>
        <v>8080000</v>
      </c>
      <c r="D23" s="20">
        <f t="shared" ref="D23:G23" si="4">D19-SUM(D20:D22)</f>
        <v>13360000</v>
      </c>
      <c r="E23" s="20">
        <f t="shared" si="4"/>
        <v>17584000</v>
      </c>
      <c r="F23" s="20">
        <f t="shared" si="4"/>
        <v>17584000</v>
      </c>
      <c r="G23" s="20">
        <f t="shared" si="4"/>
        <v>17584000</v>
      </c>
      <c r="H23" s="14" t="s">
        <v>10</v>
      </c>
    </row>
    <row r="24" spans="1:10" x14ac:dyDescent="0.3">
      <c r="A24" s="18" t="s">
        <v>6</v>
      </c>
      <c r="B24" s="23"/>
      <c r="C24" s="20">
        <f>IF(C23&gt;0, C23*(1-$B$4),C23)</f>
        <v>5656000</v>
      </c>
      <c r="D24" s="20">
        <f t="shared" ref="D24:G24" si="5">IF(D23&gt;0, D23*(1-$B$4),D23)</f>
        <v>9352000</v>
      </c>
      <c r="E24" s="20">
        <f t="shared" si="5"/>
        <v>12308800</v>
      </c>
      <c r="F24" s="20">
        <f t="shared" si="5"/>
        <v>12308800</v>
      </c>
      <c r="G24" s="20">
        <f t="shared" si="5"/>
        <v>12308800</v>
      </c>
      <c r="H24" s="14" t="s">
        <v>11</v>
      </c>
    </row>
    <row r="25" spans="1:10" ht="15" thickBot="1" x14ac:dyDescent="0.35">
      <c r="A25" s="18"/>
      <c r="B25" s="18"/>
      <c r="C25" s="20"/>
      <c r="D25" s="20"/>
      <c r="E25" s="20"/>
      <c r="F25" s="20"/>
      <c r="G25" s="21"/>
    </row>
    <row r="26" spans="1:10" x14ac:dyDescent="0.3">
      <c r="A26" s="18" t="s">
        <v>7</v>
      </c>
      <c r="B26" s="22">
        <f>B24+B22</f>
        <v>-125000000</v>
      </c>
      <c r="C26" s="26">
        <f>C19-C20-C21</f>
        <v>33080000</v>
      </c>
      <c r="D26" s="26">
        <f t="shared" ref="D26:G26" si="6">D19-D20-D21</f>
        <v>38360000</v>
      </c>
      <c r="E26" s="26">
        <f t="shared" si="6"/>
        <v>42584000</v>
      </c>
      <c r="F26" s="26">
        <f t="shared" si="6"/>
        <v>42584000</v>
      </c>
      <c r="G26" s="26">
        <f t="shared" si="6"/>
        <v>42584000</v>
      </c>
      <c r="H26" s="39" t="s">
        <v>8</v>
      </c>
      <c r="I26" s="37">
        <f>IRR(B26:G26)</f>
        <v>0.17010699008430352</v>
      </c>
      <c r="J26" s="14"/>
    </row>
    <row r="27" spans="1:1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/>
      <c r="J27" s="14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2D442-9E1E-40BF-933C-DA7255D3DC93}">
  <sheetPr>
    <pageSetUpPr fitToPage="1"/>
  </sheetPr>
  <dimension ref="A1:J27"/>
  <sheetViews>
    <sheetView workbookViewId="0">
      <selection activeCell="B11" sqref="B11"/>
    </sheetView>
  </sheetViews>
  <sheetFormatPr defaultRowHeight="14.4" x14ac:dyDescent="0.3"/>
  <cols>
    <col min="1" max="1" width="27.6640625" customWidth="1"/>
    <col min="2" max="2" width="16.5546875" bestFit="1" customWidth="1"/>
    <col min="3" max="7" width="15.44140625" bestFit="1" customWidth="1"/>
    <col min="8" max="8" width="12.88671875" bestFit="1" customWidth="1"/>
    <col min="9" max="9" width="20.109375" customWidth="1"/>
    <col min="15" max="15" width="5" customWidth="1"/>
    <col min="18" max="18" width="11.33203125" bestFit="1" customWidth="1"/>
  </cols>
  <sheetData>
    <row r="1" spans="1:7" ht="21" x14ac:dyDescent="0.4">
      <c r="A1" s="3" t="s">
        <v>14</v>
      </c>
    </row>
    <row r="3" spans="1:7" x14ac:dyDescent="0.3">
      <c r="A3" t="s">
        <v>31</v>
      </c>
      <c r="B3" s="5">
        <v>5</v>
      </c>
    </row>
    <row r="4" spans="1:7" x14ac:dyDescent="0.3">
      <c r="A4" t="s">
        <v>0</v>
      </c>
      <c r="B4" s="6">
        <v>0.3</v>
      </c>
    </row>
    <row r="5" spans="1:7" x14ac:dyDescent="0.3">
      <c r="A5" t="s">
        <v>1</v>
      </c>
      <c r="B5" s="6">
        <v>0.1</v>
      </c>
    </row>
    <row r="7" spans="1:7" x14ac:dyDescent="0.3">
      <c r="A7" t="s">
        <v>19</v>
      </c>
      <c r="B7" s="8">
        <v>125000000</v>
      </c>
    </row>
    <row r="8" spans="1:7" x14ac:dyDescent="0.3">
      <c r="A8" t="s">
        <v>15</v>
      </c>
      <c r="B8" s="7">
        <v>64</v>
      </c>
    </row>
    <row r="9" spans="1:7" x14ac:dyDescent="0.3">
      <c r="A9" t="s">
        <v>16</v>
      </c>
      <c r="B9" s="8">
        <v>1200000</v>
      </c>
    </row>
    <row r="10" spans="1:7" x14ac:dyDescent="0.3">
      <c r="A10" t="s">
        <v>18</v>
      </c>
      <c r="B10" s="6">
        <v>0.12</v>
      </c>
    </row>
    <row r="11" spans="1:7" x14ac:dyDescent="0.3">
      <c r="A11" t="s">
        <v>17</v>
      </c>
      <c r="B11" s="8">
        <v>25000000</v>
      </c>
    </row>
    <row r="14" spans="1:7" x14ac:dyDescent="0.3">
      <c r="B14" s="9"/>
      <c r="C14" s="9"/>
    </row>
    <row r="15" spans="1:7" ht="18" x14ac:dyDescent="0.35">
      <c r="A15" s="4" t="s">
        <v>22</v>
      </c>
      <c r="B15" s="31" t="s">
        <v>2</v>
      </c>
      <c r="C15" s="32"/>
      <c r="D15" s="32"/>
      <c r="E15" s="32"/>
      <c r="F15" s="32"/>
      <c r="G15" s="33"/>
    </row>
    <row r="16" spans="1:7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</row>
    <row r="17" spans="1:1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</row>
    <row r="18" spans="1:10" x14ac:dyDescent="0.3">
      <c r="A18" s="15"/>
      <c r="B18" s="15"/>
      <c r="C18" s="16"/>
      <c r="D18" s="16"/>
      <c r="E18" s="16"/>
      <c r="F18" s="16"/>
      <c r="G18" s="17"/>
    </row>
    <row r="19" spans="1:10" x14ac:dyDescent="0.3">
      <c r="A19" s="18" t="s">
        <v>3</v>
      </c>
      <c r="B19" s="19"/>
      <c r="C19" s="20">
        <f>C17*$B$9</f>
        <v>66000000</v>
      </c>
      <c r="D19" s="20">
        <f t="shared" ref="D19:G19" si="0">D17*$B$9</f>
        <v>72000000</v>
      </c>
      <c r="E19" s="20">
        <f t="shared" si="0"/>
        <v>76800000</v>
      </c>
      <c r="F19" s="20">
        <f t="shared" si="0"/>
        <v>76800000</v>
      </c>
      <c r="G19" s="21">
        <f t="shared" si="0"/>
        <v>76800000</v>
      </c>
      <c r="H19" s="14" t="str">
        <f t="shared" ref="H19:H21" ca="1" si="1">_xlfn.FORMULATEXT(G19)</f>
        <v>=G17*$B$9</v>
      </c>
    </row>
    <row r="20" spans="1:10" x14ac:dyDescent="0.3">
      <c r="A20" s="18" t="s">
        <v>20</v>
      </c>
      <c r="B20" s="19"/>
      <c r="C20" s="20">
        <f>C19*$B$10</f>
        <v>7920000</v>
      </c>
      <c r="D20" s="20">
        <f t="shared" ref="D20:G20" si="2">D19*$B$10</f>
        <v>8640000</v>
      </c>
      <c r="E20" s="20">
        <f t="shared" si="2"/>
        <v>9216000</v>
      </c>
      <c r="F20" s="20">
        <f t="shared" si="2"/>
        <v>9216000</v>
      </c>
      <c r="G20" s="21">
        <f t="shared" si="2"/>
        <v>9216000</v>
      </c>
      <c r="H20" s="14" t="str">
        <f t="shared" ca="1" si="1"/>
        <v>=G19*$B$10</v>
      </c>
    </row>
    <row r="21" spans="1:10" x14ac:dyDescent="0.3">
      <c r="A21" s="18" t="s">
        <v>21</v>
      </c>
      <c r="B21" s="19"/>
      <c r="C21" s="20">
        <f>$B$11</f>
        <v>25000000</v>
      </c>
      <c r="D21" s="20">
        <f t="shared" ref="D21:G21" si="3">$B$11</f>
        <v>25000000</v>
      </c>
      <c r="E21" s="20">
        <f t="shared" si="3"/>
        <v>25000000</v>
      </c>
      <c r="F21" s="20">
        <f t="shared" si="3"/>
        <v>25000000</v>
      </c>
      <c r="G21" s="21">
        <f t="shared" si="3"/>
        <v>25000000</v>
      </c>
      <c r="H21" s="14" t="str">
        <f t="shared" ca="1" si="1"/>
        <v>=$B$11</v>
      </c>
    </row>
    <row r="22" spans="1:1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</row>
    <row r="23" spans="1:10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tr">
        <f ca="1">_xlfn.FORMULATEXT(G23)</f>
        <v>=G19-SUM(G20:G22)</v>
      </c>
    </row>
    <row r="24" spans="1:10" x14ac:dyDescent="0.3">
      <c r="A24" s="18" t="s">
        <v>6</v>
      </c>
      <c r="B24" s="23"/>
      <c r="C24" s="20">
        <f t="shared" ref="C24:G24" si="4">IF(C23&gt;0,C23*(1-$B$4),C23)</f>
        <v>5656000</v>
      </c>
      <c r="D24" s="20">
        <f t="shared" si="4"/>
        <v>9352000</v>
      </c>
      <c r="E24" s="20">
        <f t="shared" si="4"/>
        <v>12308800</v>
      </c>
      <c r="F24" s="20">
        <f t="shared" si="4"/>
        <v>12308800</v>
      </c>
      <c r="G24" s="21">
        <f t="shared" si="4"/>
        <v>12308800</v>
      </c>
      <c r="H24" s="14" t="str">
        <f ca="1">_xlfn.FORMULATEXT(G24)</f>
        <v>=IF(G23&gt;0,G23*(1-$B$4),G23)</v>
      </c>
    </row>
    <row r="25" spans="1:10" ht="15" thickBot="1" x14ac:dyDescent="0.35">
      <c r="A25" s="18"/>
      <c r="B25" s="18"/>
      <c r="C25" s="20"/>
      <c r="D25" s="20"/>
      <c r="E25" s="20"/>
      <c r="F25" s="20"/>
      <c r="G25" s="21"/>
    </row>
    <row r="26" spans="1:10" x14ac:dyDescent="0.3">
      <c r="A26" s="18" t="s">
        <v>7</v>
      </c>
      <c r="B26" s="22">
        <f t="shared" ref="B26:G26" si="5">B24+B22</f>
        <v>-125000000</v>
      </c>
      <c r="C26" s="20">
        <f t="shared" si="5"/>
        <v>30656000</v>
      </c>
      <c r="D26" s="20">
        <f t="shared" si="5"/>
        <v>34352000</v>
      </c>
      <c r="E26" s="20">
        <f t="shared" si="5"/>
        <v>37308800</v>
      </c>
      <c r="F26" s="20">
        <f t="shared" si="5"/>
        <v>37308800</v>
      </c>
      <c r="G26" s="20">
        <f t="shared" si="5"/>
        <v>37308800</v>
      </c>
      <c r="H26" s="39" t="s">
        <v>8</v>
      </c>
      <c r="I26" s="37">
        <f>IRR(B26:G26)</f>
        <v>0.12371290447340888</v>
      </c>
      <c r="J26" s="14" t="str">
        <f t="shared" ref="J26:J27" ca="1" si="6">_xlfn.FORMULATEXT(I26)</f>
        <v>=IRR(B26:G26)</v>
      </c>
    </row>
    <row r="27" spans="1:1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tr">
        <f t="shared" ca="1" si="6"/>
        <v>=B26+NPV(B5,C26:G26)</v>
      </c>
    </row>
  </sheetData>
  <pageMargins left="0.7" right="0.7" top="0.75" bottom="0.75" header="0.3" footer="0.3"/>
  <pageSetup scale="67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033A-6B23-4DE0-8C11-8AD900441914}">
  <dimension ref="A1:U43"/>
  <sheetViews>
    <sheetView topLeftCell="A13" zoomScale="80" zoomScaleNormal="80" workbookViewId="0">
      <selection activeCell="P24" sqref="P24"/>
    </sheetView>
  </sheetViews>
  <sheetFormatPr defaultRowHeight="14.4" x14ac:dyDescent="0.3"/>
  <cols>
    <col min="1" max="1" width="27.6640625" customWidth="1"/>
    <col min="2" max="2" width="20.6640625" customWidth="1"/>
    <col min="3" max="7" width="15.44140625" bestFit="1" customWidth="1"/>
    <col min="8" max="8" width="12.88671875" bestFit="1" customWidth="1"/>
    <col min="9" max="9" width="20.109375" customWidth="1"/>
    <col min="13" max="13" width="16.5546875" customWidth="1"/>
    <col min="14" max="14" width="14.109375" customWidth="1"/>
    <col min="15" max="15" width="22.5546875" customWidth="1"/>
    <col min="16" max="16" width="24.44140625" customWidth="1"/>
    <col min="17" max="17" width="13" customWidth="1"/>
    <col min="18" max="18" width="15.109375" customWidth="1"/>
    <col min="19" max="19" width="18.6640625" customWidth="1"/>
    <col min="20" max="20" width="30.88671875" customWidth="1"/>
    <col min="21" max="21" width="11.109375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ht="18" x14ac:dyDescent="0.35">
      <c r="A4" t="s">
        <v>0</v>
      </c>
      <c r="B4" s="6">
        <v>0.3</v>
      </c>
      <c r="M4" t="s">
        <v>30</v>
      </c>
      <c r="N4" s="6">
        <v>0.08</v>
      </c>
      <c r="P4" s="4" t="s">
        <v>67</v>
      </c>
    </row>
    <row r="5" spans="1:18" ht="18" x14ac:dyDescent="0.35">
      <c r="A5" t="s">
        <v>1</v>
      </c>
      <c r="B5" s="6">
        <v>0.1</v>
      </c>
      <c r="M5" t="s">
        <v>32</v>
      </c>
      <c r="N5" s="6">
        <v>0.2</v>
      </c>
      <c r="P5" s="4" t="s">
        <v>68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1200000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">
        <v>62</v>
      </c>
    </row>
    <row r="17" spans="1:21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PMT($N$4,$B$3,-$N$17)</f>
        <v>25045645.456683662</v>
      </c>
      <c r="P17" s="20">
        <f>IPMT($N$4, M17, $B$3, -$N$17)</f>
        <v>8000000</v>
      </c>
      <c r="Q17" s="20">
        <f>O17-P17</f>
        <v>17045645.456683662</v>
      </c>
      <c r="R17" t="s">
        <v>58</v>
      </c>
      <c r="S17" t="s">
        <v>59</v>
      </c>
      <c r="T17" t="s">
        <v>60</v>
      </c>
      <c r="U17" t="s">
        <v>61</v>
      </c>
    </row>
    <row r="18" spans="1:21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 t="shared" ref="O18:O22" si="0">PMT($N$4,$B$3,-$N$17)</f>
        <v>25045645.456683662</v>
      </c>
      <c r="P18" s="20">
        <f t="shared" ref="P18:P22" si="1">IPMT($N$4, M18, $B$3, -$N$17)</f>
        <v>6636348.3634653073</v>
      </c>
      <c r="Q18" s="20">
        <f t="shared" ref="Q18:Q22" si="2">O18-P18</f>
        <v>18409297.093218356</v>
      </c>
      <c r="R18" t="s">
        <v>56</v>
      </c>
      <c r="S18" t="s">
        <v>57</v>
      </c>
    </row>
    <row r="19" spans="1:21" x14ac:dyDescent="0.3">
      <c r="A19" s="18" t="s">
        <v>3</v>
      </c>
      <c r="B19" s="19"/>
      <c r="C19" s="20">
        <f>C17*$B$9</f>
        <v>66000000</v>
      </c>
      <c r="D19" s="20">
        <f t="shared" ref="D19:G19" si="3">D17*$B$9</f>
        <v>72000000</v>
      </c>
      <c r="E19" s="20">
        <f t="shared" si="3"/>
        <v>76800000</v>
      </c>
      <c r="F19" s="20">
        <f t="shared" si="3"/>
        <v>76800000</v>
      </c>
      <c r="G19" s="21">
        <f t="shared" si="3"/>
        <v>76800000</v>
      </c>
      <c r="H19" s="14" t="s">
        <v>45</v>
      </c>
      <c r="M19" s="2">
        <v>3</v>
      </c>
      <c r="N19" s="20">
        <f t="shared" ref="N19:N22" si="4">N18-Q18</f>
        <v>64545057.450097978</v>
      </c>
      <c r="O19" s="20">
        <f t="shared" si="0"/>
        <v>25045645.456683662</v>
      </c>
      <c r="P19" s="20">
        <f t="shared" si="1"/>
        <v>5163604.5960078388</v>
      </c>
      <c r="Q19" s="20">
        <f t="shared" si="2"/>
        <v>19882040.860675823</v>
      </c>
    </row>
    <row r="20" spans="1:21" x14ac:dyDescent="0.3">
      <c r="A20" s="18" t="s">
        <v>20</v>
      </c>
      <c r="B20" s="19"/>
      <c r="C20" s="20">
        <f>C19*$B$10</f>
        <v>7920000</v>
      </c>
      <c r="D20" s="20">
        <f t="shared" ref="D20:G20" si="5">D19*$B$10</f>
        <v>8640000</v>
      </c>
      <c r="E20" s="20">
        <f t="shared" si="5"/>
        <v>9216000</v>
      </c>
      <c r="F20" s="20">
        <f t="shared" si="5"/>
        <v>9216000</v>
      </c>
      <c r="G20" s="21">
        <f t="shared" si="5"/>
        <v>9216000</v>
      </c>
      <c r="H20" s="14" t="s">
        <v>46</v>
      </c>
      <c r="M20" s="2">
        <v>4</v>
      </c>
      <c r="N20" s="20">
        <f t="shared" si="4"/>
        <v>44663016.589422151</v>
      </c>
      <c r="O20" s="20">
        <f t="shared" si="0"/>
        <v>25045645.456683662</v>
      </c>
      <c r="P20" s="20">
        <f t="shared" si="1"/>
        <v>3573041.3271537735</v>
      </c>
      <c r="Q20" s="20">
        <f t="shared" si="2"/>
        <v>21472604.12952989</v>
      </c>
    </row>
    <row r="21" spans="1:21" x14ac:dyDescent="0.3">
      <c r="A21" s="18" t="s">
        <v>21</v>
      </c>
      <c r="B21" s="19"/>
      <c r="C21" s="20">
        <f>$B$11</f>
        <v>25000000</v>
      </c>
      <c r="D21" s="20">
        <f t="shared" ref="D21:G21" si="6">$B$11</f>
        <v>25000000</v>
      </c>
      <c r="E21" s="20">
        <f t="shared" si="6"/>
        <v>25000000</v>
      </c>
      <c r="F21" s="20">
        <f t="shared" si="6"/>
        <v>25000000</v>
      </c>
      <c r="G21" s="21">
        <f t="shared" si="6"/>
        <v>25000000</v>
      </c>
      <c r="H21" s="14" t="s">
        <v>47</v>
      </c>
      <c r="M21" s="2">
        <v>5</v>
      </c>
      <c r="N21" s="20">
        <f t="shared" si="4"/>
        <v>23190412.459892262</v>
      </c>
      <c r="O21" s="20">
        <f t="shared" si="0"/>
        <v>25045645.456683662</v>
      </c>
      <c r="P21" s="20">
        <f t="shared" si="1"/>
        <v>1855232.9967913821</v>
      </c>
      <c r="Q21" s="20">
        <f t="shared" si="2"/>
        <v>23190412.45989228</v>
      </c>
    </row>
    <row r="22" spans="1:21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">
        <v>48</v>
      </c>
      <c r="M22" s="2">
        <v>6</v>
      </c>
      <c r="N22" s="20">
        <f t="shared" si="4"/>
        <v>0</v>
      </c>
      <c r="O22" s="20"/>
      <c r="P22" s="20"/>
      <c r="Q22" s="20"/>
    </row>
    <row r="23" spans="1:21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">
        <v>10</v>
      </c>
    </row>
    <row r="24" spans="1:21" x14ac:dyDescent="0.3">
      <c r="A24" s="18" t="s">
        <v>6</v>
      </c>
      <c r="B24" s="23"/>
      <c r="C24" s="20">
        <f t="shared" ref="C24:G24" si="7">IF(C23&gt;0,C23*(1-$B$4),C23)</f>
        <v>5656000</v>
      </c>
      <c r="D24" s="20">
        <f t="shared" si="7"/>
        <v>9352000</v>
      </c>
      <c r="E24" s="20">
        <f t="shared" si="7"/>
        <v>12308800</v>
      </c>
      <c r="F24" s="20">
        <f t="shared" si="7"/>
        <v>12308800</v>
      </c>
      <c r="G24" s="21">
        <f t="shared" si="7"/>
        <v>12308800</v>
      </c>
      <c r="H24" s="14" t="s">
        <v>11</v>
      </c>
    </row>
    <row r="25" spans="1:21" ht="15" thickBot="1" x14ac:dyDescent="0.35">
      <c r="A25" s="18"/>
      <c r="B25" s="18"/>
      <c r="C25" s="20"/>
      <c r="D25" s="20"/>
      <c r="E25" s="20"/>
      <c r="F25" s="20"/>
      <c r="G25" s="21"/>
    </row>
    <row r="26" spans="1:21" x14ac:dyDescent="0.3">
      <c r="A26" s="18" t="s">
        <v>7</v>
      </c>
      <c r="B26" s="22">
        <f t="shared" ref="B26:G26" si="8">B24+B22</f>
        <v>-125000000</v>
      </c>
      <c r="C26" s="20">
        <f t="shared" si="8"/>
        <v>30656000</v>
      </c>
      <c r="D26" s="20">
        <f t="shared" si="8"/>
        <v>34352000</v>
      </c>
      <c r="E26" s="20">
        <f t="shared" si="8"/>
        <v>37308800</v>
      </c>
      <c r="F26" s="20">
        <f t="shared" si="8"/>
        <v>37308800</v>
      </c>
      <c r="G26" s="20">
        <f t="shared" si="8"/>
        <v>37308800</v>
      </c>
      <c r="H26" s="39" t="s">
        <v>8</v>
      </c>
      <c r="I26" s="37">
        <f>IRR(B26:G26)</f>
        <v>0.12371290447340888</v>
      </c>
      <c r="J26" s="14" t="s">
        <v>12</v>
      </c>
    </row>
    <row r="27" spans="1:21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">
        <v>13</v>
      </c>
    </row>
    <row r="30" spans="1:21" x14ac:dyDescent="0.3">
      <c r="B30" t="s">
        <v>35</v>
      </c>
      <c r="C30" s="5">
        <v>1</v>
      </c>
    </row>
    <row r="31" spans="1:21" ht="18" x14ac:dyDescent="0.35">
      <c r="A31" s="4" t="s">
        <v>33</v>
      </c>
      <c r="B31" s="31" t="s">
        <v>2</v>
      </c>
      <c r="C31" s="32"/>
      <c r="D31" s="32"/>
      <c r="E31" s="32"/>
      <c r="F31" s="32"/>
      <c r="G31" s="33"/>
    </row>
    <row r="32" spans="1:21" x14ac:dyDescent="0.3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</row>
    <row r="33" spans="1:10" x14ac:dyDescent="0.3">
      <c r="A33" s="10" t="s">
        <v>23</v>
      </c>
      <c r="B33" s="11"/>
      <c r="C33" s="12">
        <v>55</v>
      </c>
      <c r="D33" s="12">
        <v>60</v>
      </c>
      <c r="E33" s="12">
        <v>64</v>
      </c>
      <c r="F33" s="12">
        <v>64</v>
      </c>
      <c r="G33" s="13">
        <v>64</v>
      </c>
      <c r="H33" s="14"/>
    </row>
    <row r="34" spans="1:10" x14ac:dyDescent="0.3">
      <c r="A34" s="15"/>
      <c r="B34" s="15"/>
      <c r="C34" s="16"/>
      <c r="D34" s="16"/>
      <c r="E34" s="16"/>
      <c r="F34" s="16"/>
      <c r="G34" s="17"/>
    </row>
    <row r="35" spans="1:10" x14ac:dyDescent="0.3">
      <c r="A35" s="18" t="s">
        <v>3</v>
      </c>
      <c r="B35" s="19"/>
      <c r="C35" s="20">
        <f>C33*$B$9*$C$30</f>
        <v>66000000</v>
      </c>
      <c r="D35" s="20">
        <f t="shared" ref="D35:G35" si="9">D33*$B$9*$C$30</f>
        <v>72000000</v>
      </c>
      <c r="E35" s="20">
        <f t="shared" si="9"/>
        <v>76800000</v>
      </c>
      <c r="F35" s="20">
        <f t="shared" si="9"/>
        <v>76800000</v>
      </c>
      <c r="G35" s="21">
        <f t="shared" si="9"/>
        <v>76800000</v>
      </c>
      <c r="H35" s="14" t="s">
        <v>49</v>
      </c>
    </row>
    <row r="36" spans="1:10" x14ac:dyDescent="0.3">
      <c r="A36" s="18" t="s">
        <v>20</v>
      </c>
      <c r="B36" s="19"/>
      <c r="C36" s="20">
        <f>C35*$B$10</f>
        <v>7920000</v>
      </c>
      <c r="D36" s="20">
        <f t="shared" ref="D36:G36" si="10">D35*$B$10</f>
        <v>8640000</v>
      </c>
      <c r="E36" s="20">
        <f t="shared" si="10"/>
        <v>9216000</v>
      </c>
      <c r="F36" s="20">
        <f t="shared" si="10"/>
        <v>9216000</v>
      </c>
      <c r="G36" s="20">
        <f t="shared" si="10"/>
        <v>9216000</v>
      </c>
      <c r="H36" s="14" t="s">
        <v>50</v>
      </c>
    </row>
    <row r="37" spans="1:10" x14ac:dyDescent="0.3">
      <c r="A37" s="18" t="s">
        <v>21</v>
      </c>
      <c r="B37" s="19"/>
      <c r="C37" s="20">
        <f>$B$11</f>
        <v>25000000</v>
      </c>
      <c r="D37" s="20">
        <f t="shared" ref="D37:G37" si="11">$B$11</f>
        <v>25000000</v>
      </c>
      <c r="E37" s="20">
        <f t="shared" si="11"/>
        <v>25000000</v>
      </c>
      <c r="F37" s="20">
        <f t="shared" si="11"/>
        <v>25000000</v>
      </c>
      <c r="G37" s="21">
        <f t="shared" si="11"/>
        <v>25000000</v>
      </c>
      <c r="H37" s="14" t="s">
        <v>47</v>
      </c>
    </row>
    <row r="38" spans="1:10" x14ac:dyDescent="0.3">
      <c r="A38" s="27" t="s">
        <v>34</v>
      </c>
      <c r="B38" s="28">
        <f>-B7*N5*$C$30</f>
        <v>-25000000</v>
      </c>
      <c r="C38" s="58"/>
      <c r="D38" s="58"/>
      <c r="E38" s="58"/>
      <c r="F38" s="58"/>
      <c r="G38" s="59"/>
      <c r="H38" s="14" t="s">
        <v>51</v>
      </c>
    </row>
    <row r="39" spans="1:10" x14ac:dyDescent="0.3">
      <c r="A39" s="18" t="s">
        <v>5</v>
      </c>
      <c r="B39" s="23"/>
      <c r="C39" s="20">
        <f>C35-SUM(C36:C38)</f>
        <v>33080000</v>
      </c>
      <c r="D39" s="20">
        <f>D35-SUM(D36:D38)</f>
        <v>38360000</v>
      </c>
      <c r="E39" s="20">
        <f>E35-SUM(E36:E38)</f>
        <v>42584000</v>
      </c>
      <c r="F39" s="20">
        <f>F35-SUM(F36:F38)</f>
        <v>42584000</v>
      </c>
      <c r="G39" s="21">
        <f>G35-SUM(G36:G38)</f>
        <v>42584000</v>
      </c>
      <c r="H39" s="14" t="s">
        <v>52</v>
      </c>
    </row>
    <row r="40" spans="1:10" x14ac:dyDescent="0.3">
      <c r="A40" s="18" t="s">
        <v>6</v>
      </c>
      <c r="B40" s="23"/>
      <c r="C40" s="20">
        <f t="shared" ref="C40:G40" si="12">IF(C39&gt;0,C39*(1-$B$4),C39)</f>
        <v>23156000</v>
      </c>
      <c r="D40" s="20">
        <f t="shared" si="12"/>
        <v>26852000</v>
      </c>
      <c r="E40" s="20">
        <f t="shared" si="12"/>
        <v>29808799.999999996</v>
      </c>
      <c r="F40" s="20">
        <f t="shared" si="12"/>
        <v>29808799.999999996</v>
      </c>
      <c r="G40" s="21">
        <f t="shared" si="12"/>
        <v>29808799.999999996</v>
      </c>
      <c r="H40" s="14" t="s">
        <v>53</v>
      </c>
    </row>
    <row r="41" spans="1:10" ht="15" thickBot="1" x14ac:dyDescent="0.35">
      <c r="A41" s="18"/>
      <c r="B41" s="18"/>
      <c r="C41" s="20"/>
      <c r="D41" s="20"/>
      <c r="E41" s="20"/>
      <c r="F41" s="20"/>
      <c r="G41" s="21"/>
    </row>
    <row r="42" spans="1:10" x14ac:dyDescent="0.3">
      <c r="A42" s="18" t="s">
        <v>7</v>
      </c>
      <c r="B42" s="22">
        <f>B40+B38</f>
        <v>-25000000</v>
      </c>
      <c r="C42" s="57"/>
      <c r="D42" s="57"/>
      <c r="E42" s="57"/>
      <c r="F42" s="57"/>
      <c r="G42" s="57"/>
      <c r="H42" s="39" t="s">
        <v>8</v>
      </c>
      <c r="I42" s="37" t="e">
        <f>IRR(B42:G42)</f>
        <v>#NUM!</v>
      </c>
      <c r="J42" s="14" t="s">
        <v>54</v>
      </c>
    </row>
    <row r="43" spans="1:10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-25000000</v>
      </c>
      <c r="J43" s="14" t="s">
        <v>55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850F1-D917-4965-BD2F-5BACB447DAF4}">
  <sheetPr>
    <pageSetUpPr fitToPage="1"/>
  </sheetPr>
  <dimension ref="A1:U43"/>
  <sheetViews>
    <sheetView zoomScale="80" zoomScaleNormal="80" workbookViewId="0">
      <selection activeCell="I49" sqref="I49"/>
    </sheetView>
  </sheetViews>
  <sheetFormatPr defaultRowHeight="14.4" x14ac:dyDescent="0.3"/>
  <cols>
    <col min="1" max="1" width="27.6640625" customWidth="1"/>
    <col min="2" max="2" width="20.6640625" customWidth="1"/>
    <col min="3" max="7" width="15.44140625" bestFit="1" customWidth="1"/>
    <col min="8" max="8" width="12.88671875" bestFit="1" customWidth="1"/>
    <col min="9" max="9" width="20.109375" customWidth="1"/>
    <col min="13" max="13" width="16.5546875" customWidth="1"/>
    <col min="14" max="14" width="14.109375" customWidth="1"/>
    <col min="15" max="15" width="16" customWidth="1"/>
    <col min="16" max="16" width="14.6640625" customWidth="1"/>
    <col min="17" max="17" width="13" customWidth="1"/>
    <col min="18" max="18" width="12.44140625" customWidth="1"/>
    <col min="19" max="19" width="19.33203125" customWidth="1"/>
    <col min="20" max="20" width="29.109375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x14ac:dyDescent="0.3">
      <c r="A4" t="s">
        <v>0</v>
      </c>
      <c r="B4" s="6">
        <v>0.3</v>
      </c>
      <c r="M4" t="s">
        <v>30</v>
      </c>
      <c r="N4" s="6">
        <v>0.08</v>
      </c>
    </row>
    <row r="5" spans="1:18" x14ac:dyDescent="0.3">
      <c r="A5" t="s">
        <v>1</v>
      </c>
      <c r="B5" s="6">
        <v>0.1</v>
      </c>
      <c r="M5" t="s">
        <v>32</v>
      </c>
      <c r="N5" s="6">
        <v>0.2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1200000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tr">
        <f ca="1">_xlfn.FORMULATEXT(N16)</f>
        <v>=B7-(B7*N5)</v>
      </c>
    </row>
    <row r="17" spans="1:21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PMT(N4,B3,-N17)</f>
        <v>25045645.456683662</v>
      </c>
      <c r="P17" s="20">
        <f>IPMT($N$4,M17,$B$3,-$N$17)</f>
        <v>8000000</v>
      </c>
      <c r="Q17" s="20">
        <f>O17-P17</f>
        <v>17045645.456683662</v>
      </c>
      <c r="R17" t="str">
        <f ca="1">_xlfn.FORMULATEXT(N17)</f>
        <v>=N16</v>
      </c>
      <c r="S17" t="str">
        <f t="shared" ref="S17:U17" ca="1" si="0">_xlfn.FORMULATEXT(O17)</f>
        <v>=PMT(N4,B3,-N17)</v>
      </c>
      <c r="T17" t="str">
        <f t="shared" ca="1" si="0"/>
        <v>=IPMT($N$4,M17,$B$3,-$N$17)</v>
      </c>
      <c r="U17" t="str">
        <f t="shared" ca="1" si="0"/>
        <v>=O17-P17</v>
      </c>
    </row>
    <row r="18" spans="1:21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>$O$17</f>
        <v>25045645.456683662</v>
      </c>
      <c r="P18" s="20">
        <f>IPMT($N$4,M18,$B$3,-$N$17)</f>
        <v>6636348.3634653073</v>
      </c>
      <c r="Q18" s="20">
        <f t="shared" ref="Q18:Q21" si="1">O18-P18</f>
        <v>18409297.093218356</v>
      </c>
      <c r="R18" t="str">
        <f ca="1">_xlfn.FORMULATEXT(N18)</f>
        <v>=N17-Q17</v>
      </c>
      <c r="S18" t="str">
        <f t="shared" ref="S18" ca="1" si="2">_xlfn.FORMULATEXT(O18)</f>
        <v>=$O$17</v>
      </c>
    </row>
    <row r="19" spans="1:21" x14ac:dyDescent="0.3">
      <c r="A19" s="18" t="s">
        <v>3</v>
      </c>
      <c r="B19" s="19"/>
      <c r="C19" s="20">
        <f>C17*$B$9</f>
        <v>66000000</v>
      </c>
      <c r="D19" s="20">
        <f t="shared" ref="D19:G19" si="3">D17*$B$9</f>
        <v>72000000</v>
      </c>
      <c r="E19" s="20">
        <f t="shared" si="3"/>
        <v>76800000</v>
      </c>
      <c r="F19" s="20">
        <f t="shared" si="3"/>
        <v>76800000</v>
      </c>
      <c r="G19" s="21">
        <f t="shared" si="3"/>
        <v>76800000</v>
      </c>
      <c r="H19" s="14" t="str">
        <f t="shared" ref="H19:H21" ca="1" si="4">_xlfn.FORMULATEXT(G19)</f>
        <v>=G17*$B$9</v>
      </c>
      <c r="M19" s="2">
        <v>3</v>
      </c>
      <c r="N19" s="20">
        <f>N18-Q18</f>
        <v>64545057.450097978</v>
      </c>
      <c r="O19" s="20">
        <f>$O$17</f>
        <v>25045645.456683662</v>
      </c>
      <c r="P19" s="20">
        <f>IPMT($N$4,M19,$B$3,-$N$17)</f>
        <v>5163604.5960078388</v>
      </c>
      <c r="Q19" s="20">
        <f t="shared" si="1"/>
        <v>19882040.860675823</v>
      </c>
    </row>
    <row r="20" spans="1:21" x14ac:dyDescent="0.3">
      <c r="A20" s="18" t="s">
        <v>20</v>
      </c>
      <c r="B20" s="19"/>
      <c r="C20" s="20">
        <f>C19*$B$10</f>
        <v>7920000</v>
      </c>
      <c r="D20" s="20">
        <f t="shared" ref="D20:G20" si="5">D19*$B$10</f>
        <v>8640000</v>
      </c>
      <c r="E20" s="20">
        <f t="shared" si="5"/>
        <v>9216000</v>
      </c>
      <c r="F20" s="20">
        <f t="shared" si="5"/>
        <v>9216000</v>
      </c>
      <c r="G20" s="21">
        <f t="shared" si="5"/>
        <v>9216000</v>
      </c>
      <c r="H20" s="14" t="str">
        <f t="shared" ca="1" si="4"/>
        <v>=G19*$B$10</v>
      </c>
      <c r="M20" s="2">
        <v>4</v>
      </c>
      <c r="N20" s="20">
        <f>N19-Q19</f>
        <v>44663016.589422151</v>
      </c>
      <c r="O20" s="20">
        <f>$O$17</f>
        <v>25045645.456683662</v>
      </c>
      <c r="P20" s="20">
        <f>IPMT($N$4,M20,$B$3,-$N$17)</f>
        <v>3573041.3271537735</v>
      </c>
      <c r="Q20" s="20">
        <f t="shared" si="1"/>
        <v>21472604.12952989</v>
      </c>
    </row>
    <row r="21" spans="1:21" x14ac:dyDescent="0.3">
      <c r="A21" s="18" t="s">
        <v>21</v>
      </c>
      <c r="B21" s="19"/>
      <c r="C21" s="20">
        <f>$B$11</f>
        <v>25000000</v>
      </c>
      <c r="D21" s="20">
        <f t="shared" ref="D21:G21" si="6">$B$11</f>
        <v>25000000</v>
      </c>
      <c r="E21" s="20">
        <f t="shared" si="6"/>
        <v>25000000</v>
      </c>
      <c r="F21" s="20">
        <f t="shared" si="6"/>
        <v>25000000</v>
      </c>
      <c r="G21" s="21">
        <f t="shared" si="6"/>
        <v>25000000</v>
      </c>
      <c r="H21" s="14" t="str">
        <f t="shared" ca="1" si="4"/>
        <v>=$B$11</v>
      </c>
      <c r="M21" s="2">
        <v>5</v>
      </c>
      <c r="N21" s="20">
        <f>N20-Q20</f>
        <v>23190412.459892262</v>
      </c>
      <c r="O21" s="20">
        <f>$O$17</f>
        <v>25045645.456683662</v>
      </c>
      <c r="P21" s="20">
        <f>IPMT($N$4,M21,$B$3,-$N$17)</f>
        <v>1855232.9967913821</v>
      </c>
      <c r="Q21" s="20">
        <f t="shared" si="1"/>
        <v>23190412.45989228</v>
      </c>
    </row>
    <row r="22" spans="1:21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  <c r="M22" s="2">
        <v>6</v>
      </c>
      <c r="N22" s="20">
        <f>N21-Q21</f>
        <v>0</v>
      </c>
      <c r="P22" s="45"/>
    </row>
    <row r="23" spans="1:21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tr">
        <f ca="1">_xlfn.FORMULATEXT(G23)</f>
        <v>=G19-SUM(G20:G22)</v>
      </c>
    </row>
    <row r="24" spans="1:21" x14ac:dyDescent="0.3">
      <c r="A24" s="18" t="s">
        <v>6</v>
      </c>
      <c r="B24" s="23"/>
      <c r="C24" s="20">
        <f t="shared" ref="C24:G24" si="7">IF(C23&gt;0,C23*(1-$B$4),C23)</f>
        <v>5656000</v>
      </c>
      <c r="D24" s="20">
        <f t="shared" si="7"/>
        <v>9352000</v>
      </c>
      <c r="E24" s="20">
        <f t="shared" si="7"/>
        <v>12308800</v>
      </c>
      <c r="F24" s="20">
        <f t="shared" si="7"/>
        <v>12308800</v>
      </c>
      <c r="G24" s="21">
        <f t="shared" si="7"/>
        <v>12308800</v>
      </c>
      <c r="H24" s="14" t="str">
        <f ca="1">_xlfn.FORMULATEXT(G24)</f>
        <v>=IF(G23&gt;0,G23*(1-$B$4),G23)</v>
      </c>
    </row>
    <row r="25" spans="1:21" ht="15" thickBot="1" x14ac:dyDescent="0.35">
      <c r="A25" s="18"/>
      <c r="B25" s="18"/>
      <c r="C25" s="20"/>
      <c r="D25" s="20"/>
      <c r="E25" s="20"/>
      <c r="F25" s="20"/>
      <c r="G25" s="21"/>
    </row>
    <row r="26" spans="1:21" x14ac:dyDescent="0.3">
      <c r="A26" s="18" t="s">
        <v>7</v>
      </c>
      <c r="B26" s="22">
        <f t="shared" ref="B26:G26" si="8">B24+B22</f>
        <v>-125000000</v>
      </c>
      <c r="C26" s="20">
        <f t="shared" si="8"/>
        <v>30656000</v>
      </c>
      <c r="D26" s="20">
        <f t="shared" si="8"/>
        <v>34352000</v>
      </c>
      <c r="E26" s="20">
        <f t="shared" si="8"/>
        <v>37308800</v>
      </c>
      <c r="F26" s="20">
        <f t="shared" si="8"/>
        <v>37308800</v>
      </c>
      <c r="G26" s="20">
        <f t="shared" si="8"/>
        <v>37308800</v>
      </c>
      <c r="H26" s="39" t="s">
        <v>8</v>
      </c>
      <c r="I26" s="37">
        <f>IRR(B26:G26)</f>
        <v>0.12371290447340888</v>
      </c>
      <c r="J26" s="14" t="str">
        <f t="shared" ref="J26:J27" ca="1" si="9">_xlfn.FORMULATEXT(I26)</f>
        <v>=IRR(B26:G26)</v>
      </c>
    </row>
    <row r="27" spans="1:21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tr">
        <f t="shared" ca="1" si="9"/>
        <v>=B26+NPV(B5,C26:G26)</v>
      </c>
    </row>
    <row r="30" spans="1:21" x14ac:dyDescent="0.3">
      <c r="B30" t="s">
        <v>35</v>
      </c>
      <c r="C30" s="5">
        <v>1</v>
      </c>
    </row>
    <row r="31" spans="1:21" ht="18" x14ac:dyDescent="0.35">
      <c r="A31" s="4" t="s">
        <v>33</v>
      </c>
      <c r="B31" s="31" t="s">
        <v>2</v>
      </c>
      <c r="C31" s="32"/>
      <c r="D31" s="32"/>
      <c r="E31" s="32"/>
      <c r="F31" s="32"/>
      <c r="G31" s="33"/>
    </row>
    <row r="32" spans="1:21" x14ac:dyDescent="0.3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</row>
    <row r="33" spans="1:10" x14ac:dyDescent="0.3">
      <c r="A33" s="10" t="s">
        <v>23</v>
      </c>
      <c r="B33" s="11"/>
      <c r="C33" s="12">
        <v>55</v>
      </c>
      <c r="D33" s="12">
        <v>60</v>
      </c>
      <c r="E33" s="12">
        <v>64</v>
      </c>
      <c r="F33" s="12">
        <v>64</v>
      </c>
      <c r="G33" s="13">
        <v>64</v>
      </c>
      <c r="H33" s="14"/>
    </row>
    <row r="34" spans="1:10" x14ac:dyDescent="0.3">
      <c r="A34" s="15"/>
      <c r="B34" s="15"/>
      <c r="C34" s="16"/>
      <c r="D34" s="16"/>
      <c r="E34" s="16"/>
      <c r="F34" s="16"/>
      <c r="G34" s="17"/>
    </row>
    <row r="35" spans="1:10" x14ac:dyDescent="0.3">
      <c r="A35" s="18" t="s">
        <v>3</v>
      </c>
      <c r="B35" s="19"/>
      <c r="C35" s="20">
        <f>C33*$B$9*$C$30</f>
        <v>66000000</v>
      </c>
      <c r="D35" s="20">
        <f t="shared" ref="D35:G35" si="10">D33*$B$9*$C$30</f>
        <v>72000000</v>
      </c>
      <c r="E35" s="20">
        <f t="shared" si="10"/>
        <v>76800000</v>
      </c>
      <c r="F35" s="20">
        <f t="shared" si="10"/>
        <v>76800000</v>
      </c>
      <c r="G35" s="21">
        <f t="shared" si="10"/>
        <v>76800000</v>
      </c>
      <c r="H35" s="14" t="str">
        <f t="shared" ref="H35:H37" ca="1" si="11">_xlfn.FORMULATEXT(G35)</f>
        <v>=G33*$B$9*$C$30</v>
      </c>
    </row>
    <row r="36" spans="1:10" x14ac:dyDescent="0.3">
      <c r="A36" s="18" t="s">
        <v>20</v>
      </c>
      <c r="B36" s="19"/>
      <c r="C36" s="20">
        <f>C35*$B$10</f>
        <v>7920000</v>
      </c>
      <c r="D36" s="20">
        <f t="shared" ref="D36:G36" si="12">D35*$B$10</f>
        <v>8640000</v>
      </c>
      <c r="E36" s="20">
        <f t="shared" si="12"/>
        <v>9216000</v>
      </c>
      <c r="F36" s="20">
        <f t="shared" si="12"/>
        <v>9216000</v>
      </c>
      <c r="G36" s="20">
        <f t="shared" si="12"/>
        <v>9216000</v>
      </c>
      <c r="H36" s="14" t="str">
        <f t="shared" ca="1" si="11"/>
        <v>=G35*$B$10</v>
      </c>
    </row>
    <row r="37" spans="1:10" x14ac:dyDescent="0.3">
      <c r="A37" s="18" t="s">
        <v>21</v>
      </c>
      <c r="B37" s="19"/>
      <c r="C37" s="20">
        <f>$B$11</f>
        <v>25000000</v>
      </c>
      <c r="D37" s="20">
        <f t="shared" ref="D37:G37" si="13">$B$11</f>
        <v>25000000</v>
      </c>
      <c r="E37" s="20">
        <f t="shared" si="13"/>
        <v>25000000</v>
      </c>
      <c r="F37" s="20">
        <f t="shared" si="13"/>
        <v>25000000</v>
      </c>
      <c r="G37" s="21">
        <f t="shared" si="13"/>
        <v>25000000</v>
      </c>
      <c r="H37" s="14" t="str">
        <f t="shared" ca="1" si="11"/>
        <v>=$B$11</v>
      </c>
    </row>
    <row r="38" spans="1:10" x14ac:dyDescent="0.3">
      <c r="A38" s="27" t="s">
        <v>34</v>
      </c>
      <c r="B38" s="28">
        <f>-B7*N5*$C$30</f>
        <v>-25000000</v>
      </c>
      <c r="C38" s="58">
        <f>$O$17*$C$30</f>
        <v>25045645.456683662</v>
      </c>
      <c r="D38" s="58">
        <f t="shared" ref="D38:G38" si="14">$O$17*$C$30</f>
        <v>25045645.456683662</v>
      </c>
      <c r="E38" s="58">
        <f t="shared" si="14"/>
        <v>25045645.456683662</v>
      </c>
      <c r="F38" s="58">
        <f t="shared" si="14"/>
        <v>25045645.456683662</v>
      </c>
      <c r="G38" s="59">
        <f t="shared" si="14"/>
        <v>25045645.456683662</v>
      </c>
      <c r="H38" s="14" t="str">
        <f ca="1">_xlfn.FORMULATEXT(G38)</f>
        <v>=$O$17*$C$30</v>
      </c>
    </row>
    <row r="39" spans="1:10" x14ac:dyDescent="0.3">
      <c r="A39" s="18" t="s">
        <v>5</v>
      </c>
      <c r="B39" s="23"/>
      <c r="C39" s="20">
        <f>C35-SUM(C36:C38)</f>
        <v>8034354.5433163345</v>
      </c>
      <c r="D39" s="20">
        <f>D35-SUM(D36:D38)</f>
        <v>13314354.543316334</v>
      </c>
      <c r="E39" s="20">
        <f>E35-SUM(E36:E38)</f>
        <v>17538354.543316334</v>
      </c>
      <c r="F39" s="20">
        <f>F35-SUM(F36:F38)</f>
        <v>17538354.543316334</v>
      </c>
      <c r="G39" s="21">
        <f>G35-SUM(G36:G38)</f>
        <v>17538354.543316334</v>
      </c>
      <c r="H39" s="14" t="str">
        <f ca="1">_xlfn.FORMULATEXT(G39)</f>
        <v>=G35-SUM(G36:G38)</v>
      </c>
    </row>
    <row r="40" spans="1:10" x14ac:dyDescent="0.3">
      <c r="A40" s="18" t="s">
        <v>6</v>
      </c>
      <c r="B40" s="23"/>
      <c r="C40" s="20">
        <f t="shared" ref="C40:G40" si="15">IF(C39&gt;0,C39*(1-$B$4),C39)</f>
        <v>5624048.1803214336</v>
      </c>
      <c r="D40" s="20">
        <f t="shared" si="15"/>
        <v>9320048.1803214327</v>
      </c>
      <c r="E40" s="20">
        <f t="shared" si="15"/>
        <v>12276848.180321433</v>
      </c>
      <c r="F40" s="20">
        <f t="shared" si="15"/>
        <v>12276848.180321433</v>
      </c>
      <c r="G40" s="21">
        <f t="shared" si="15"/>
        <v>12276848.180321433</v>
      </c>
      <c r="H40" s="14" t="str">
        <f ca="1">_xlfn.FORMULATEXT(G40)</f>
        <v>=IF(G39&gt;0,G39*(1-$B$4),G39)</v>
      </c>
    </row>
    <row r="41" spans="1:10" ht="15" thickBot="1" x14ac:dyDescent="0.35">
      <c r="A41" s="18"/>
      <c r="B41" s="18"/>
      <c r="C41" s="20"/>
      <c r="D41" s="20"/>
      <c r="E41" s="20"/>
      <c r="F41" s="20"/>
      <c r="G41" s="21"/>
    </row>
    <row r="42" spans="1:10" x14ac:dyDescent="0.3">
      <c r="A42" s="18" t="s">
        <v>7</v>
      </c>
      <c r="B42" s="22">
        <f>B40+B38</f>
        <v>-25000000</v>
      </c>
      <c r="C42" s="57">
        <f>C40</f>
        <v>5624048.1803214336</v>
      </c>
      <c r="D42" s="57">
        <f t="shared" ref="D42:G42" si="16">D40</f>
        <v>9320048.1803214327</v>
      </c>
      <c r="E42" s="57">
        <f t="shared" si="16"/>
        <v>12276848.180321433</v>
      </c>
      <c r="F42" s="57">
        <f t="shared" si="16"/>
        <v>12276848.180321433</v>
      </c>
      <c r="G42" s="57">
        <f t="shared" si="16"/>
        <v>12276848.180321433</v>
      </c>
      <c r="H42" s="39" t="s">
        <v>8</v>
      </c>
      <c r="I42" s="37">
        <f>IRR(B42:G42)</f>
        <v>0.26359093826368385</v>
      </c>
      <c r="J42" s="14" t="str">
        <f t="shared" ref="J42:J43" ca="1" si="17">_xlfn.FORMULATEXT(I42)</f>
        <v>=IRR(B42:G42)</v>
      </c>
    </row>
    <row r="43" spans="1:10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26774640.901607163</v>
      </c>
      <c r="J43" s="14" t="str">
        <f t="shared" ca="1" si="17"/>
        <v>=B42+NPV(B21,C42:G42)</v>
      </c>
    </row>
  </sheetData>
  <pageMargins left="0.7" right="0.7" top="0.75" bottom="0.75" header="0.3" footer="0.3"/>
  <pageSetup scale="37" orientation="landscape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4B13-8375-42F8-B0E0-0D46786A13D1}">
  <dimension ref="A1:T61"/>
  <sheetViews>
    <sheetView topLeftCell="A27" zoomScale="70" zoomScaleNormal="70" workbookViewId="0">
      <selection activeCell="B48" sqref="B48"/>
    </sheetView>
  </sheetViews>
  <sheetFormatPr defaultRowHeight="14.4" x14ac:dyDescent="0.3"/>
  <cols>
    <col min="1" max="1" width="27.6640625" customWidth="1"/>
    <col min="2" max="2" width="20.6640625" customWidth="1"/>
    <col min="3" max="7" width="15.44140625" bestFit="1" customWidth="1"/>
    <col min="8" max="8" width="12.88671875" bestFit="1" customWidth="1"/>
    <col min="9" max="9" width="20.109375" customWidth="1"/>
    <col min="13" max="13" width="16.5546875" customWidth="1"/>
    <col min="14" max="14" width="17.88671875" customWidth="1"/>
    <col min="15" max="15" width="16" customWidth="1"/>
    <col min="16" max="16" width="14.6640625" customWidth="1"/>
    <col min="17" max="17" width="16" customWidth="1"/>
    <col min="18" max="18" width="12.5546875" bestFit="1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x14ac:dyDescent="0.3">
      <c r="A4" t="s">
        <v>0</v>
      </c>
      <c r="B4" s="6">
        <v>0.3</v>
      </c>
      <c r="M4" t="s">
        <v>30</v>
      </c>
      <c r="N4" s="6">
        <v>0.08</v>
      </c>
    </row>
    <row r="5" spans="1:18" x14ac:dyDescent="0.3">
      <c r="A5" t="s">
        <v>1</v>
      </c>
      <c r="B5" s="6">
        <v>0.1</v>
      </c>
      <c r="M5" t="s">
        <v>32</v>
      </c>
      <c r="N5" s="6">
        <v>0.2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1200000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tr">
        <f ca="1">_xlfn.FORMULATEXT(N16)</f>
        <v>=B7-(B7*N5)</v>
      </c>
    </row>
    <row r="17" spans="1:2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PMT(N4,B3,-N17)</f>
        <v>25045645.456683662</v>
      </c>
      <c r="P17" s="20">
        <f>IPMT($N$4,M17,$B$3,-$N$17)</f>
        <v>8000000</v>
      </c>
      <c r="Q17" s="20">
        <f>O17-P17</f>
        <v>17045645.456683662</v>
      </c>
      <c r="R17" t="str">
        <f ca="1">_xlfn.FORMULATEXT(N17)</f>
        <v>=N16</v>
      </c>
      <c r="S17" t="str">
        <f t="shared" ref="S17:T18" ca="1" si="0">_xlfn.FORMULATEXT(O17)</f>
        <v>=PMT(N4,B3,-N17)</v>
      </c>
      <c r="T17" t="str">
        <f t="shared" ca="1" si="0"/>
        <v>=IPMT($N$4,M17,$B$3,-$N$17)</v>
      </c>
    </row>
    <row r="18" spans="1:20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>$O$17</f>
        <v>25045645.456683662</v>
      </c>
      <c r="P18" s="20">
        <f>IPMT($N$4,M18,$B$3,-$N$17)</f>
        <v>6636348.3634653073</v>
      </c>
      <c r="Q18" s="20">
        <f t="shared" ref="Q18:Q21" si="1">O18-P18</f>
        <v>18409297.093218356</v>
      </c>
      <c r="R18" t="str">
        <f ca="1">_xlfn.FORMULATEXT(N18)</f>
        <v>=N17-Q17</v>
      </c>
      <c r="S18" t="str">
        <f t="shared" ca="1" si="0"/>
        <v>=$O$17</v>
      </c>
    </row>
    <row r="19" spans="1:20" x14ac:dyDescent="0.3">
      <c r="A19" s="18" t="s">
        <v>3</v>
      </c>
      <c r="B19" s="19"/>
      <c r="C19" s="20">
        <f>C17*$B$9</f>
        <v>66000000</v>
      </c>
      <c r="D19" s="20">
        <f t="shared" ref="D19:G19" si="2">D17*$B$9</f>
        <v>72000000</v>
      </c>
      <c r="E19" s="20">
        <f t="shared" si="2"/>
        <v>76800000</v>
      </c>
      <c r="F19" s="20">
        <f t="shared" si="2"/>
        <v>76800000</v>
      </c>
      <c r="G19" s="21">
        <f t="shared" si="2"/>
        <v>76800000</v>
      </c>
      <c r="H19" s="14" t="str">
        <f t="shared" ref="H19:H21" ca="1" si="3">_xlfn.FORMULATEXT(G19)</f>
        <v>=G17*$B$9</v>
      </c>
      <c r="M19" s="2">
        <v>3</v>
      </c>
      <c r="N19" s="20">
        <f>N18-Q18</f>
        <v>64545057.450097978</v>
      </c>
      <c r="O19" s="20">
        <f>$O$17</f>
        <v>25045645.456683662</v>
      </c>
      <c r="P19" s="20">
        <f>IPMT($N$4,M19,$B$3,-$N$17)</f>
        <v>5163604.5960078388</v>
      </c>
      <c r="Q19" s="20">
        <f t="shared" si="1"/>
        <v>19882040.860675823</v>
      </c>
    </row>
    <row r="20" spans="1:20" x14ac:dyDescent="0.3">
      <c r="A20" s="18" t="s">
        <v>20</v>
      </c>
      <c r="B20" s="19"/>
      <c r="C20" s="20">
        <f>C19*$B$10</f>
        <v>7920000</v>
      </c>
      <c r="D20" s="20">
        <f t="shared" ref="D20:G20" si="4">D19*$B$10</f>
        <v>8640000</v>
      </c>
      <c r="E20" s="20">
        <f t="shared" si="4"/>
        <v>9216000</v>
      </c>
      <c r="F20" s="20">
        <f t="shared" si="4"/>
        <v>9216000</v>
      </c>
      <c r="G20" s="21">
        <f t="shared" si="4"/>
        <v>9216000</v>
      </c>
      <c r="H20" s="14" t="str">
        <f t="shared" ca="1" si="3"/>
        <v>=G19*$B$10</v>
      </c>
      <c r="M20" s="2">
        <v>4</v>
      </c>
      <c r="N20" s="20">
        <f>N19-Q19</f>
        <v>44663016.589422151</v>
      </c>
      <c r="O20" s="20">
        <f>$O$17</f>
        <v>25045645.456683662</v>
      </c>
      <c r="P20" s="20">
        <f>IPMT($N$4,M20,$B$3,-$N$17)</f>
        <v>3573041.3271537735</v>
      </c>
      <c r="Q20" s="20">
        <f t="shared" si="1"/>
        <v>21472604.12952989</v>
      </c>
    </row>
    <row r="21" spans="1:20" x14ac:dyDescent="0.3">
      <c r="A21" s="18" t="s">
        <v>21</v>
      </c>
      <c r="B21" s="19"/>
      <c r="C21" s="20">
        <f>$B$11</f>
        <v>25000000</v>
      </c>
      <c r="D21" s="20">
        <f t="shared" ref="D21:G21" si="5">$B$11</f>
        <v>25000000</v>
      </c>
      <c r="E21" s="20">
        <f t="shared" si="5"/>
        <v>25000000</v>
      </c>
      <c r="F21" s="20">
        <f t="shared" si="5"/>
        <v>25000000</v>
      </c>
      <c r="G21" s="21">
        <f t="shared" si="5"/>
        <v>25000000</v>
      </c>
      <c r="H21" s="14" t="str">
        <f t="shared" ca="1" si="3"/>
        <v>=$B$11</v>
      </c>
      <c r="M21" s="2">
        <v>5</v>
      </c>
      <c r="N21" s="20">
        <f>N20-Q20</f>
        <v>23190412.459892262</v>
      </c>
      <c r="O21" s="20">
        <f>$O$17</f>
        <v>25045645.456683662</v>
      </c>
      <c r="P21" s="20">
        <f>IPMT($N$4,M21,$B$3,-$N$17)</f>
        <v>1855232.9967913821</v>
      </c>
      <c r="Q21" s="20">
        <f t="shared" si="1"/>
        <v>23190412.45989228</v>
      </c>
    </row>
    <row r="22" spans="1:2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  <c r="M22" s="2">
        <v>6</v>
      </c>
      <c r="N22" s="20">
        <f>N21-Q21</f>
        <v>0</v>
      </c>
      <c r="P22" s="45"/>
    </row>
    <row r="23" spans="1:20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tr">
        <f ca="1">_xlfn.FORMULATEXT(G23)</f>
        <v>=G19-SUM(G20:G22)</v>
      </c>
    </row>
    <row r="24" spans="1:20" x14ac:dyDescent="0.3">
      <c r="A24" s="18" t="s">
        <v>6</v>
      </c>
      <c r="B24" s="23"/>
      <c r="C24" s="20">
        <f t="shared" ref="C24:G24" si="6">IF(C23&gt;0,C23*(1-$B$4),C23)</f>
        <v>5656000</v>
      </c>
      <c r="D24" s="20">
        <f t="shared" si="6"/>
        <v>9352000</v>
      </c>
      <c r="E24" s="20">
        <f t="shared" si="6"/>
        <v>12308800</v>
      </c>
      <c r="F24" s="20">
        <f t="shared" si="6"/>
        <v>12308800</v>
      </c>
      <c r="G24" s="21">
        <f t="shared" si="6"/>
        <v>12308800</v>
      </c>
      <c r="H24" s="14" t="str">
        <f ca="1">_xlfn.FORMULATEXT(G24)</f>
        <v>=IF(G23&gt;0,G23*(1-$B$4),G23)</v>
      </c>
    </row>
    <row r="25" spans="1:20" ht="15" thickBot="1" x14ac:dyDescent="0.35">
      <c r="A25" s="18"/>
      <c r="B25" s="18"/>
      <c r="C25" s="20"/>
      <c r="D25" s="20"/>
      <c r="E25" s="20"/>
      <c r="F25" s="20"/>
      <c r="G25" s="21"/>
    </row>
    <row r="26" spans="1:20" x14ac:dyDescent="0.3">
      <c r="A26" s="18" t="s">
        <v>7</v>
      </c>
      <c r="B26" s="22">
        <f t="shared" ref="B26:G26" si="7">B24+B22</f>
        <v>-125000000</v>
      </c>
      <c r="C26" s="20">
        <f t="shared" si="7"/>
        <v>30656000</v>
      </c>
      <c r="D26" s="20">
        <f t="shared" si="7"/>
        <v>34352000</v>
      </c>
      <c r="E26" s="20">
        <f t="shared" si="7"/>
        <v>37308800</v>
      </c>
      <c r="F26" s="20">
        <f t="shared" si="7"/>
        <v>37308800</v>
      </c>
      <c r="G26" s="20">
        <f t="shared" si="7"/>
        <v>37308800</v>
      </c>
      <c r="H26" s="39" t="s">
        <v>8</v>
      </c>
      <c r="I26" s="37">
        <f>IRR(B26:G26)</f>
        <v>0.12371290447340888</v>
      </c>
      <c r="J26" s="14" t="str">
        <f t="shared" ref="J26:J27" ca="1" si="8">_xlfn.FORMULATEXT(I26)</f>
        <v>=IRR(B26:G26)</v>
      </c>
    </row>
    <row r="27" spans="1:2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tr">
        <f t="shared" ca="1" si="8"/>
        <v>=B26+NPV(B5,C26:G26)</v>
      </c>
    </row>
    <row r="30" spans="1:20" ht="15.6" x14ac:dyDescent="0.3">
      <c r="B30" s="61" t="s">
        <v>35</v>
      </c>
      <c r="C30" s="63">
        <v>1</v>
      </c>
    </row>
    <row r="31" spans="1:20" ht="21" x14ac:dyDescent="0.4">
      <c r="A31" s="4" t="s">
        <v>33</v>
      </c>
      <c r="B31" s="31" t="s">
        <v>2</v>
      </c>
      <c r="C31" s="32"/>
      <c r="D31" s="32"/>
      <c r="E31" s="32"/>
      <c r="F31" s="32"/>
      <c r="G31" s="33"/>
      <c r="N31" s="3" t="s">
        <v>69</v>
      </c>
    </row>
    <row r="32" spans="1:20" ht="21" x14ac:dyDescent="0.4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  <c r="M32" s="2"/>
      <c r="N32" s="3" t="s">
        <v>70</v>
      </c>
      <c r="O32" s="20"/>
      <c r="P32" s="20"/>
      <c r="Q32" s="20"/>
    </row>
    <row r="33" spans="1:17" ht="21" x14ac:dyDescent="0.4">
      <c r="A33" s="10" t="s">
        <v>23</v>
      </c>
      <c r="B33" s="11"/>
      <c r="C33" s="12">
        <v>55</v>
      </c>
      <c r="D33" s="12">
        <v>60</v>
      </c>
      <c r="E33" s="12">
        <v>64</v>
      </c>
      <c r="F33" s="12">
        <v>64</v>
      </c>
      <c r="G33" s="13">
        <v>64</v>
      </c>
      <c r="H33" s="14"/>
      <c r="M33" s="2"/>
      <c r="N33" s="62"/>
      <c r="O33" s="20"/>
      <c r="P33" s="20"/>
      <c r="Q33" s="20"/>
    </row>
    <row r="34" spans="1:17" x14ac:dyDescent="0.3">
      <c r="A34" s="15"/>
      <c r="B34" s="15"/>
      <c r="C34" s="16"/>
      <c r="D34" s="16"/>
      <c r="E34" s="16"/>
      <c r="F34" s="16"/>
      <c r="G34" s="17"/>
      <c r="M34" s="2"/>
      <c r="N34" s="20"/>
      <c r="O34" s="20"/>
      <c r="P34" s="20"/>
      <c r="Q34" s="20"/>
    </row>
    <row r="35" spans="1:17" x14ac:dyDescent="0.3">
      <c r="A35" s="18" t="s">
        <v>3</v>
      </c>
      <c r="B35" s="19"/>
      <c r="C35" s="20">
        <f>C33*$B$9*$C$30</f>
        <v>66000000</v>
      </c>
      <c r="D35" s="20">
        <f>D33*$B$9*$C$30</f>
        <v>72000000</v>
      </c>
      <c r="E35" s="20">
        <f>E33*$B$9*$C$30</f>
        <v>76800000</v>
      </c>
      <c r="F35" s="20">
        <f>F33*$B$9*$C$30</f>
        <v>76800000</v>
      </c>
      <c r="G35" s="21">
        <f>G33*$B$9*$C$30</f>
        <v>76800000</v>
      </c>
      <c r="H35" s="14" t="str">
        <f t="shared" ref="H35:H40" ca="1" si="9">_xlfn.FORMULATEXT(G35)</f>
        <v>=G33*$B$9*$C$30</v>
      </c>
      <c r="M35" s="2"/>
      <c r="N35" s="20"/>
      <c r="O35" s="20"/>
      <c r="P35" s="20"/>
      <c r="Q35" s="20"/>
    </row>
    <row r="36" spans="1:17" x14ac:dyDescent="0.3">
      <c r="A36" s="18" t="s">
        <v>20</v>
      </c>
      <c r="B36" s="19"/>
      <c r="C36" s="20">
        <f>C35*$B$10</f>
        <v>7920000</v>
      </c>
      <c r="D36" s="20">
        <f>D35*$B$10</f>
        <v>8640000</v>
      </c>
      <c r="E36" s="20">
        <f>E35*$B$10</f>
        <v>9216000</v>
      </c>
      <c r="F36" s="20">
        <f>F35*$B$10</f>
        <v>9216000</v>
      </c>
      <c r="G36" s="20">
        <f>G35*$B$10</f>
        <v>9216000</v>
      </c>
      <c r="H36" s="14" t="str">
        <f t="shared" ca="1" si="9"/>
        <v>=G35*$B$10</v>
      </c>
      <c r="M36" s="2"/>
      <c r="N36" s="20"/>
      <c r="O36" s="20"/>
      <c r="P36" s="20"/>
      <c r="Q36" s="20"/>
    </row>
    <row r="37" spans="1:17" x14ac:dyDescent="0.3">
      <c r="A37" s="18" t="s">
        <v>21</v>
      </c>
      <c r="B37" s="19"/>
      <c r="C37" s="20">
        <f>$B$11</f>
        <v>25000000</v>
      </c>
      <c r="D37" s="20">
        <f t="shared" ref="D37:G37" si="10">$B$11</f>
        <v>25000000</v>
      </c>
      <c r="E37" s="20">
        <f t="shared" si="10"/>
        <v>25000000</v>
      </c>
      <c r="F37" s="20">
        <f t="shared" si="10"/>
        <v>25000000</v>
      </c>
      <c r="G37" s="21">
        <f t="shared" si="10"/>
        <v>25000000</v>
      </c>
      <c r="H37" s="14" t="str">
        <f t="shared" ca="1" si="9"/>
        <v>=$B$11</v>
      </c>
      <c r="M37" s="2"/>
      <c r="N37" s="20"/>
      <c r="O37" s="20"/>
      <c r="P37" s="20"/>
      <c r="Q37" s="20"/>
    </row>
    <row r="38" spans="1:17" x14ac:dyDescent="0.3">
      <c r="A38" s="27" t="s">
        <v>34</v>
      </c>
      <c r="B38" s="28">
        <f>-B7*N5*$C$30</f>
        <v>-25000000</v>
      </c>
      <c r="C38" s="29">
        <f>$O$17*$C$30</f>
        <v>25045645.456683662</v>
      </c>
      <c r="D38" s="29">
        <f t="shared" ref="D38:G38" si="11">$O$17*$C$30</f>
        <v>25045645.456683662</v>
      </c>
      <c r="E38" s="29">
        <f t="shared" si="11"/>
        <v>25045645.456683662</v>
      </c>
      <c r="F38" s="29">
        <f t="shared" si="11"/>
        <v>25045645.456683662</v>
      </c>
      <c r="G38" s="30">
        <f t="shared" si="11"/>
        <v>25045645.456683662</v>
      </c>
      <c r="H38" s="14" t="str">
        <f t="shared" ca="1" si="9"/>
        <v>=$O$17*$C$30</v>
      </c>
      <c r="M38" s="2"/>
      <c r="N38" s="20"/>
      <c r="P38" s="45"/>
    </row>
    <row r="39" spans="1:17" x14ac:dyDescent="0.3">
      <c r="A39" s="18" t="s">
        <v>5</v>
      </c>
      <c r="B39" s="23"/>
      <c r="C39" s="20">
        <f>C35-SUM(C36:C38)</f>
        <v>8034354.5433163345</v>
      </c>
      <c r="D39" s="20">
        <f>D35-SUM(D36:D38)</f>
        <v>13314354.543316334</v>
      </c>
      <c r="E39" s="20">
        <f>E35-SUM(E36:E38)</f>
        <v>17538354.543316334</v>
      </c>
      <c r="F39" s="20">
        <f>F35-SUM(F36:F38)</f>
        <v>17538354.543316334</v>
      </c>
      <c r="G39" s="21">
        <f>G35-SUM(G36:G38)</f>
        <v>17538354.543316334</v>
      </c>
      <c r="H39" s="14" t="str">
        <f t="shared" ca="1" si="9"/>
        <v>=G35-SUM(G36:G38)</v>
      </c>
    </row>
    <row r="40" spans="1:17" x14ac:dyDescent="0.3">
      <c r="A40" s="18" t="s">
        <v>6</v>
      </c>
      <c r="B40" s="23"/>
      <c r="C40" s="20">
        <f>IF(C39&gt;0,C39*(1-$B$4),C39)</f>
        <v>5624048.1803214336</v>
      </c>
      <c r="D40" s="20">
        <f>IF(D39&gt;0,D39*(1-$B$4),D39)</f>
        <v>9320048.1803214327</v>
      </c>
      <c r="E40" s="20">
        <f>IF(E39&gt;0,E39*(1-$B$4),E39)</f>
        <v>12276848.180321433</v>
      </c>
      <c r="F40" s="20">
        <f>IF(F39&gt;0,F39*(1-$B$4),F39)</f>
        <v>12276848.180321433</v>
      </c>
      <c r="G40" s="21">
        <f>IF(G39&gt;0,G39*(1-$B$4),G39)</f>
        <v>12276848.180321433</v>
      </c>
      <c r="H40" s="14" t="str">
        <f t="shared" ca="1" si="9"/>
        <v>=IF(G39&gt;0,G39*(1-$B$4),G39)</v>
      </c>
    </row>
    <row r="41" spans="1:17" ht="15" thickBot="1" x14ac:dyDescent="0.35">
      <c r="A41" s="18"/>
      <c r="B41" s="18"/>
      <c r="C41" s="20"/>
      <c r="D41" s="20"/>
      <c r="E41" s="20"/>
      <c r="F41" s="20"/>
      <c r="G41" s="21"/>
    </row>
    <row r="42" spans="1:17" x14ac:dyDescent="0.3">
      <c r="A42" s="18" t="s">
        <v>7</v>
      </c>
      <c r="B42" s="22">
        <f>B40+B38</f>
        <v>-25000000</v>
      </c>
      <c r="C42" s="20">
        <f>C40</f>
        <v>5624048.1803214336</v>
      </c>
      <c r="D42" s="20">
        <f t="shared" ref="D42:G42" si="12">D40</f>
        <v>9320048.1803214327</v>
      </c>
      <c r="E42" s="20">
        <f t="shared" si="12"/>
        <v>12276848.180321433</v>
      </c>
      <c r="F42" s="20">
        <f t="shared" si="12"/>
        <v>12276848.180321433</v>
      </c>
      <c r="G42" s="20">
        <f t="shared" si="12"/>
        <v>12276848.180321433</v>
      </c>
      <c r="H42" s="39" t="s">
        <v>8</v>
      </c>
      <c r="I42" s="37">
        <f>IRR(B42:G42)</f>
        <v>0.26359093826368385</v>
      </c>
      <c r="J42" s="14" t="str">
        <f t="shared" ref="J42:J43" ca="1" si="13">_xlfn.FORMULATEXT(I42)</f>
        <v>=IRR(B42:G42)</v>
      </c>
    </row>
    <row r="43" spans="1:17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26774640.901607163</v>
      </c>
      <c r="J43" s="14" t="str">
        <f t="shared" ca="1" si="13"/>
        <v>=B42+NPV(B21,C42:G42)</v>
      </c>
    </row>
    <row r="46" spans="1:17" x14ac:dyDescent="0.3">
      <c r="B46" s="1" t="s">
        <v>8</v>
      </c>
    </row>
    <row r="47" spans="1:17" x14ac:dyDescent="0.3">
      <c r="A47" s="56"/>
      <c r="B47" s="26">
        <f>B42</f>
        <v>-25000000</v>
      </c>
    </row>
    <row r="48" spans="1:17" x14ac:dyDescent="0.3">
      <c r="A48">
        <v>1</v>
      </c>
      <c r="B48" s="47">
        <f>IRR(B42:C42)</f>
        <v>-0.77503807278714265</v>
      </c>
    </row>
    <row r="49" spans="1:2" x14ac:dyDescent="0.3">
      <c r="A49">
        <v>2</v>
      </c>
      <c r="B49" s="47" t="e">
        <f t="shared" ref="B49:B52" si="14">IRR(B43:C43)</f>
        <v>#NUM!</v>
      </c>
    </row>
    <row r="50" spans="1:2" x14ac:dyDescent="0.3">
      <c r="A50">
        <v>3</v>
      </c>
      <c r="B50" s="47" t="e">
        <f t="shared" si="14"/>
        <v>#NUM!</v>
      </c>
    </row>
    <row r="51" spans="1:2" x14ac:dyDescent="0.3">
      <c r="A51">
        <v>4</v>
      </c>
      <c r="B51" s="47" t="e">
        <f t="shared" si="14"/>
        <v>#NUM!</v>
      </c>
    </row>
    <row r="52" spans="1:2" x14ac:dyDescent="0.3">
      <c r="A52">
        <v>5</v>
      </c>
      <c r="B52" s="47" t="e">
        <f t="shared" si="14"/>
        <v>#NUM!</v>
      </c>
    </row>
    <row r="53" spans="1:2" x14ac:dyDescent="0.3">
      <c r="B53" s="47"/>
    </row>
    <row r="55" spans="1:2" x14ac:dyDescent="0.3">
      <c r="B55" s="1" t="s">
        <v>9</v>
      </c>
    </row>
    <row r="56" spans="1:2" x14ac:dyDescent="0.3">
      <c r="B56" s="26"/>
    </row>
    <row r="57" spans="1:2" x14ac:dyDescent="0.3">
      <c r="A57">
        <v>1</v>
      </c>
      <c r="B57" s="26"/>
    </row>
    <row r="58" spans="1:2" x14ac:dyDescent="0.3">
      <c r="A58">
        <v>2</v>
      </c>
      <c r="B58" s="26"/>
    </row>
    <row r="59" spans="1:2" x14ac:dyDescent="0.3">
      <c r="A59">
        <v>3</v>
      </c>
      <c r="B59" s="26"/>
    </row>
    <row r="60" spans="1:2" x14ac:dyDescent="0.3">
      <c r="A60">
        <v>4</v>
      </c>
      <c r="B60" s="26"/>
    </row>
    <row r="61" spans="1:2" x14ac:dyDescent="0.3">
      <c r="A61">
        <v>5</v>
      </c>
      <c r="B61" s="26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530C-0A9D-4158-A2DA-FE8CC8777F1C}">
  <sheetPr>
    <pageSetUpPr fitToPage="1"/>
  </sheetPr>
  <dimension ref="A1:T61"/>
  <sheetViews>
    <sheetView topLeftCell="A27" zoomScale="70" zoomScaleNormal="70" workbookViewId="0">
      <selection activeCell="B48" sqref="B48"/>
    </sheetView>
  </sheetViews>
  <sheetFormatPr defaultRowHeight="14.4" x14ac:dyDescent="0.3"/>
  <cols>
    <col min="1" max="1" width="27.6640625" customWidth="1"/>
    <col min="2" max="2" width="20.6640625" customWidth="1"/>
    <col min="3" max="7" width="15.44140625" bestFit="1" customWidth="1"/>
    <col min="8" max="8" width="12.88671875" bestFit="1" customWidth="1"/>
    <col min="9" max="9" width="20.109375" customWidth="1"/>
    <col min="13" max="13" width="16.5546875" customWidth="1"/>
    <col min="14" max="14" width="17.88671875" customWidth="1"/>
    <col min="15" max="15" width="16" customWidth="1"/>
    <col min="16" max="16" width="14.6640625" customWidth="1"/>
    <col min="17" max="17" width="16" customWidth="1"/>
    <col min="18" max="18" width="12.5546875" bestFit="1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x14ac:dyDescent="0.3">
      <c r="A4" t="s">
        <v>0</v>
      </c>
      <c r="B4" s="6">
        <v>0.3</v>
      </c>
      <c r="M4" t="s">
        <v>30</v>
      </c>
      <c r="N4" s="6">
        <v>0.08</v>
      </c>
    </row>
    <row r="5" spans="1:18" x14ac:dyDescent="0.3">
      <c r="A5" t="s">
        <v>1</v>
      </c>
      <c r="B5" s="6">
        <v>0.1</v>
      </c>
      <c r="M5" t="s">
        <v>32</v>
      </c>
      <c r="N5" s="6">
        <v>0.2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1200000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tr">
        <f ca="1">_xlfn.FORMULATEXT(N16)</f>
        <v>=B7-(B7*N5)</v>
      </c>
    </row>
    <row r="17" spans="1:2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PMT(N4,B3,-N17)</f>
        <v>25045645.456683662</v>
      </c>
      <c r="P17" s="20">
        <f>IPMT($N$4,M17,$B$3,-$N$17)</f>
        <v>8000000</v>
      </c>
      <c r="Q17" s="20">
        <f>O17-P17</f>
        <v>17045645.456683662</v>
      </c>
      <c r="R17" t="str">
        <f ca="1">_xlfn.FORMULATEXT(N17)</f>
        <v>=N16</v>
      </c>
      <c r="S17" t="str">
        <f t="shared" ref="S17:T18" ca="1" si="0">_xlfn.FORMULATEXT(O17)</f>
        <v>=PMT(N4,B3,-N17)</v>
      </c>
      <c r="T17" t="str">
        <f t="shared" ca="1" si="0"/>
        <v>=IPMT($N$4,M17,$B$3,-$N$17)</v>
      </c>
    </row>
    <row r="18" spans="1:20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>$O$17</f>
        <v>25045645.456683662</v>
      </c>
      <c r="P18" s="20">
        <f>IPMT($N$4,M18,$B$3,-$N$17)</f>
        <v>6636348.3634653073</v>
      </c>
      <c r="Q18" s="20">
        <f t="shared" ref="Q18:Q21" si="1">O18-P18</f>
        <v>18409297.093218356</v>
      </c>
      <c r="R18" t="str">
        <f ca="1">_xlfn.FORMULATEXT(N18)</f>
        <v>=N17-Q17</v>
      </c>
      <c r="S18" t="str">
        <f t="shared" ca="1" si="0"/>
        <v>=$O$17</v>
      </c>
    </row>
    <row r="19" spans="1:20" x14ac:dyDescent="0.3">
      <c r="A19" s="18" t="s">
        <v>3</v>
      </c>
      <c r="B19" s="19"/>
      <c r="C19" s="20">
        <f>C17*$B$9</f>
        <v>66000000</v>
      </c>
      <c r="D19" s="20">
        <f t="shared" ref="D19:G19" si="2">D17*$B$9</f>
        <v>72000000</v>
      </c>
      <c r="E19" s="20">
        <f t="shared" si="2"/>
        <v>76800000</v>
      </c>
      <c r="F19" s="20">
        <f t="shared" si="2"/>
        <v>76800000</v>
      </c>
      <c r="G19" s="21">
        <f t="shared" si="2"/>
        <v>76800000</v>
      </c>
      <c r="H19" s="14" t="str">
        <f t="shared" ref="H19:H21" ca="1" si="3">_xlfn.FORMULATEXT(G19)</f>
        <v>=G17*$B$9</v>
      </c>
      <c r="M19" s="2">
        <v>3</v>
      </c>
      <c r="N19" s="20">
        <f>N18-Q18</f>
        <v>64545057.450097978</v>
      </c>
      <c r="O19" s="20">
        <f>$O$17</f>
        <v>25045645.456683662</v>
      </c>
      <c r="P19" s="20">
        <f>IPMT($N$4,M19,$B$3,-$N$17)</f>
        <v>5163604.5960078388</v>
      </c>
      <c r="Q19" s="20">
        <f t="shared" si="1"/>
        <v>19882040.860675823</v>
      </c>
    </row>
    <row r="20" spans="1:20" x14ac:dyDescent="0.3">
      <c r="A20" s="18" t="s">
        <v>20</v>
      </c>
      <c r="B20" s="19"/>
      <c r="C20" s="20">
        <f>C19*$B$10</f>
        <v>7920000</v>
      </c>
      <c r="D20" s="20">
        <f t="shared" ref="D20:G20" si="4">D19*$B$10</f>
        <v>8640000</v>
      </c>
      <c r="E20" s="20">
        <f t="shared" si="4"/>
        <v>9216000</v>
      </c>
      <c r="F20" s="20">
        <f t="shared" si="4"/>
        <v>9216000</v>
      </c>
      <c r="G20" s="21">
        <f t="shared" si="4"/>
        <v>9216000</v>
      </c>
      <c r="H20" s="14" t="str">
        <f t="shared" ca="1" si="3"/>
        <v>=G19*$B$10</v>
      </c>
      <c r="M20" s="2">
        <v>4</v>
      </c>
      <c r="N20" s="20">
        <f>N19-Q19</f>
        <v>44663016.589422151</v>
      </c>
      <c r="O20" s="20">
        <f>$O$17</f>
        <v>25045645.456683662</v>
      </c>
      <c r="P20" s="20">
        <f>IPMT($N$4,M20,$B$3,-$N$17)</f>
        <v>3573041.3271537735</v>
      </c>
      <c r="Q20" s="20">
        <f t="shared" si="1"/>
        <v>21472604.12952989</v>
      </c>
    </row>
    <row r="21" spans="1:20" x14ac:dyDescent="0.3">
      <c r="A21" s="18" t="s">
        <v>21</v>
      </c>
      <c r="B21" s="19"/>
      <c r="C21" s="20">
        <f>$B$11</f>
        <v>25000000</v>
      </c>
      <c r="D21" s="20">
        <f t="shared" ref="D21:G21" si="5">$B$11</f>
        <v>25000000</v>
      </c>
      <c r="E21" s="20">
        <f t="shared" si="5"/>
        <v>25000000</v>
      </c>
      <c r="F21" s="20">
        <f t="shared" si="5"/>
        <v>25000000</v>
      </c>
      <c r="G21" s="21">
        <f t="shared" si="5"/>
        <v>25000000</v>
      </c>
      <c r="H21" s="14" t="str">
        <f t="shared" ca="1" si="3"/>
        <v>=$B$11</v>
      </c>
      <c r="M21" s="2">
        <v>5</v>
      </c>
      <c r="N21" s="20">
        <f>N20-Q20</f>
        <v>23190412.459892262</v>
      </c>
      <c r="O21" s="20">
        <f>$O$17</f>
        <v>25045645.456683662</v>
      </c>
      <c r="P21" s="20">
        <f>IPMT($N$4,M21,$B$3,-$N$17)</f>
        <v>1855232.9967913821</v>
      </c>
      <c r="Q21" s="20">
        <f t="shared" si="1"/>
        <v>23190412.45989228</v>
      </c>
    </row>
    <row r="22" spans="1:2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  <c r="M22" s="2">
        <v>6</v>
      </c>
      <c r="N22" s="20">
        <f>N21-Q21</f>
        <v>0</v>
      </c>
      <c r="P22" s="45"/>
    </row>
    <row r="23" spans="1:20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tr">
        <f ca="1">_xlfn.FORMULATEXT(G23)</f>
        <v>=G19-SUM(G20:G22)</v>
      </c>
    </row>
    <row r="24" spans="1:20" x14ac:dyDescent="0.3">
      <c r="A24" s="18" t="s">
        <v>6</v>
      </c>
      <c r="B24" s="23"/>
      <c r="C24" s="20">
        <f t="shared" ref="C24:G24" si="6">IF(C23&gt;0,C23*(1-$B$4),C23)</f>
        <v>5656000</v>
      </c>
      <c r="D24" s="20">
        <f t="shared" si="6"/>
        <v>9352000</v>
      </c>
      <c r="E24" s="20">
        <f t="shared" si="6"/>
        <v>12308800</v>
      </c>
      <c r="F24" s="20">
        <f t="shared" si="6"/>
        <v>12308800</v>
      </c>
      <c r="G24" s="21">
        <f t="shared" si="6"/>
        <v>12308800</v>
      </c>
      <c r="H24" s="14" t="str">
        <f ca="1">_xlfn.FORMULATEXT(G24)</f>
        <v>=IF(G23&gt;0,G23*(1-$B$4),G23)</v>
      </c>
    </row>
    <row r="25" spans="1:20" ht="15" thickBot="1" x14ac:dyDescent="0.35">
      <c r="A25" s="18"/>
      <c r="B25" s="18"/>
      <c r="C25" s="20"/>
      <c r="D25" s="20"/>
      <c r="E25" s="20"/>
      <c r="F25" s="20"/>
      <c r="G25" s="21"/>
    </row>
    <row r="26" spans="1:20" x14ac:dyDescent="0.3">
      <c r="A26" s="18" t="s">
        <v>7</v>
      </c>
      <c r="B26" s="22">
        <f t="shared" ref="B26:G26" si="7">B24+B22</f>
        <v>-125000000</v>
      </c>
      <c r="C26" s="20">
        <f t="shared" si="7"/>
        <v>30656000</v>
      </c>
      <c r="D26" s="20">
        <f t="shared" si="7"/>
        <v>34352000</v>
      </c>
      <c r="E26" s="20">
        <f t="shared" si="7"/>
        <v>37308800</v>
      </c>
      <c r="F26" s="20">
        <f t="shared" si="7"/>
        <v>37308800</v>
      </c>
      <c r="G26" s="20">
        <f t="shared" si="7"/>
        <v>37308800</v>
      </c>
      <c r="H26" s="39" t="s">
        <v>8</v>
      </c>
      <c r="I26" s="37">
        <f>IRR(B26:G26)</f>
        <v>0.12371290447340888</v>
      </c>
      <c r="J26" s="14" t="str">
        <f t="shared" ref="J26:J27" ca="1" si="8">_xlfn.FORMULATEXT(I26)</f>
        <v>=IRR(B26:G26)</v>
      </c>
    </row>
    <row r="27" spans="1:2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tr">
        <f t="shared" ca="1" si="8"/>
        <v>=B26+NPV(B5,C26:G26)</v>
      </c>
    </row>
    <row r="30" spans="1:20" x14ac:dyDescent="0.3">
      <c r="B30" t="s">
        <v>35</v>
      </c>
      <c r="C30" s="5">
        <v>5</v>
      </c>
    </row>
    <row r="31" spans="1:20" ht="18" x14ac:dyDescent="0.35">
      <c r="A31" s="4" t="s">
        <v>33</v>
      </c>
      <c r="B31" s="31" t="s">
        <v>2</v>
      </c>
      <c r="C31" s="32"/>
      <c r="D31" s="32"/>
      <c r="E31" s="32"/>
      <c r="F31" s="32"/>
      <c r="G31" s="33"/>
    </row>
    <row r="32" spans="1:20" x14ac:dyDescent="0.3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</row>
    <row r="33" spans="1:10" x14ac:dyDescent="0.3">
      <c r="A33" s="10" t="s">
        <v>23</v>
      </c>
      <c r="B33" s="11"/>
      <c r="C33" s="12">
        <v>55</v>
      </c>
      <c r="D33" s="12">
        <v>60</v>
      </c>
      <c r="E33" s="12">
        <v>64</v>
      </c>
      <c r="F33" s="12">
        <v>64</v>
      </c>
      <c r="G33" s="13">
        <v>64</v>
      </c>
      <c r="H33" s="14"/>
    </row>
    <row r="34" spans="1:10" x14ac:dyDescent="0.3">
      <c r="A34" s="15"/>
      <c r="B34" s="15"/>
      <c r="C34" s="16"/>
      <c r="D34" s="16"/>
      <c r="E34" s="16"/>
      <c r="F34" s="16"/>
      <c r="G34" s="17"/>
    </row>
    <row r="35" spans="1:10" x14ac:dyDescent="0.3">
      <c r="A35" s="18" t="s">
        <v>3</v>
      </c>
      <c r="B35" s="19"/>
      <c r="C35" s="20">
        <f>C33*$B$9*$C$30</f>
        <v>330000000</v>
      </c>
      <c r="D35" s="20">
        <f>D33*$B$9*$C$30</f>
        <v>360000000</v>
      </c>
      <c r="E35" s="20">
        <f>E33*$B$9*$C$30</f>
        <v>384000000</v>
      </c>
      <c r="F35" s="20">
        <f>F33*$B$9*$C$30</f>
        <v>384000000</v>
      </c>
      <c r="G35" s="21">
        <f>G33*$B$9*$C$30</f>
        <v>384000000</v>
      </c>
      <c r="H35" s="14" t="str">
        <f t="shared" ref="H35:H40" ca="1" si="9">_xlfn.FORMULATEXT(G35)</f>
        <v>=G33*$B$9*$C$30</v>
      </c>
    </row>
    <row r="36" spans="1:10" x14ac:dyDescent="0.3">
      <c r="A36" s="18" t="s">
        <v>20</v>
      </c>
      <c r="B36" s="19"/>
      <c r="C36" s="20">
        <f>C35*$B$10</f>
        <v>39600000</v>
      </c>
      <c r="D36" s="20">
        <f>D35*$B$10</f>
        <v>43200000</v>
      </c>
      <c r="E36" s="20">
        <f>E35*$B$10</f>
        <v>46080000</v>
      </c>
      <c r="F36" s="20">
        <f>F35*$B$10</f>
        <v>46080000</v>
      </c>
      <c r="G36" s="20">
        <f>G35*$B$10</f>
        <v>46080000</v>
      </c>
      <c r="H36" s="14" t="str">
        <f t="shared" ca="1" si="9"/>
        <v>=G35*$B$10</v>
      </c>
    </row>
    <row r="37" spans="1:10" x14ac:dyDescent="0.3">
      <c r="A37" s="18" t="s">
        <v>21</v>
      </c>
      <c r="B37" s="19"/>
      <c r="C37" s="20">
        <f>$B$11</f>
        <v>25000000</v>
      </c>
      <c r="D37" s="20">
        <f t="shared" ref="D37:G37" si="10">$B$11</f>
        <v>25000000</v>
      </c>
      <c r="E37" s="20">
        <f t="shared" si="10"/>
        <v>25000000</v>
      </c>
      <c r="F37" s="20">
        <f t="shared" si="10"/>
        <v>25000000</v>
      </c>
      <c r="G37" s="21">
        <f t="shared" si="10"/>
        <v>25000000</v>
      </c>
      <c r="H37" s="14" t="str">
        <f t="shared" ca="1" si="9"/>
        <v>=$B$11</v>
      </c>
    </row>
    <row r="38" spans="1:10" x14ac:dyDescent="0.3">
      <c r="A38" s="27" t="s">
        <v>34</v>
      </c>
      <c r="B38" s="28">
        <f>-B7*N5*$C$30</f>
        <v>-125000000</v>
      </c>
      <c r="C38" s="29">
        <f>$O$17*$C$30</f>
        <v>125228227.28341831</v>
      </c>
      <c r="D38" s="29">
        <f t="shared" ref="D38:G38" si="11">$O$17*$C$30</f>
        <v>125228227.28341831</v>
      </c>
      <c r="E38" s="29">
        <f t="shared" si="11"/>
        <v>125228227.28341831</v>
      </c>
      <c r="F38" s="29">
        <f t="shared" si="11"/>
        <v>125228227.28341831</v>
      </c>
      <c r="G38" s="30">
        <f t="shared" si="11"/>
        <v>125228227.28341831</v>
      </c>
      <c r="H38" s="14" t="str">
        <f t="shared" ca="1" si="9"/>
        <v>=$O$17*$C$30</v>
      </c>
    </row>
    <row r="39" spans="1:10" x14ac:dyDescent="0.3">
      <c r="A39" s="18" t="s">
        <v>5</v>
      </c>
      <c r="B39" s="23"/>
      <c r="C39" s="20">
        <f>C35-SUM(C36:C38)</f>
        <v>140171772.7165817</v>
      </c>
      <c r="D39" s="20">
        <f>D35-SUM(D36:D38)</f>
        <v>166571772.7165817</v>
      </c>
      <c r="E39" s="20">
        <f>E35-SUM(E36:E38)</f>
        <v>187691772.7165817</v>
      </c>
      <c r="F39" s="20">
        <f>F35-SUM(F36:F38)</f>
        <v>187691772.7165817</v>
      </c>
      <c r="G39" s="21">
        <f>G35-SUM(G36:G38)</f>
        <v>187691772.7165817</v>
      </c>
      <c r="H39" s="14" t="str">
        <f t="shared" ca="1" si="9"/>
        <v>=G35-SUM(G36:G38)</v>
      </c>
    </row>
    <row r="40" spans="1:10" x14ac:dyDescent="0.3">
      <c r="A40" s="18" t="s">
        <v>6</v>
      </c>
      <c r="B40" s="23"/>
      <c r="C40" s="20">
        <f>IF(C39&gt;0,C39*(1-$B$4),C39)</f>
        <v>98120240.901607186</v>
      </c>
      <c r="D40" s="20">
        <f>IF(D39&gt;0,D39*(1-$B$4),D39)</f>
        <v>116600240.90160719</v>
      </c>
      <c r="E40" s="20">
        <f>IF(E39&gt;0,E39*(1-$B$4),E39)</f>
        <v>131384240.90160719</v>
      </c>
      <c r="F40" s="20">
        <f>IF(F39&gt;0,F39*(1-$B$4),F39)</f>
        <v>131384240.90160719</v>
      </c>
      <c r="G40" s="21">
        <f>IF(G39&gt;0,G39*(1-$B$4),G39)</f>
        <v>131384240.90160719</v>
      </c>
      <c r="H40" s="14" t="str">
        <f t="shared" ca="1" si="9"/>
        <v>=IF(G39&gt;0,G39*(1-$B$4),G39)</v>
      </c>
    </row>
    <row r="41" spans="1:10" ht="15" thickBot="1" x14ac:dyDescent="0.35">
      <c r="A41" s="18"/>
      <c r="B41" s="18"/>
      <c r="C41" s="20"/>
      <c r="D41" s="20"/>
      <c r="E41" s="20"/>
      <c r="F41" s="20"/>
      <c r="G41" s="21"/>
    </row>
    <row r="42" spans="1:10" x14ac:dyDescent="0.3">
      <c r="A42" s="18" t="s">
        <v>7</v>
      </c>
      <c r="B42" s="22">
        <f>B40+B38</f>
        <v>-125000000</v>
      </c>
      <c r="C42" s="20">
        <f>C40</f>
        <v>98120240.901607186</v>
      </c>
      <c r="D42" s="20">
        <f t="shared" ref="D42:G42" si="12">D40</f>
        <v>116600240.90160719</v>
      </c>
      <c r="E42" s="20">
        <f t="shared" si="12"/>
        <v>131384240.90160719</v>
      </c>
      <c r="F42" s="20">
        <f t="shared" si="12"/>
        <v>131384240.90160719</v>
      </c>
      <c r="G42" s="20">
        <f t="shared" si="12"/>
        <v>131384240.90160719</v>
      </c>
      <c r="H42" s="39" t="s">
        <v>8</v>
      </c>
      <c r="I42" s="37">
        <f>IRR(B42:G42)</f>
        <v>0.85097824768797259</v>
      </c>
      <c r="J42" s="14" t="str">
        <f t="shared" ref="J42:J43" ca="1" si="13">_xlfn.FORMULATEXT(I42)</f>
        <v>=IRR(B42:G42)</v>
      </c>
    </row>
    <row r="43" spans="1:10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483873204.5080359</v>
      </c>
      <c r="J43" s="14" t="str">
        <f t="shared" ca="1" si="13"/>
        <v>=B42+NPV(B21,C42:G42)</v>
      </c>
    </row>
    <row r="46" spans="1:10" x14ac:dyDescent="0.3">
      <c r="B46" s="1" t="s">
        <v>8</v>
      </c>
    </row>
    <row r="47" spans="1:10" x14ac:dyDescent="0.3">
      <c r="B47" s="56">
        <f>I42</f>
        <v>0.85097824768797259</v>
      </c>
      <c r="C47" s="14" t="str">
        <f t="shared" ref="C47" ca="1" si="14">_xlfn.FORMULATEXT(B47)</f>
        <v>=I42</v>
      </c>
    </row>
    <row r="48" spans="1:10" x14ac:dyDescent="0.3">
      <c r="A48">
        <v>1</v>
      </c>
      <c r="B48" s="47">
        <f t="dataTable" ref="B48:B52" dt2D="0" dtr="0" r1="C30" ca="1"/>
        <v>0.26359093826368385</v>
      </c>
    </row>
    <row r="49" spans="1:3" x14ac:dyDescent="0.3">
      <c r="A49">
        <v>2</v>
      </c>
      <c r="B49" s="47">
        <v>0.63796729162194943</v>
      </c>
    </row>
    <row r="50" spans="1:3" x14ac:dyDescent="0.3">
      <c r="A50">
        <v>3</v>
      </c>
      <c r="B50" s="47">
        <v>0.75687644169171908</v>
      </c>
    </row>
    <row r="51" spans="1:3" x14ac:dyDescent="0.3">
      <c r="A51">
        <v>4</v>
      </c>
      <c r="B51" s="47">
        <v>0.81577676979964453</v>
      </c>
    </row>
    <row r="52" spans="1:3" x14ac:dyDescent="0.3">
      <c r="A52">
        <v>5</v>
      </c>
      <c r="B52" s="47">
        <v>0.85097824768797259</v>
      </c>
    </row>
    <row r="53" spans="1:3" x14ac:dyDescent="0.3">
      <c r="B53" s="47"/>
    </row>
    <row r="55" spans="1:3" x14ac:dyDescent="0.3">
      <c r="B55" s="1" t="s">
        <v>9</v>
      </c>
    </row>
    <row r="56" spans="1:3" x14ac:dyDescent="0.3">
      <c r="B56" s="26">
        <f>I43</f>
        <v>483873204.5080359</v>
      </c>
      <c r="C56" s="14" t="str">
        <f t="shared" ref="C56" ca="1" si="15">_xlfn.FORMULATEXT(B56)</f>
        <v>=I43</v>
      </c>
    </row>
    <row r="57" spans="1:3" x14ac:dyDescent="0.3">
      <c r="A57">
        <v>1</v>
      </c>
      <c r="B57" s="26">
        <f t="dataTable" ref="B57:B61" dt2D="0" dtr="0" r1="C30"/>
        <v>26774640.901607163</v>
      </c>
    </row>
    <row r="58" spans="1:3" x14ac:dyDescent="0.3">
      <c r="A58">
        <v>2</v>
      </c>
      <c r="B58" s="26">
        <v>141049281.80321431</v>
      </c>
    </row>
    <row r="59" spans="1:3" x14ac:dyDescent="0.3">
      <c r="A59">
        <v>3</v>
      </c>
      <c r="B59" s="26">
        <v>255323922.70482153</v>
      </c>
    </row>
    <row r="60" spans="1:3" x14ac:dyDescent="0.3">
      <c r="A60">
        <v>4</v>
      </c>
      <c r="B60" s="26">
        <v>369598563.60642862</v>
      </c>
    </row>
    <row r="61" spans="1:3" x14ac:dyDescent="0.3">
      <c r="A61">
        <v>5</v>
      </c>
      <c r="B61" s="26">
        <v>483873204.5080359</v>
      </c>
    </row>
  </sheetData>
  <pageMargins left="0.7" right="0.7" top="0.75" bottom="0.75" header="0.3" footer="0.3"/>
  <pageSetup scale="38"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2E2E-D379-4249-BFC2-FF75709EE102}">
  <dimension ref="A1:T60"/>
  <sheetViews>
    <sheetView tabSelected="1" zoomScale="70" zoomScaleNormal="70" workbookViewId="0">
      <selection activeCell="O18" sqref="O18"/>
    </sheetView>
  </sheetViews>
  <sheetFormatPr defaultRowHeight="14.4" x14ac:dyDescent="0.3"/>
  <cols>
    <col min="1" max="1" width="27.6640625" customWidth="1"/>
    <col min="2" max="2" width="20.6640625" customWidth="1"/>
    <col min="3" max="4" width="15.44140625" bestFit="1" customWidth="1"/>
    <col min="5" max="5" width="18.33203125" customWidth="1"/>
    <col min="6" max="7" width="15.44140625" bestFit="1" customWidth="1"/>
    <col min="8" max="8" width="20.88671875" customWidth="1"/>
    <col min="9" max="9" width="20.109375" customWidth="1"/>
    <col min="13" max="13" width="16.5546875" customWidth="1"/>
    <col min="14" max="14" width="20.88671875" customWidth="1"/>
    <col min="15" max="15" width="16" customWidth="1"/>
    <col min="16" max="16" width="14.6640625" customWidth="1"/>
    <col min="17" max="18" width="18.33203125" customWidth="1"/>
    <col min="19" max="19" width="23.44140625" customWidth="1"/>
    <col min="20" max="20" width="28.88671875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x14ac:dyDescent="0.3">
      <c r="A4" t="s">
        <v>0</v>
      </c>
      <c r="B4" s="6">
        <v>0.3</v>
      </c>
      <c r="M4" t="s">
        <v>30</v>
      </c>
      <c r="N4" s="6">
        <v>0.08</v>
      </c>
    </row>
    <row r="5" spans="1:18" x14ac:dyDescent="0.3">
      <c r="A5" t="s">
        <v>1</v>
      </c>
      <c r="B5" s="6">
        <v>0.1</v>
      </c>
      <c r="M5" t="s">
        <v>32</v>
      </c>
      <c r="N5" s="6">
        <v>0.2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1144244.0186071401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tr">
        <f ca="1">_xlfn.FORMULATEXT(N16)</f>
        <v>=B7-(B7*N5)</v>
      </c>
    </row>
    <row r="17" spans="1:2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PMT(N4,B3,-N17)</f>
        <v>25045645.456683662</v>
      </c>
      <c r="P17" s="20">
        <f>IPMT($N$4,M17,$B$3,-$N$17)</f>
        <v>8000000</v>
      </c>
      <c r="Q17" s="20">
        <f>O17-P17</f>
        <v>17045645.456683662</v>
      </c>
      <c r="R17" t="str">
        <f ca="1">_xlfn.FORMULATEXT(N17)</f>
        <v>=N16</v>
      </c>
      <c r="S17" t="str">
        <f t="shared" ref="S17:T18" ca="1" si="0">_xlfn.FORMULATEXT(O17)</f>
        <v>=PMT(N4,B3,-N17)</v>
      </c>
      <c r="T17" t="str">
        <f t="shared" ca="1" si="0"/>
        <v>=IPMT($N$4,M17,$B$3,-$N$17)</v>
      </c>
    </row>
    <row r="18" spans="1:20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>$O$17</f>
        <v>25045645.456683662</v>
      </c>
      <c r="P18" s="20">
        <f>IPMT($N$4,M18,$B$3,-$N$17)</f>
        <v>6636348.3634653073</v>
      </c>
      <c r="Q18" s="20">
        <f t="shared" ref="Q18:Q21" si="1">O18-P18</f>
        <v>18409297.093218356</v>
      </c>
      <c r="R18" t="str">
        <f ca="1">_xlfn.FORMULATEXT(N18)</f>
        <v>=N17-Q17</v>
      </c>
      <c r="S18" t="str">
        <f t="shared" ca="1" si="0"/>
        <v>=$O$17</v>
      </c>
    </row>
    <row r="19" spans="1:20" x14ac:dyDescent="0.3">
      <c r="A19" s="18" t="s">
        <v>3</v>
      </c>
      <c r="B19" s="19"/>
      <c r="C19" s="20">
        <f>C17*$B$9</f>
        <v>62933421.0233927</v>
      </c>
      <c r="D19" s="20">
        <f t="shared" ref="D19:G19" si="2">D17*$B$9</f>
        <v>68654641.116428405</v>
      </c>
      <c r="E19" s="20">
        <f t="shared" si="2"/>
        <v>73231617.190856963</v>
      </c>
      <c r="F19" s="20">
        <f t="shared" si="2"/>
        <v>73231617.190856963</v>
      </c>
      <c r="G19" s="21">
        <f t="shared" si="2"/>
        <v>73231617.190856963</v>
      </c>
      <c r="H19" s="14" t="str">
        <f t="shared" ref="H19:H21" ca="1" si="3">_xlfn.FORMULATEXT(G19)</f>
        <v>=G17*$B$9</v>
      </c>
      <c r="M19" s="2">
        <v>3</v>
      </c>
      <c r="N19" s="20">
        <f>N18-Q18</f>
        <v>64545057.450097978</v>
      </c>
      <c r="O19" s="20">
        <f>$O$17</f>
        <v>25045645.456683662</v>
      </c>
      <c r="P19" s="20">
        <f>IPMT($N$4,M19,$B$3,-$N$17)</f>
        <v>5163604.5960078388</v>
      </c>
      <c r="Q19" s="20">
        <f t="shared" si="1"/>
        <v>19882040.860675823</v>
      </c>
    </row>
    <row r="20" spans="1:20" x14ac:dyDescent="0.3">
      <c r="A20" s="18" t="s">
        <v>20</v>
      </c>
      <c r="B20" s="19"/>
      <c r="C20" s="20">
        <f>C19*$B$10</f>
        <v>7552010.5228071241</v>
      </c>
      <c r="D20" s="20">
        <f t="shared" ref="D20:G20" si="4">D19*$B$10</f>
        <v>8238556.9339714088</v>
      </c>
      <c r="E20" s="20">
        <f t="shared" si="4"/>
        <v>8787794.0629028361</v>
      </c>
      <c r="F20" s="20">
        <f t="shared" si="4"/>
        <v>8787794.0629028361</v>
      </c>
      <c r="G20" s="21">
        <f t="shared" si="4"/>
        <v>8787794.0629028361</v>
      </c>
      <c r="H20" s="14" t="str">
        <f t="shared" ca="1" si="3"/>
        <v>=G19*$B$10</v>
      </c>
      <c r="M20" s="2">
        <v>4</v>
      </c>
      <c r="N20" s="20">
        <f>N19-Q19</f>
        <v>44663016.589422151</v>
      </c>
      <c r="O20" s="20">
        <f>$O$17</f>
        <v>25045645.456683662</v>
      </c>
      <c r="P20" s="20">
        <f>IPMT($N$4,M20,$B$3,-$N$17)</f>
        <v>3573041.3271537735</v>
      </c>
      <c r="Q20" s="20">
        <f t="shared" si="1"/>
        <v>21472604.12952989</v>
      </c>
    </row>
    <row r="21" spans="1:20" x14ac:dyDescent="0.3">
      <c r="A21" s="18" t="s">
        <v>21</v>
      </c>
      <c r="B21" s="19"/>
      <c r="C21" s="20">
        <f>$B$11</f>
        <v>25000000</v>
      </c>
      <c r="D21" s="20">
        <f t="shared" ref="D21:G21" si="5">$B$11</f>
        <v>25000000</v>
      </c>
      <c r="E21" s="20">
        <f t="shared" si="5"/>
        <v>25000000</v>
      </c>
      <c r="F21" s="20">
        <f t="shared" si="5"/>
        <v>25000000</v>
      </c>
      <c r="G21" s="21">
        <f t="shared" si="5"/>
        <v>25000000</v>
      </c>
      <c r="H21" s="14" t="str">
        <f t="shared" ca="1" si="3"/>
        <v>=$B$11</v>
      </c>
      <c r="M21" s="2">
        <v>5</v>
      </c>
      <c r="N21" s="20">
        <f>N20-Q20</f>
        <v>23190412.459892262</v>
      </c>
      <c r="O21" s="20">
        <f>$O$17</f>
        <v>25045645.456683662</v>
      </c>
      <c r="P21" s="20">
        <f>IPMT($N$4,M21,$B$3,-$N$17)</f>
        <v>1855232.9967913821</v>
      </c>
      <c r="Q21" s="20">
        <f t="shared" si="1"/>
        <v>23190412.45989228</v>
      </c>
    </row>
    <row r="22" spans="1:2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  <c r="M22" s="2">
        <v>6</v>
      </c>
      <c r="N22" s="20">
        <f>N21-Q21</f>
        <v>0</v>
      </c>
      <c r="P22" s="45"/>
    </row>
    <row r="23" spans="1:20" x14ac:dyDescent="0.3">
      <c r="A23" s="18" t="s">
        <v>5</v>
      </c>
      <c r="B23" s="23"/>
      <c r="C23" s="20">
        <f>C19-SUM(C20:C22)</f>
        <v>5381410.5005855784</v>
      </c>
      <c r="D23" s="20">
        <f>D19-SUM(D20:D22)</f>
        <v>10416084.182457</v>
      </c>
      <c r="E23" s="20">
        <f>E19-SUM(E20:E22)</f>
        <v>14443823.127954125</v>
      </c>
      <c r="F23" s="20">
        <f>F19-SUM(F20:F22)</f>
        <v>14443823.127954125</v>
      </c>
      <c r="G23" s="21">
        <f>G19-SUM(G20:G22)</f>
        <v>14443823.127954125</v>
      </c>
      <c r="H23" s="14" t="str">
        <f ca="1">_xlfn.FORMULATEXT(G23)</f>
        <v>=G19-SUM(G20:G22)</v>
      </c>
    </row>
    <row r="24" spans="1:20" x14ac:dyDescent="0.3">
      <c r="A24" s="18" t="s">
        <v>6</v>
      </c>
      <c r="B24" s="23"/>
      <c r="C24" s="20">
        <f t="shared" ref="C24:G24" si="6">IF(C23&gt;0,C23*(1-$B$4),C23)</f>
        <v>3766987.3504099045</v>
      </c>
      <c r="D24" s="20">
        <f t="shared" si="6"/>
        <v>7291258.9277198995</v>
      </c>
      <c r="E24" s="20">
        <f t="shared" si="6"/>
        <v>10110676.189567886</v>
      </c>
      <c r="F24" s="20">
        <f t="shared" si="6"/>
        <v>10110676.189567886</v>
      </c>
      <c r="G24" s="21">
        <f t="shared" si="6"/>
        <v>10110676.189567886</v>
      </c>
      <c r="H24" s="14" t="str">
        <f ca="1">_xlfn.FORMULATEXT(G24)</f>
        <v>=IF(G23&gt;0,G23*(1-$B$4),G23)</v>
      </c>
    </row>
    <row r="25" spans="1:20" ht="15" thickBot="1" x14ac:dyDescent="0.35">
      <c r="A25" s="18"/>
      <c r="B25" s="18"/>
      <c r="C25" s="20"/>
      <c r="D25" s="20"/>
      <c r="E25" s="20"/>
      <c r="F25" s="20"/>
      <c r="G25" s="21"/>
    </row>
    <row r="26" spans="1:20" x14ac:dyDescent="0.3">
      <c r="A26" s="18" t="s">
        <v>7</v>
      </c>
      <c r="B26" s="22">
        <f t="shared" ref="B26:G26" si="7">B24+B22</f>
        <v>-125000000</v>
      </c>
      <c r="C26" s="20">
        <f t="shared" si="7"/>
        <v>28766987.350409903</v>
      </c>
      <c r="D26" s="20">
        <f t="shared" si="7"/>
        <v>32291258.927719899</v>
      </c>
      <c r="E26" s="20">
        <f t="shared" si="7"/>
        <v>35110676.189567886</v>
      </c>
      <c r="F26" s="20">
        <f t="shared" si="7"/>
        <v>35110676.189567886</v>
      </c>
      <c r="G26" s="20">
        <f t="shared" si="7"/>
        <v>35110676.189567886</v>
      </c>
      <c r="H26" s="39" t="s">
        <v>8</v>
      </c>
      <c r="I26" s="37">
        <f>IRR(B26:G26)</f>
        <v>0.10000000000000009</v>
      </c>
      <c r="J26" s="14" t="str">
        <f t="shared" ref="J26:J27" ca="1" si="8">_xlfn.FORMULATEXT(I26)</f>
        <v>=IRR(B26:G26)</v>
      </c>
    </row>
    <row r="27" spans="1:2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0</v>
      </c>
      <c r="J27" s="14" t="str">
        <f t="shared" ca="1" si="8"/>
        <v>=B26+NPV(B5,C26:G26)</v>
      </c>
    </row>
    <row r="30" spans="1:20" ht="15" thickBot="1" x14ac:dyDescent="0.35">
      <c r="B30" t="s">
        <v>35</v>
      </c>
      <c r="C30" s="5">
        <v>5</v>
      </c>
      <c r="E30" t="s">
        <v>39</v>
      </c>
      <c r="F30" s="48">
        <v>1</v>
      </c>
      <c r="M30" t="s">
        <v>44</v>
      </c>
    </row>
    <row r="31" spans="1:20" ht="30" thickBot="1" x14ac:dyDescent="0.4">
      <c r="A31" s="4" t="s">
        <v>33</v>
      </c>
      <c r="B31" s="31" t="s">
        <v>2</v>
      </c>
      <c r="C31" s="32"/>
      <c r="D31" s="32"/>
      <c r="E31" s="32"/>
      <c r="F31" s="32"/>
      <c r="G31" s="33"/>
      <c r="M31" s="44" t="s">
        <v>2</v>
      </c>
      <c r="N31" s="41" t="s">
        <v>24</v>
      </c>
      <c r="O31" s="42" t="s">
        <v>25</v>
      </c>
      <c r="P31" s="42" t="s">
        <v>26</v>
      </c>
      <c r="Q31" s="43" t="s">
        <v>27</v>
      </c>
    </row>
    <row r="32" spans="1:20" x14ac:dyDescent="0.3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  <c r="M32" s="2">
        <v>0</v>
      </c>
      <c r="N32" s="26">
        <f>N16*$C$30</f>
        <v>500000000</v>
      </c>
      <c r="O32" s="20"/>
      <c r="P32" s="20"/>
      <c r="Q32" s="20"/>
      <c r="R32" t="str">
        <f ca="1">_xlfn.FORMULATEXT(N32)</f>
        <v>=N16*$C$30</v>
      </c>
    </row>
    <row r="33" spans="1:20" x14ac:dyDescent="0.3">
      <c r="A33" s="10" t="s">
        <v>23</v>
      </c>
      <c r="B33" s="11"/>
      <c r="C33" s="12">
        <f>INT(C17*$F$30)</f>
        <v>55</v>
      </c>
      <c r="D33" s="12">
        <f t="shared" ref="D33:G33" si="9">INT(D17*$F$30)</f>
        <v>60</v>
      </c>
      <c r="E33" s="12">
        <f t="shared" si="9"/>
        <v>64</v>
      </c>
      <c r="F33" s="12">
        <f t="shared" si="9"/>
        <v>64</v>
      </c>
      <c r="G33" s="13">
        <f t="shared" si="9"/>
        <v>64</v>
      </c>
      <c r="H33" s="60" t="str">
        <f t="shared" ref="H33:H37" ca="1" si="10">_xlfn.FORMULATEXT(G33)</f>
        <v>=INT(G17*$F$30)</v>
      </c>
      <c r="M33" s="2">
        <v>1</v>
      </c>
      <c r="N33" s="26">
        <f t="shared" ref="N33:Q37" si="11">N17*$C$30</f>
        <v>500000000</v>
      </c>
      <c r="O33" s="26">
        <f t="shared" si="11"/>
        <v>125228227.28341831</v>
      </c>
      <c r="P33" s="26">
        <f t="shared" si="11"/>
        <v>40000000</v>
      </c>
      <c r="Q33" s="26">
        <f t="shared" si="11"/>
        <v>85228227.283418313</v>
      </c>
      <c r="R33" t="str">
        <f ca="1">_xlfn.FORMULATEXT(N33)</f>
        <v>=N17*$C$30</v>
      </c>
      <c r="S33" t="str">
        <f t="shared" ref="S33:T33" ca="1" si="12">_xlfn.FORMULATEXT(O33)</f>
        <v>=O17*$C$30</v>
      </c>
      <c r="T33" t="str">
        <f t="shared" ca="1" si="12"/>
        <v>=P17*$C$30</v>
      </c>
    </row>
    <row r="34" spans="1:20" x14ac:dyDescent="0.3">
      <c r="A34" s="15"/>
      <c r="B34" s="15"/>
      <c r="C34" s="16"/>
      <c r="D34" s="16"/>
      <c r="E34" s="16"/>
      <c r="F34" s="16"/>
      <c r="G34" s="17"/>
      <c r="M34" s="2">
        <v>2</v>
      </c>
      <c r="N34" s="26">
        <f t="shared" si="11"/>
        <v>414771772.7165817</v>
      </c>
      <c r="O34" s="26">
        <f t="shared" si="11"/>
        <v>125228227.28341831</v>
      </c>
      <c r="P34" s="26">
        <f t="shared" si="11"/>
        <v>33181741.817326538</v>
      </c>
      <c r="Q34" s="26">
        <f t="shared" si="11"/>
        <v>92046485.466091782</v>
      </c>
    </row>
    <row r="35" spans="1:20" x14ac:dyDescent="0.3">
      <c r="A35" s="18" t="s">
        <v>3</v>
      </c>
      <c r="B35" s="19"/>
      <c r="C35" s="20">
        <f>C33*$B$9*$C$30</f>
        <v>314667105.11696351</v>
      </c>
      <c r="D35" s="20">
        <f t="shared" ref="D35:G35" si="13">D33*$B$9*$C$30</f>
        <v>343273205.582142</v>
      </c>
      <c r="E35" s="20">
        <f t="shared" si="13"/>
        <v>366158085.95428479</v>
      </c>
      <c r="F35" s="20">
        <f t="shared" si="13"/>
        <v>366158085.95428479</v>
      </c>
      <c r="G35" s="21">
        <f t="shared" si="13"/>
        <v>366158085.95428479</v>
      </c>
      <c r="H35" s="14" t="str">
        <f t="shared" ca="1" si="10"/>
        <v>=G33*$B$9*$C$30</v>
      </c>
      <c r="M35" s="2">
        <v>3</v>
      </c>
      <c r="N35" s="26">
        <f t="shared" si="11"/>
        <v>322725287.25048989</v>
      </c>
      <c r="O35" s="26">
        <f t="shared" si="11"/>
        <v>125228227.28341831</v>
      </c>
      <c r="P35" s="26">
        <f t="shared" si="11"/>
        <v>25818022.980039194</v>
      </c>
      <c r="Q35" s="26">
        <f t="shared" si="11"/>
        <v>99410204.303379118</v>
      </c>
    </row>
    <row r="36" spans="1:20" x14ac:dyDescent="0.3">
      <c r="A36" s="18" t="s">
        <v>20</v>
      </c>
      <c r="B36" s="19"/>
      <c r="C36" s="20">
        <f>C35*$B$10</f>
        <v>37760052.614035621</v>
      </c>
      <c r="D36" s="20">
        <f t="shared" ref="D36:G36" si="14">D35*$B$10</f>
        <v>41192784.66985704</v>
      </c>
      <c r="E36" s="20">
        <f t="shared" si="14"/>
        <v>43938970.314514175</v>
      </c>
      <c r="F36" s="20">
        <f t="shared" si="14"/>
        <v>43938970.314514175</v>
      </c>
      <c r="G36" s="20">
        <f t="shared" si="14"/>
        <v>43938970.314514175</v>
      </c>
      <c r="H36" s="14" t="str">
        <f t="shared" ca="1" si="10"/>
        <v>=G35*$B$10</v>
      </c>
      <c r="M36" s="2">
        <v>4</v>
      </c>
      <c r="N36" s="26">
        <f t="shared" si="11"/>
        <v>223315082.94711077</v>
      </c>
      <c r="O36" s="26">
        <f t="shared" si="11"/>
        <v>125228227.28341831</v>
      </c>
      <c r="P36" s="26">
        <f t="shared" si="11"/>
        <v>17865206.635768868</v>
      </c>
      <c r="Q36" s="26">
        <f t="shared" si="11"/>
        <v>107363020.64764945</v>
      </c>
    </row>
    <row r="37" spans="1:20" x14ac:dyDescent="0.3">
      <c r="A37" s="18" t="s">
        <v>21</v>
      </c>
      <c r="B37" s="19"/>
      <c r="C37" s="20">
        <f>$B$11</f>
        <v>25000000</v>
      </c>
      <c r="D37" s="20">
        <f t="shared" ref="D37:G37" si="15">$B$11</f>
        <v>25000000</v>
      </c>
      <c r="E37" s="20">
        <f t="shared" si="15"/>
        <v>25000000</v>
      </c>
      <c r="F37" s="20">
        <f t="shared" si="15"/>
        <v>25000000</v>
      </c>
      <c r="G37" s="21">
        <f t="shared" si="15"/>
        <v>25000000</v>
      </c>
      <c r="H37" s="14" t="str">
        <f t="shared" ca="1" si="10"/>
        <v>=$B$11</v>
      </c>
      <c r="M37" s="2">
        <v>5</v>
      </c>
      <c r="N37" s="26">
        <f t="shared" si="11"/>
        <v>115952062.29946131</v>
      </c>
      <c r="O37" s="26">
        <f t="shared" si="11"/>
        <v>125228227.28341831</v>
      </c>
      <c r="P37" s="26">
        <f t="shared" si="11"/>
        <v>9276164.9839569107</v>
      </c>
      <c r="Q37" s="26">
        <f t="shared" si="11"/>
        <v>115952062.29946139</v>
      </c>
    </row>
    <row r="38" spans="1:20" x14ac:dyDescent="0.3">
      <c r="A38" s="27" t="s">
        <v>34</v>
      </c>
      <c r="B38" s="28">
        <f>-B7*N5*$C$30</f>
        <v>-125000000</v>
      </c>
      <c r="C38" s="29">
        <f>$O$17*$C$30</f>
        <v>125228227.28341831</v>
      </c>
      <c r="D38" s="29">
        <f t="shared" ref="D38:G38" si="16">$O$17*$C$30</f>
        <v>125228227.28341831</v>
      </c>
      <c r="E38" s="29">
        <f t="shared" si="16"/>
        <v>125228227.28341831</v>
      </c>
      <c r="F38" s="29">
        <f t="shared" si="16"/>
        <v>125228227.28341831</v>
      </c>
      <c r="G38" s="30">
        <f t="shared" si="16"/>
        <v>125228227.28341831</v>
      </c>
      <c r="H38" s="14" t="str">
        <f ca="1">_xlfn.FORMULATEXT(G38)</f>
        <v>=$O$17*$C$30</v>
      </c>
      <c r="M38" s="2">
        <v>6</v>
      </c>
      <c r="N38" s="26">
        <f>N22*$C$30</f>
        <v>0</v>
      </c>
      <c r="P38" s="45"/>
    </row>
    <row r="39" spans="1:20" x14ac:dyDescent="0.3">
      <c r="A39" s="18" t="s">
        <v>5</v>
      </c>
      <c r="B39" s="23"/>
      <c r="C39" s="20">
        <f>C35-SUM(C36:C38)</f>
        <v>126678825.21950957</v>
      </c>
      <c r="D39" s="20">
        <f>D35-SUM(D36:D38)</f>
        <v>151852193.62886664</v>
      </c>
      <c r="E39" s="20">
        <f>E35-SUM(E36:E38)</f>
        <v>171990888.3563523</v>
      </c>
      <c r="F39" s="20">
        <f>F35-SUM(F36:F38)</f>
        <v>171990888.3563523</v>
      </c>
      <c r="G39" s="21">
        <f>G35-SUM(G36:G38)</f>
        <v>171990888.3563523</v>
      </c>
      <c r="H39" s="14" t="str">
        <f ca="1">_xlfn.FORMULATEXT(G39)</f>
        <v>=G35-SUM(G36:G38)</v>
      </c>
    </row>
    <row r="40" spans="1:20" x14ac:dyDescent="0.3">
      <c r="A40" s="18" t="s">
        <v>6</v>
      </c>
      <c r="B40" s="23"/>
      <c r="C40" s="20">
        <f t="shared" ref="C40:G40" si="17">IF(C39&gt;0,C39*(1-$B$4),C39)</f>
        <v>88675177.653656691</v>
      </c>
      <c r="D40" s="20">
        <f t="shared" si="17"/>
        <v>106296535.54020664</v>
      </c>
      <c r="E40" s="20">
        <f t="shared" si="17"/>
        <v>120393621.84944659</v>
      </c>
      <c r="F40" s="20">
        <f t="shared" si="17"/>
        <v>120393621.84944659</v>
      </c>
      <c r="G40" s="21">
        <f t="shared" si="17"/>
        <v>120393621.84944659</v>
      </c>
      <c r="H40" s="14" t="str">
        <f ca="1">_xlfn.FORMULATEXT(G40)</f>
        <v>=IF(G39&gt;0,G39*(1-$B$4),G39)</v>
      </c>
    </row>
    <row r="41" spans="1:20" ht="15" thickBot="1" x14ac:dyDescent="0.35">
      <c r="A41" s="18"/>
      <c r="B41" s="18"/>
      <c r="C41" s="20"/>
      <c r="D41" s="20"/>
      <c r="E41" s="20"/>
      <c r="F41" s="20"/>
      <c r="G41" s="21"/>
    </row>
    <row r="42" spans="1:20" x14ac:dyDescent="0.3">
      <c r="A42" s="18" t="s">
        <v>7</v>
      </c>
      <c r="B42" s="22">
        <f>B40+B38</f>
        <v>-125000000</v>
      </c>
      <c r="C42" s="20">
        <f>C40</f>
        <v>88675177.653656691</v>
      </c>
      <c r="D42" s="20">
        <f t="shared" ref="D42:G42" si="18">D40</f>
        <v>106296535.54020664</v>
      </c>
      <c r="E42" s="20">
        <f t="shared" si="18"/>
        <v>120393621.84944659</v>
      </c>
      <c r="F42" s="20">
        <f t="shared" si="18"/>
        <v>120393621.84944659</v>
      </c>
      <c r="G42" s="20">
        <f t="shared" si="18"/>
        <v>120393621.84944659</v>
      </c>
      <c r="H42" s="39" t="s">
        <v>8</v>
      </c>
      <c r="I42" s="37">
        <f>IRR(B42:G42)</f>
        <v>0.76957266369498023</v>
      </c>
      <c r="J42" s="14" t="str">
        <f t="shared" ref="J42:J43" ca="1" si="19">_xlfn.FORMULATEXT(I42)</f>
        <v>=IRR(B42:G42)</v>
      </c>
    </row>
    <row r="43" spans="1:20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431152578.74220312</v>
      </c>
      <c r="J43" s="14" t="str">
        <f t="shared" ca="1" si="19"/>
        <v>=B42+NPV(B21,C42:G42)</v>
      </c>
    </row>
    <row r="45" spans="1:20" ht="15" thickBot="1" x14ac:dyDescent="0.35">
      <c r="C45" t="str">
        <f ca="1">_xlfn.FORMULATEXT(C46)</f>
        <v>=IF(C42&lt;0,0,1)</v>
      </c>
    </row>
    <row r="46" spans="1:20" ht="15" thickBot="1" x14ac:dyDescent="0.35">
      <c r="A46" s="55" t="s">
        <v>41</v>
      </c>
      <c r="B46" s="54"/>
      <c r="C46" s="54">
        <f>IF(C42&lt;0,0,1)</f>
        <v>1</v>
      </c>
      <c r="D46" s="54">
        <f>IF(D42&lt;0,0,1)</f>
        <v>1</v>
      </c>
      <c r="E46" s="54">
        <f>IF(E42&lt;0,0,1)</f>
        <v>1</v>
      </c>
      <c r="F46" s="54">
        <f>IF(F42&lt;0,0,1)</f>
        <v>1</v>
      </c>
      <c r="G46" s="54">
        <f>IF(G42&lt;0,0,1)</f>
        <v>1</v>
      </c>
      <c r="H46" s="52" t="s">
        <v>42</v>
      </c>
      <c r="I46" s="53">
        <f>SUM(C46:G46)</f>
        <v>5</v>
      </c>
      <c r="J46" s="50" t="str">
        <f ca="1">_xlfn.FORMULATEXT(I46)</f>
        <v>=SUM(C46:G46)</v>
      </c>
      <c r="K46" s="49"/>
      <c r="L46" s="51"/>
    </row>
    <row r="48" spans="1:20" ht="21" x14ac:dyDescent="0.4">
      <c r="A48" s="1" t="s">
        <v>37</v>
      </c>
      <c r="B48" t="s">
        <v>38</v>
      </c>
      <c r="N48" s="3" t="s">
        <v>73</v>
      </c>
    </row>
    <row r="49" spans="1:14" ht="21" x14ac:dyDescent="0.4">
      <c r="A49" s="1"/>
      <c r="B49" s="26"/>
      <c r="N49" s="3" t="s">
        <v>71</v>
      </c>
    </row>
    <row r="50" spans="1:14" ht="21" x14ac:dyDescent="0.4">
      <c r="N50" s="3" t="s">
        <v>72</v>
      </c>
    </row>
    <row r="51" spans="1:14" ht="21" x14ac:dyDescent="0.4">
      <c r="N51" s="3" t="s">
        <v>74</v>
      </c>
    </row>
    <row r="58" spans="1:14" x14ac:dyDescent="0.3">
      <c r="A58" s="1" t="s">
        <v>40</v>
      </c>
      <c r="B58" t="s">
        <v>63</v>
      </c>
    </row>
    <row r="59" spans="1:14" x14ac:dyDescent="0.3">
      <c r="A59" s="1"/>
      <c r="B59" s="56"/>
    </row>
    <row r="60" spans="1:14" x14ac:dyDescent="0.3">
      <c r="A60" s="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072C3-9684-435D-A770-8E79060CBEC0}">
  <dimension ref="F4"/>
  <sheetViews>
    <sheetView workbookViewId="0">
      <selection activeCell="F4" sqref="F4"/>
    </sheetView>
  </sheetViews>
  <sheetFormatPr defaultRowHeight="14.4" x14ac:dyDescent="0.3"/>
  <sheetData>
    <row r="4" spans="6:6" x14ac:dyDescent="0.3">
      <c r="F4" t="s">
        <v>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E185C-BDCD-48DC-8A3A-79103663B174}">
  <sheetPr>
    <pageSetUpPr fitToPage="1"/>
  </sheetPr>
  <dimension ref="A1:T60"/>
  <sheetViews>
    <sheetView topLeftCell="A32" zoomScale="70" zoomScaleNormal="70" workbookViewId="0">
      <selection activeCell="M71" sqref="M71"/>
    </sheetView>
  </sheetViews>
  <sheetFormatPr defaultRowHeight="14.4" x14ac:dyDescent="0.3"/>
  <cols>
    <col min="1" max="1" width="27.6640625" customWidth="1"/>
    <col min="2" max="2" width="20.6640625" customWidth="1"/>
    <col min="3" max="7" width="15.44140625" bestFit="1" customWidth="1"/>
    <col min="8" max="8" width="20.88671875" customWidth="1"/>
    <col min="9" max="9" width="20.109375" customWidth="1"/>
    <col min="13" max="13" width="16.5546875" customWidth="1"/>
    <col min="14" max="14" width="20.88671875" customWidth="1"/>
    <col min="15" max="15" width="16" customWidth="1"/>
    <col min="16" max="16" width="14.6640625" customWidth="1"/>
    <col min="17" max="18" width="18.33203125" customWidth="1"/>
    <col min="19" max="19" width="23.44140625" customWidth="1"/>
    <col min="20" max="20" width="28.88671875" customWidth="1"/>
  </cols>
  <sheetData>
    <row r="1" spans="1:18" ht="21" x14ac:dyDescent="0.4">
      <c r="A1" s="3" t="s">
        <v>14</v>
      </c>
    </row>
    <row r="2" spans="1:18" x14ac:dyDescent="0.3">
      <c r="A2" s="1" t="s">
        <v>29</v>
      </c>
      <c r="M2" s="1" t="s">
        <v>28</v>
      </c>
    </row>
    <row r="3" spans="1:18" x14ac:dyDescent="0.3">
      <c r="A3" t="s">
        <v>31</v>
      </c>
      <c r="B3" s="5">
        <v>5</v>
      </c>
    </row>
    <row r="4" spans="1:18" x14ac:dyDescent="0.3">
      <c r="A4" t="s">
        <v>0</v>
      </c>
      <c r="B4" s="6">
        <v>0.3</v>
      </c>
      <c r="M4" t="s">
        <v>30</v>
      </c>
      <c r="N4" s="6">
        <v>0.08</v>
      </c>
    </row>
    <row r="5" spans="1:18" x14ac:dyDescent="0.3">
      <c r="A5" t="s">
        <v>1</v>
      </c>
      <c r="B5" s="6">
        <v>0.1</v>
      </c>
      <c r="M5" t="s">
        <v>32</v>
      </c>
      <c r="N5" s="6">
        <v>0.2</v>
      </c>
    </row>
    <row r="7" spans="1:18" x14ac:dyDescent="0.3">
      <c r="A7" t="s">
        <v>19</v>
      </c>
      <c r="B7" s="8">
        <v>125000000</v>
      </c>
    </row>
    <row r="8" spans="1:18" x14ac:dyDescent="0.3">
      <c r="A8" t="s">
        <v>15</v>
      </c>
      <c r="B8" s="7">
        <v>64</v>
      </c>
    </row>
    <row r="9" spans="1:18" x14ac:dyDescent="0.3">
      <c r="A9" t="s">
        <v>16</v>
      </c>
      <c r="B9" s="8">
        <v>1200000</v>
      </c>
    </row>
    <row r="10" spans="1:18" x14ac:dyDescent="0.3">
      <c r="A10" t="s">
        <v>18</v>
      </c>
      <c r="B10" s="6">
        <v>0.12</v>
      </c>
    </row>
    <row r="11" spans="1:18" x14ac:dyDescent="0.3">
      <c r="A11" t="s">
        <v>17</v>
      </c>
      <c r="B11" s="8">
        <v>25000000</v>
      </c>
    </row>
    <row r="12" spans="1:18" x14ac:dyDescent="0.3">
      <c r="A12" s="46" t="s">
        <v>36</v>
      </c>
    </row>
    <row r="14" spans="1:18" ht="15" thickBot="1" x14ac:dyDescent="0.35">
      <c r="B14" s="9"/>
      <c r="C14" s="9"/>
      <c r="M14" t="s">
        <v>43</v>
      </c>
    </row>
    <row r="15" spans="1:18" ht="30" thickBot="1" x14ac:dyDescent="0.4">
      <c r="A15" s="4" t="s">
        <v>22</v>
      </c>
      <c r="B15" s="31" t="s">
        <v>2</v>
      </c>
      <c r="C15" s="32"/>
      <c r="D15" s="32"/>
      <c r="E15" s="32"/>
      <c r="F15" s="32"/>
      <c r="G15" s="33"/>
      <c r="M15" s="44" t="s">
        <v>2</v>
      </c>
      <c r="N15" s="41" t="s">
        <v>24</v>
      </c>
      <c r="O15" s="42" t="s">
        <v>25</v>
      </c>
      <c r="P15" s="42" t="s">
        <v>26</v>
      </c>
      <c r="Q15" s="43" t="s">
        <v>27</v>
      </c>
    </row>
    <row r="16" spans="1:18" x14ac:dyDescent="0.3">
      <c r="B16" s="34">
        <v>0</v>
      </c>
      <c r="C16" s="35">
        <v>1</v>
      </c>
      <c r="D16" s="35">
        <v>2</v>
      </c>
      <c r="E16" s="35">
        <v>3</v>
      </c>
      <c r="F16" s="35">
        <v>4</v>
      </c>
      <c r="G16" s="36">
        <v>5</v>
      </c>
      <c r="M16" s="2">
        <v>0</v>
      </c>
      <c r="N16" s="26">
        <f>B7-(B7*N5)</f>
        <v>100000000</v>
      </c>
      <c r="O16" s="20"/>
      <c r="P16" s="20"/>
      <c r="Q16" s="20"/>
      <c r="R16" t="str">
        <f ca="1">_xlfn.FORMULATEXT(N16)</f>
        <v>=B7-(B7*N5)</v>
      </c>
    </row>
    <row r="17" spans="1:20" x14ac:dyDescent="0.3">
      <c r="A17" s="10" t="s">
        <v>23</v>
      </c>
      <c r="B17" s="11"/>
      <c r="C17" s="12">
        <v>55</v>
      </c>
      <c r="D17" s="12">
        <v>60</v>
      </c>
      <c r="E17" s="12">
        <v>64</v>
      </c>
      <c r="F17" s="12">
        <v>64</v>
      </c>
      <c r="G17" s="13">
        <v>64</v>
      </c>
      <c r="H17" s="14"/>
      <c r="M17" s="2">
        <v>1</v>
      </c>
      <c r="N17" s="20">
        <f>N16</f>
        <v>100000000</v>
      </c>
      <c r="O17" s="20">
        <f>PMT(N4,B3,-N17)</f>
        <v>25045645.456683662</v>
      </c>
      <c r="P17" s="20">
        <f>IPMT($N$4,M17,$B$3,-$N$17)</f>
        <v>8000000</v>
      </c>
      <c r="Q17" s="20">
        <f>O17-P17</f>
        <v>17045645.456683662</v>
      </c>
      <c r="R17" t="str">
        <f ca="1">_xlfn.FORMULATEXT(N17)</f>
        <v>=N16</v>
      </c>
      <c r="S17" t="str">
        <f t="shared" ref="S17:T18" ca="1" si="0">_xlfn.FORMULATEXT(O17)</f>
        <v>=PMT(N4,B3,-N17)</v>
      </c>
      <c r="T17" t="str">
        <f t="shared" ca="1" si="0"/>
        <v>=IPMT($N$4,M17,$B$3,-$N$17)</v>
      </c>
    </row>
    <row r="18" spans="1:20" x14ac:dyDescent="0.3">
      <c r="A18" s="15"/>
      <c r="B18" s="15"/>
      <c r="C18" s="16"/>
      <c r="D18" s="16"/>
      <c r="E18" s="16"/>
      <c r="F18" s="16"/>
      <c r="G18" s="17"/>
      <c r="M18" s="2">
        <v>2</v>
      </c>
      <c r="N18" s="20">
        <f>N17-Q17</f>
        <v>82954354.543316334</v>
      </c>
      <c r="O18" s="20">
        <f>$O$17</f>
        <v>25045645.456683662</v>
      </c>
      <c r="P18" s="20">
        <f>IPMT($N$4,M18,$B$3,-$N$17)</f>
        <v>6636348.3634653073</v>
      </c>
      <c r="Q18" s="20">
        <f t="shared" ref="Q18:Q21" si="1">O18-P18</f>
        <v>18409297.093218356</v>
      </c>
      <c r="R18" t="str">
        <f ca="1">_xlfn.FORMULATEXT(N18)</f>
        <v>=N17-Q17</v>
      </c>
      <c r="S18" t="str">
        <f t="shared" ca="1" si="0"/>
        <v>=$O$17</v>
      </c>
    </row>
    <row r="19" spans="1:20" x14ac:dyDescent="0.3">
      <c r="A19" s="18" t="s">
        <v>3</v>
      </c>
      <c r="B19" s="19"/>
      <c r="C19" s="20">
        <f>C17*$B$9</f>
        <v>66000000</v>
      </c>
      <c r="D19" s="20">
        <f t="shared" ref="D19:G19" si="2">D17*$B$9</f>
        <v>72000000</v>
      </c>
      <c r="E19" s="20">
        <f t="shared" si="2"/>
        <v>76800000</v>
      </c>
      <c r="F19" s="20">
        <f t="shared" si="2"/>
        <v>76800000</v>
      </c>
      <c r="G19" s="21">
        <f t="shared" si="2"/>
        <v>76800000</v>
      </c>
      <c r="H19" s="14" t="str">
        <f t="shared" ref="H19:H21" ca="1" si="3">_xlfn.FORMULATEXT(G19)</f>
        <v>=G17*$B$9</v>
      </c>
      <c r="M19" s="2">
        <v>3</v>
      </c>
      <c r="N19" s="20">
        <f>N18-Q18</f>
        <v>64545057.450097978</v>
      </c>
      <c r="O19" s="20">
        <f>$O$17</f>
        <v>25045645.456683662</v>
      </c>
      <c r="P19" s="20">
        <f>IPMT($N$4,M19,$B$3,-$N$17)</f>
        <v>5163604.5960078388</v>
      </c>
      <c r="Q19" s="20">
        <f t="shared" si="1"/>
        <v>19882040.860675823</v>
      </c>
    </row>
    <row r="20" spans="1:20" x14ac:dyDescent="0.3">
      <c r="A20" s="18" t="s">
        <v>20</v>
      </c>
      <c r="B20" s="19"/>
      <c r="C20" s="20">
        <f>C19*$B$10</f>
        <v>7920000</v>
      </c>
      <c r="D20" s="20">
        <f t="shared" ref="D20:G20" si="4">D19*$B$10</f>
        <v>8640000</v>
      </c>
      <c r="E20" s="20">
        <f t="shared" si="4"/>
        <v>9216000</v>
      </c>
      <c r="F20" s="20">
        <f t="shared" si="4"/>
        <v>9216000</v>
      </c>
      <c r="G20" s="21">
        <f t="shared" si="4"/>
        <v>9216000</v>
      </c>
      <c r="H20" s="14" t="str">
        <f t="shared" ca="1" si="3"/>
        <v>=G19*$B$10</v>
      </c>
      <c r="M20" s="2">
        <v>4</v>
      </c>
      <c r="N20" s="20">
        <f>N19-Q19</f>
        <v>44663016.589422151</v>
      </c>
      <c r="O20" s="20">
        <f>$O$17</f>
        <v>25045645.456683662</v>
      </c>
      <c r="P20" s="20">
        <f>IPMT($N$4,M20,$B$3,-$N$17)</f>
        <v>3573041.3271537735</v>
      </c>
      <c r="Q20" s="20">
        <f t="shared" si="1"/>
        <v>21472604.12952989</v>
      </c>
    </row>
    <row r="21" spans="1:20" x14ac:dyDescent="0.3">
      <c r="A21" s="18" t="s">
        <v>21</v>
      </c>
      <c r="B21" s="19"/>
      <c r="C21" s="20">
        <f>$B$11</f>
        <v>25000000</v>
      </c>
      <c r="D21" s="20">
        <f t="shared" ref="D21:G21" si="5">$B$11</f>
        <v>25000000</v>
      </c>
      <c r="E21" s="20">
        <f t="shared" si="5"/>
        <v>25000000</v>
      </c>
      <c r="F21" s="20">
        <f t="shared" si="5"/>
        <v>25000000</v>
      </c>
      <c r="G21" s="21">
        <f t="shared" si="5"/>
        <v>25000000</v>
      </c>
      <c r="H21" s="14" t="str">
        <f t="shared" ca="1" si="3"/>
        <v>=$B$11</v>
      </c>
      <c r="M21" s="2">
        <v>5</v>
      </c>
      <c r="N21" s="20">
        <f>N20-Q20</f>
        <v>23190412.459892262</v>
      </c>
      <c r="O21" s="20">
        <f>$O$17</f>
        <v>25045645.456683662</v>
      </c>
      <c r="P21" s="20">
        <f>IPMT($N$4,M21,$B$3,-$N$17)</f>
        <v>1855232.9967913821</v>
      </c>
      <c r="Q21" s="20">
        <f t="shared" si="1"/>
        <v>23190412.45989228</v>
      </c>
    </row>
    <row r="22" spans="1:20" x14ac:dyDescent="0.3">
      <c r="A22" s="27" t="s">
        <v>4</v>
      </c>
      <c r="B22" s="28">
        <f>-B7</f>
        <v>-125000000</v>
      </c>
      <c r="C22" s="29">
        <f>$B$7/$B$3</f>
        <v>25000000</v>
      </c>
      <c r="D22" s="29">
        <f>$B$7/$B$3</f>
        <v>25000000</v>
      </c>
      <c r="E22" s="29">
        <f>$B$7/$B$3</f>
        <v>25000000</v>
      </c>
      <c r="F22" s="29">
        <f>$B$7/$B$3</f>
        <v>25000000</v>
      </c>
      <c r="G22" s="30">
        <f>$B$7/$B$3</f>
        <v>25000000</v>
      </c>
      <c r="H22" s="14" t="str">
        <f ca="1">_xlfn.FORMULATEXT(G22)</f>
        <v>=$B$7/$B$3</v>
      </c>
      <c r="M22" s="2">
        <v>6</v>
      </c>
      <c r="N22" s="20">
        <f>N21-Q21</f>
        <v>0</v>
      </c>
      <c r="P22" s="45"/>
    </row>
    <row r="23" spans="1:20" x14ac:dyDescent="0.3">
      <c r="A23" s="18" t="s">
        <v>5</v>
      </c>
      <c r="B23" s="23"/>
      <c r="C23" s="20">
        <f>C19-SUM(C20:C22)</f>
        <v>8080000</v>
      </c>
      <c r="D23" s="20">
        <f>D19-SUM(D20:D22)</f>
        <v>13360000</v>
      </c>
      <c r="E23" s="20">
        <f>E19-SUM(E20:E22)</f>
        <v>17584000</v>
      </c>
      <c r="F23" s="20">
        <f>F19-SUM(F20:F22)</f>
        <v>17584000</v>
      </c>
      <c r="G23" s="21">
        <f>G19-SUM(G20:G22)</f>
        <v>17584000</v>
      </c>
      <c r="H23" s="14" t="str">
        <f ca="1">_xlfn.FORMULATEXT(G23)</f>
        <v>=G19-SUM(G20:G22)</v>
      </c>
    </row>
    <row r="24" spans="1:20" x14ac:dyDescent="0.3">
      <c r="A24" s="18" t="s">
        <v>6</v>
      </c>
      <c r="B24" s="23"/>
      <c r="C24" s="20">
        <f t="shared" ref="C24:G24" si="6">IF(C23&gt;0,C23*(1-$B$4),C23)</f>
        <v>5656000</v>
      </c>
      <c r="D24" s="20">
        <f t="shared" si="6"/>
        <v>9352000</v>
      </c>
      <c r="E24" s="20">
        <f t="shared" si="6"/>
        <v>12308800</v>
      </c>
      <c r="F24" s="20">
        <f t="shared" si="6"/>
        <v>12308800</v>
      </c>
      <c r="G24" s="21">
        <f t="shared" si="6"/>
        <v>12308800</v>
      </c>
      <c r="H24" s="14" t="str">
        <f ca="1">_xlfn.FORMULATEXT(G24)</f>
        <v>=IF(G23&gt;0,G23*(1-$B$4),G23)</v>
      </c>
    </row>
    <row r="25" spans="1:20" ht="15" thickBot="1" x14ac:dyDescent="0.35">
      <c r="A25" s="18"/>
      <c r="B25" s="18"/>
      <c r="C25" s="20"/>
      <c r="D25" s="20"/>
      <c r="E25" s="20"/>
      <c r="F25" s="20"/>
      <c r="G25" s="21"/>
    </row>
    <row r="26" spans="1:20" x14ac:dyDescent="0.3">
      <c r="A26" s="18" t="s">
        <v>7</v>
      </c>
      <c r="B26" s="22">
        <f t="shared" ref="B26:G26" si="7">B24+B22</f>
        <v>-125000000</v>
      </c>
      <c r="C26" s="20">
        <f t="shared" si="7"/>
        <v>30656000</v>
      </c>
      <c r="D26" s="20">
        <f t="shared" si="7"/>
        <v>34352000</v>
      </c>
      <c r="E26" s="20">
        <f t="shared" si="7"/>
        <v>37308800</v>
      </c>
      <c r="F26" s="20">
        <f t="shared" si="7"/>
        <v>37308800</v>
      </c>
      <c r="G26" s="20">
        <f t="shared" si="7"/>
        <v>37308800</v>
      </c>
      <c r="H26" s="39" t="s">
        <v>8</v>
      </c>
      <c r="I26" s="37">
        <f>IRR(B26:G26)</f>
        <v>0.12371290447340888</v>
      </c>
      <c r="J26" s="14" t="str">
        <f t="shared" ref="J26:J27" ca="1" si="8">_xlfn.FORMULATEXT(I26)</f>
        <v>=IRR(B26:G26)</v>
      </c>
    </row>
    <row r="27" spans="1:20" ht="15" thickBot="1" x14ac:dyDescent="0.35">
      <c r="A27" s="24"/>
      <c r="B27" s="24"/>
      <c r="C27" s="25"/>
      <c r="D27" s="25"/>
      <c r="E27" s="25"/>
      <c r="F27" s="25"/>
      <c r="G27" s="25"/>
      <c r="H27" s="40" t="s">
        <v>9</v>
      </c>
      <c r="I27" s="38">
        <f>B26+NPV(B5,C26:G26)</f>
        <v>7938069.0588695258</v>
      </c>
      <c r="J27" s="14" t="str">
        <f t="shared" ca="1" si="8"/>
        <v>=B26+NPV(B5,C26:G26)</v>
      </c>
    </row>
    <row r="30" spans="1:20" ht="15" thickBot="1" x14ac:dyDescent="0.35">
      <c r="B30" t="s">
        <v>35</v>
      </c>
      <c r="C30" s="5">
        <v>5</v>
      </c>
      <c r="E30" t="s">
        <v>39</v>
      </c>
      <c r="F30" s="48">
        <v>1</v>
      </c>
      <c r="M30" t="s">
        <v>44</v>
      </c>
    </row>
    <row r="31" spans="1:20" ht="30" thickBot="1" x14ac:dyDescent="0.4">
      <c r="A31" s="4" t="s">
        <v>33</v>
      </c>
      <c r="B31" s="31" t="s">
        <v>2</v>
      </c>
      <c r="C31" s="32"/>
      <c r="D31" s="32"/>
      <c r="E31" s="32"/>
      <c r="F31" s="32"/>
      <c r="G31" s="33"/>
      <c r="M31" s="44" t="s">
        <v>2</v>
      </c>
      <c r="N31" s="41" t="s">
        <v>24</v>
      </c>
      <c r="O31" s="42" t="s">
        <v>25</v>
      </c>
      <c r="P31" s="42" t="s">
        <v>26</v>
      </c>
      <c r="Q31" s="43" t="s">
        <v>27</v>
      </c>
    </row>
    <row r="32" spans="1:20" x14ac:dyDescent="0.3">
      <c r="B32" s="34">
        <v>0</v>
      </c>
      <c r="C32" s="35">
        <v>1</v>
      </c>
      <c r="D32" s="35">
        <v>2</v>
      </c>
      <c r="E32" s="35">
        <v>3</v>
      </c>
      <c r="F32" s="35">
        <v>4</v>
      </c>
      <c r="G32" s="36">
        <v>5</v>
      </c>
      <c r="M32" s="2">
        <v>0</v>
      </c>
      <c r="N32" s="26">
        <f>N16*$C$30</f>
        <v>500000000</v>
      </c>
      <c r="O32" s="20"/>
      <c r="P32" s="20"/>
      <c r="Q32" s="20"/>
      <c r="R32" t="str">
        <f ca="1">_xlfn.FORMULATEXT(N32)</f>
        <v>=N16*$C$30</v>
      </c>
    </row>
    <row r="33" spans="1:20" x14ac:dyDescent="0.3">
      <c r="A33" s="10" t="s">
        <v>23</v>
      </c>
      <c r="B33" s="11"/>
      <c r="C33" s="12">
        <f>INT(C17*$F$30)</f>
        <v>55</v>
      </c>
      <c r="D33" s="12">
        <f t="shared" ref="D33:G33" si="9">INT(D17*$F$30)</f>
        <v>60</v>
      </c>
      <c r="E33" s="12">
        <f t="shared" si="9"/>
        <v>64</v>
      </c>
      <c r="F33" s="12">
        <f t="shared" si="9"/>
        <v>64</v>
      </c>
      <c r="G33" s="13">
        <f t="shared" si="9"/>
        <v>64</v>
      </c>
      <c r="H33" s="14" t="str">
        <f t="shared" ref="H33:H37" ca="1" si="10">_xlfn.FORMULATEXT(G33)</f>
        <v>=INT(G17*$F$30)</v>
      </c>
      <c r="M33" s="2">
        <v>1</v>
      </c>
      <c r="N33" s="26">
        <f t="shared" ref="N33:Q33" si="11">N17*$C$30</f>
        <v>500000000</v>
      </c>
      <c r="O33" s="26">
        <f t="shared" si="11"/>
        <v>125228227.28341831</v>
      </c>
      <c r="P33" s="26">
        <f t="shared" si="11"/>
        <v>40000000</v>
      </c>
      <c r="Q33" s="26">
        <f t="shared" si="11"/>
        <v>85228227.283418313</v>
      </c>
      <c r="R33" t="str">
        <f ca="1">_xlfn.FORMULATEXT(N33)</f>
        <v>=N17*$C$30</v>
      </c>
      <c r="S33" t="str">
        <f t="shared" ref="S33:T33" ca="1" si="12">_xlfn.FORMULATEXT(O33)</f>
        <v>=O17*$C$30</v>
      </c>
      <c r="T33" t="str">
        <f t="shared" ca="1" si="12"/>
        <v>=P17*$C$30</v>
      </c>
    </row>
    <row r="34" spans="1:20" x14ac:dyDescent="0.3">
      <c r="A34" s="15"/>
      <c r="B34" s="15"/>
      <c r="C34" s="16"/>
      <c r="D34" s="16"/>
      <c r="E34" s="16"/>
      <c r="F34" s="16"/>
      <c r="G34" s="17"/>
      <c r="M34" s="2">
        <v>2</v>
      </c>
      <c r="N34" s="26">
        <f t="shared" ref="N34:Q34" si="13">N18*$C$30</f>
        <v>414771772.7165817</v>
      </c>
      <c r="O34" s="26">
        <f t="shared" si="13"/>
        <v>125228227.28341831</v>
      </c>
      <c r="P34" s="26">
        <f t="shared" si="13"/>
        <v>33181741.817326538</v>
      </c>
      <c r="Q34" s="26">
        <f t="shared" si="13"/>
        <v>92046485.466091782</v>
      </c>
    </row>
    <row r="35" spans="1:20" x14ac:dyDescent="0.3">
      <c r="A35" s="18" t="s">
        <v>3</v>
      </c>
      <c r="B35" s="19"/>
      <c r="C35" s="20">
        <f>C33*$B$9*$C$30</f>
        <v>330000000</v>
      </c>
      <c r="D35" s="20">
        <f t="shared" ref="D35:G35" si="14">D33*$B$9*$C$30</f>
        <v>360000000</v>
      </c>
      <c r="E35" s="20">
        <f t="shared" si="14"/>
        <v>384000000</v>
      </c>
      <c r="F35" s="20">
        <f t="shared" si="14"/>
        <v>384000000</v>
      </c>
      <c r="G35" s="21">
        <f t="shared" si="14"/>
        <v>384000000</v>
      </c>
      <c r="H35" s="14" t="str">
        <f t="shared" ca="1" si="10"/>
        <v>=G33*$B$9*$C$30</v>
      </c>
      <c r="M35" s="2">
        <v>3</v>
      </c>
      <c r="N35" s="26">
        <f t="shared" ref="N35:Q35" si="15">N19*$C$30</f>
        <v>322725287.25048989</v>
      </c>
      <c r="O35" s="26">
        <f t="shared" si="15"/>
        <v>125228227.28341831</v>
      </c>
      <c r="P35" s="26">
        <f t="shared" si="15"/>
        <v>25818022.980039194</v>
      </c>
      <c r="Q35" s="26">
        <f t="shared" si="15"/>
        <v>99410204.303379118</v>
      </c>
    </row>
    <row r="36" spans="1:20" x14ac:dyDescent="0.3">
      <c r="A36" s="18" t="s">
        <v>20</v>
      </c>
      <c r="B36" s="19"/>
      <c r="C36" s="20">
        <f>C35*$B$10</f>
        <v>39600000</v>
      </c>
      <c r="D36" s="20">
        <f t="shared" ref="D36:G36" si="16">D35*$B$10</f>
        <v>43200000</v>
      </c>
      <c r="E36" s="20">
        <f t="shared" si="16"/>
        <v>46080000</v>
      </c>
      <c r="F36" s="20">
        <f t="shared" si="16"/>
        <v>46080000</v>
      </c>
      <c r="G36" s="20">
        <f t="shared" si="16"/>
        <v>46080000</v>
      </c>
      <c r="H36" s="14" t="str">
        <f t="shared" ca="1" si="10"/>
        <v>=G35*$B$10</v>
      </c>
      <c r="M36" s="2">
        <v>4</v>
      </c>
      <c r="N36" s="26">
        <f t="shared" ref="N36:Q36" si="17">N20*$C$30</f>
        <v>223315082.94711077</v>
      </c>
      <c r="O36" s="26">
        <f t="shared" si="17"/>
        <v>125228227.28341831</v>
      </c>
      <c r="P36" s="26">
        <f t="shared" si="17"/>
        <v>17865206.635768868</v>
      </c>
      <c r="Q36" s="26">
        <f t="shared" si="17"/>
        <v>107363020.64764945</v>
      </c>
    </row>
    <row r="37" spans="1:20" x14ac:dyDescent="0.3">
      <c r="A37" s="18" t="s">
        <v>21</v>
      </c>
      <c r="B37" s="19"/>
      <c r="C37" s="20">
        <f>$B$11</f>
        <v>25000000</v>
      </c>
      <c r="D37" s="20">
        <f t="shared" ref="D37:G37" si="18">$B$11</f>
        <v>25000000</v>
      </c>
      <c r="E37" s="20">
        <f t="shared" si="18"/>
        <v>25000000</v>
      </c>
      <c r="F37" s="20">
        <f t="shared" si="18"/>
        <v>25000000</v>
      </c>
      <c r="G37" s="21">
        <f t="shared" si="18"/>
        <v>25000000</v>
      </c>
      <c r="H37" s="14" t="str">
        <f t="shared" ca="1" si="10"/>
        <v>=$B$11</v>
      </c>
      <c r="M37" s="2">
        <v>5</v>
      </c>
      <c r="N37" s="26">
        <f t="shared" ref="N37:Q37" si="19">N21*$C$30</f>
        <v>115952062.29946131</v>
      </c>
      <c r="O37" s="26">
        <f t="shared" si="19"/>
        <v>125228227.28341831</v>
      </c>
      <c r="P37" s="26">
        <f t="shared" si="19"/>
        <v>9276164.9839569107</v>
      </c>
      <c r="Q37" s="26">
        <f t="shared" si="19"/>
        <v>115952062.29946139</v>
      </c>
    </row>
    <row r="38" spans="1:20" x14ac:dyDescent="0.3">
      <c r="A38" s="27" t="s">
        <v>34</v>
      </c>
      <c r="B38" s="28">
        <f>-B7*N5*$C$30</f>
        <v>-125000000</v>
      </c>
      <c r="C38" s="29">
        <f>$O$17*$C$30</f>
        <v>125228227.28341831</v>
      </c>
      <c r="D38" s="29">
        <f t="shared" ref="D38:G38" si="20">$O$17*$C$30</f>
        <v>125228227.28341831</v>
      </c>
      <c r="E38" s="29">
        <f t="shared" si="20"/>
        <v>125228227.28341831</v>
      </c>
      <c r="F38" s="29">
        <f t="shared" si="20"/>
        <v>125228227.28341831</v>
      </c>
      <c r="G38" s="30">
        <f t="shared" si="20"/>
        <v>125228227.28341831</v>
      </c>
      <c r="H38" s="14" t="str">
        <f ca="1">_xlfn.FORMULATEXT(G38)</f>
        <v>=$O$17*$C$30</v>
      </c>
      <c r="M38" s="2">
        <v>6</v>
      </c>
      <c r="N38" s="26">
        <f>N22*$C$30</f>
        <v>0</v>
      </c>
      <c r="P38" s="45"/>
    </row>
    <row r="39" spans="1:20" x14ac:dyDescent="0.3">
      <c r="A39" s="18" t="s">
        <v>5</v>
      </c>
      <c r="B39" s="23"/>
      <c r="C39" s="20">
        <f>C35-SUM(C36:C38)</f>
        <v>140171772.7165817</v>
      </c>
      <c r="D39" s="20">
        <f>D35-SUM(D36:D38)</f>
        <v>166571772.7165817</v>
      </c>
      <c r="E39" s="20">
        <f>E35-SUM(E36:E38)</f>
        <v>187691772.7165817</v>
      </c>
      <c r="F39" s="20">
        <f>F35-SUM(F36:F38)</f>
        <v>187691772.7165817</v>
      </c>
      <c r="G39" s="21">
        <f>G35-SUM(G36:G38)</f>
        <v>187691772.7165817</v>
      </c>
      <c r="H39" s="14" t="str">
        <f ca="1">_xlfn.FORMULATEXT(G39)</f>
        <v>=G35-SUM(G36:G38)</v>
      </c>
    </row>
    <row r="40" spans="1:20" x14ac:dyDescent="0.3">
      <c r="A40" s="18" t="s">
        <v>6</v>
      </c>
      <c r="B40" s="23"/>
      <c r="C40" s="20">
        <f t="shared" ref="C40:G40" si="21">IF(C39&gt;0,C39*(1-$B$4),C39)</f>
        <v>98120240.901607186</v>
      </c>
      <c r="D40" s="20">
        <f t="shared" si="21"/>
        <v>116600240.90160719</v>
      </c>
      <c r="E40" s="20">
        <f t="shared" si="21"/>
        <v>131384240.90160719</v>
      </c>
      <c r="F40" s="20">
        <f t="shared" si="21"/>
        <v>131384240.90160719</v>
      </c>
      <c r="G40" s="21">
        <f t="shared" si="21"/>
        <v>131384240.90160719</v>
      </c>
      <c r="H40" s="14" t="str">
        <f ca="1">_xlfn.FORMULATEXT(G40)</f>
        <v>=IF(G39&gt;0,G39*(1-$B$4),G39)</v>
      </c>
    </row>
    <row r="41" spans="1:20" ht="15" thickBot="1" x14ac:dyDescent="0.35">
      <c r="A41" s="18"/>
      <c r="B41" s="18"/>
      <c r="C41" s="20"/>
      <c r="D41" s="20"/>
      <c r="E41" s="20"/>
      <c r="F41" s="20"/>
      <c r="G41" s="21"/>
    </row>
    <row r="42" spans="1:20" x14ac:dyDescent="0.3">
      <c r="A42" s="18" t="s">
        <v>7</v>
      </c>
      <c r="B42" s="22">
        <f>B40+B38</f>
        <v>-125000000</v>
      </c>
      <c r="C42" s="20">
        <f>C40</f>
        <v>98120240.901607186</v>
      </c>
      <c r="D42" s="20">
        <f t="shared" ref="D42:G42" si="22">D40</f>
        <v>116600240.90160719</v>
      </c>
      <c r="E42" s="20">
        <f t="shared" si="22"/>
        <v>131384240.90160719</v>
      </c>
      <c r="F42" s="20">
        <f t="shared" si="22"/>
        <v>131384240.90160719</v>
      </c>
      <c r="G42" s="20">
        <f t="shared" si="22"/>
        <v>131384240.90160719</v>
      </c>
      <c r="H42" s="39" t="s">
        <v>8</v>
      </c>
      <c r="I42" s="37">
        <f>IRR(B42:G42)</f>
        <v>0.85097824768797259</v>
      </c>
      <c r="J42" s="14" t="str">
        <f t="shared" ref="J42:J43" ca="1" si="23">_xlfn.FORMULATEXT(I42)</f>
        <v>=IRR(B42:G42)</v>
      </c>
    </row>
    <row r="43" spans="1:20" ht="15" thickBot="1" x14ac:dyDescent="0.35">
      <c r="A43" s="24"/>
      <c r="B43" s="24"/>
      <c r="C43" s="25"/>
      <c r="D43" s="25"/>
      <c r="E43" s="25"/>
      <c r="F43" s="25"/>
      <c r="G43" s="25"/>
      <c r="H43" s="40" t="s">
        <v>9</v>
      </c>
      <c r="I43" s="38">
        <f>B42+NPV(B21,C42:G42)</f>
        <v>483873204.5080359</v>
      </c>
      <c r="J43" s="14" t="str">
        <f t="shared" ca="1" si="23"/>
        <v>=B42+NPV(B21,C42:G42)</v>
      </c>
    </row>
    <row r="45" spans="1:20" ht="15" thickBot="1" x14ac:dyDescent="0.35">
      <c r="C45" t="str">
        <f ca="1">_xlfn.FORMULATEXT(C46)</f>
        <v>=IF(C42&lt;0,0,1)</v>
      </c>
    </row>
    <row r="46" spans="1:20" ht="15" thickBot="1" x14ac:dyDescent="0.35">
      <c r="A46" s="55" t="s">
        <v>41</v>
      </c>
      <c r="B46" s="54"/>
      <c r="C46" s="54">
        <f>IF(C42&lt;0,0,1)</f>
        <v>1</v>
      </c>
      <c r="D46" s="54">
        <f>IF(D42&lt;0,0,1)</f>
        <v>1</v>
      </c>
      <c r="E46" s="54">
        <f>IF(E42&lt;0,0,1)</f>
        <v>1</v>
      </c>
      <c r="F46" s="54">
        <f>IF(F42&lt;0,0,1)</f>
        <v>1</v>
      </c>
      <c r="G46" s="54">
        <f>IF(G42&lt;0,0,1)</f>
        <v>1</v>
      </c>
      <c r="H46" s="52" t="s">
        <v>42</v>
      </c>
      <c r="I46" s="53">
        <f>SUM(C46:G46)</f>
        <v>5</v>
      </c>
      <c r="J46" s="50" t="str">
        <f ca="1">_xlfn.FORMULATEXT(I46)</f>
        <v>=SUM(C46:G46)</v>
      </c>
      <c r="K46" s="49"/>
      <c r="L46" s="51"/>
    </row>
    <row r="48" spans="1:20" x14ac:dyDescent="0.3">
      <c r="A48" s="1" t="s">
        <v>37</v>
      </c>
      <c r="B48" t="s">
        <v>38</v>
      </c>
    </row>
    <row r="49" spans="1:2" x14ac:dyDescent="0.3">
      <c r="A49" s="1"/>
      <c r="B49" s="26">
        <v>585600</v>
      </c>
    </row>
    <row r="58" spans="1:2" x14ac:dyDescent="0.3">
      <c r="A58" s="1" t="s">
        <v>40</v>
      </c>
      <c r="B58" t="s">
        <v>63</v>
      </c>
    </row>
    <row r="59" spans="1:2" x14ac:dyDescent="0.3">
      <c r="A59" s="1"/>
      <c r="B59" s="56">
        <v>0.49</v>
      </c>
    </row>
    <row r="60" spans="1:2" x14ac:dyDescent="0.3">
      <c r="A60" s="1"/>
    </row>
  </sheetData>
  <pageMargins left="0.7" right="0.7" top="0.75" bottom="0.75" header="0.3" footer="0.3"/>
  <pageSetup scale="35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Phoenix Build</vt:lpstr>
      <vt:lpstr>Phoenix Build Solution</vt:lpstr>
      <vt:lpstr>Phoenix Lease1</vt:lpstr>
      <vt:lpstr>Phoenix Lease1 Solution</vt:lpstr>
      <vt:lpstr>Phoenix LeaseX</vt:lpstr>
      <vt:lpstr>Phoenix LeaseX Solution</vt:lpstr>
      <vt:lpstr>Phoenix Risk</vt:lpstr>
      <vt:lpstr>Sheet1</vt:lpstr>
      <vt:lpstr>Phoenix Risk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Bargeron, Leonce</dc:creator>
  <cp:lastModifiedBy>Franco Ventura</cp:lastModifiedBy>
  <cp:lastPrinted>2023-04-05T14:07:58Z</cp:lastPrinted>
  <dcterms:created xsi:type="dcterms:W3CDTF">2019-09-27T19:21:46Z</dcterms:created>
  <dcterms:modified xsi:type="dcterms:W3CDTF">2023-04-06T15:39:58Z</dcterms:modified>
</cp:coreProperties>
</file>