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Block\cb_moneybot\"/>
    </mc:Choice>
  </mc:AlternateContent>
  <xr:revisionPtr revIDLastSave="0" documentId="13_ncr:1_{1721A18D-FCC6-4BF3-88FA-F3F58FBA12BE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Статистика" sheetId="1" r:id="rId1"/>
    <sheet name="новая сводка" sheetId="2" r:id="rId2"/>
    <sheet name="настройки" sheetId="3" r:id="rId3"/>
    <sheet name="инф за лето 2022" sheetId="4" state="hidden" r:id="rId4"/>
  </sheets>
  <calcPr calcId="191029"/>
</workbook>
</file>

<file path=xl/calcChain.xml><?xml version="1.0" encoding="utf-8"?>
<calcChain xmlns="http://schemas.openxmlformats.org/spreadsheetml/2006/main">
  <c r="B7" i="4" l="1"/>
  <c r="C7" i="4" s="1"/>
  <c r="B6" i="4"/>
  <c r="C6" i="4" s="1"/>
  <c r="B5" i="4"/>
  <c r="C5" i="4" s="1"/>
  <c r="P4" i="4"/>
  <c r="O4" i="4"/>
  <c r="N4" i="4"/>
  <c r="M4" i="4"/>
  <c r="L4" i="4"/>
  <c r="K4" i="4"/>
  <c r="J4" i="4"/>
  <c r="I4" i="4"/>
  <c r="C4" i="4"/>
  <c r="P3" i="4"/>
  <c r="O3" i="4"/>
  <c r="N3" i="4"/>
  <c r="M3" i="4"/>
  <c r="L3" i="4"/>
  <c r="K3" i="4"/>
  <c r="J3" i="4"/>
  <c r="I3" i="4"/>
  <c r="C3" i="4"/>
  <c r="C2" i="4"/>
  <c r="P1" i="4"/>
  <c r="O1" i="4"/>
  <c r="N1" i="4"/>
  <c r="M1" i="4"/>
  <c r="L1" i="4"/>
  <c r="K1" i="4"/>
  <c r="J1" i="4"/>
  <c r="I1" i="4"/>
  <c r="F9" i="3"/>
  <c r="G5" i="3"/>
  <c r="G4" i="3"/>
  <c r="G3" i="3"/>
  <c r="B2" i="3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R4" i="2"/>
  <c r="Q4" i="2"/>
  <c r="P4" i="2"/>
  <c r="O4" i="2"/>
  <c r="N4" i="2"/>
  <c r="M4" i="2"/>
  <c r="L4" i="2"/>
  <c r="K4" i="2"/>
  <c r="R3" i="2"/>
  <c r="Q3" i="2"/>
  <c r="P3" i="2"/>
  <c r="O3" i="2"/>
  <c r="N3" i="2"/>
  <c r="M3" i="2"/>
  <c r="L3" i="2"/>
  <c r="K3" i="2"/>
  <c r="F2" i="2"/>
  <c r="E2" i="2"/>
  <c r="R1" i="2"/>
  <c r="Q1" i="2"/>
  <c r="P1" i="2"/>
  <c r="O1" i="2"/>
  <c r="N1" i="2"/>
  <c r="M1" i="2"/>
  <c r="L1" i="2"/>
  <c r="K1" i="2"/>
  <c r="F8" i="3" l="1"/>
  <c r="G2" i="3"/>
  <c r="B3" i="3"/>
  <c r="F10" i="3" l="1"/>
  <c r="Q6" i="1" s="1"/>
  <c r="F6" i="3"/>
  <c r="F5" i="3"/>
  <c r="F4" i="3"/>
  <c r="I3" i="3"/>
  <c r="J3" i="3" s="1"/>
  <c r="F3" i="3"/>
  <c r="F2" i="3"/>
</calcChain>
</file>

<file path=xl/sharedStrings.xml><?xml version="1.0" encoding="utf-8"?>
<sst xmlns="http://schemas.openxmlformats.org/spreadsheetml/2006/main" count="39" uniqueCount="33">
  <si>
    <t>Осталось выходов на работу</t>
  </si>
  <si>
    <t>Дата</t>
  </si>
  <si>
    <t>Выручка</t>
  </si>
  <si>
    <t>Кол-во зак.</t>
  </si>
  <si>
    <t>Время</t>
  </si>
  <si>
    <t>Маме</t>
  </si>
  <si>
    <t>На счет</t>
  </si>
  <si>
    <t>Тип</t>
  </si>
  <si>
    <t>Доставка</t>
  </si>
  <si>
    <t>Монтаж</t>
  </si>
  <si>
    <t xml:space="preserve"> </t>
  </si>
  <si>
    <t>Цель</t>
  </si>
  <si>
    <t>Собранно</t>
  </si>
  <si>
    <t>Осталось</t>
  </si>
  <si>
    <t xml:space="preserve">Осталось </t>
  </si>
  <si>
    <t>Проц на остаток</t>
  </si>
  <si>
    <t>Фото</t>
  </si>
  <si>
    <t>Макдональдс</t>
  </si>
  <si>
    <t>Откладываем %</t>
  </si>
  <si>
    <t>Нач. капитал</t>
  </si>
  <si>
    <t>Маме %</t>
  </si>
  <si>
    <t>Средний день</t>
  </si>
  <si>
    <t>Ср. заказ</t>
  </si>
  <si>
    <t>Осталось дней</t>
  </si>
  <si>
    <t>Name                      №</t>
  </si>
  <si>
    <t>Оставил себе</t>
  </si>
  <si>
    <t>Штраф</t>
  </si>
  <si>
    <t>1 день</t>
  </si>
  <si>
    <t>2 день</t>
  </si>
  <si>
    <t>3 день</t>
  </si>
  <si>
    <t>4 день</t>
  </si>
  <si>
    <t>5 день</t>
  </si>
  <si>
    <t>6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</si>
</sst>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9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left" vertical="top"/>
    </xf>
    <xf numFmtId="2" fontId="1" fillId="0" borderId="0" xfId="1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9" fontId="4" fillId="0" borderId="0" xfId="0" applyNumberFormat="1" applyFont="1" applyAlignment="1">
      <alignment horizontal="left" vertical="top"/>
    </xf>
    <xf numFmtId="9" fontId="0" fillId="0" borderId="0" xfId="2" applyFont="1"/>
    <xf numFmtId="167" fontId="0" fillId="0" borderId="0" xfId="2" applyNumberFormat="1" applyFont="1"/>
    <xf numFmtId="1" fontId="0" fillId="0" borderId="0" xfId="0" applyNumberFormat="1"/>
    <xf numFmtId="2" fontId="3" fillId="0" borderId="0" xfId="0" applyNumberFormat="1" applyFont="1" applyAlignment="1">
      <alignment horizontal="left" vertical="top"/>
    </xf>
    <xf numFmtId="0" fontId="4" fillId="0" borderId="0" xfId="0" applyFont="1"/>
    <xf numFmtId="169" fontId="5" fillId="0" borderId="0" xfId="0" applyNumberFormat="1" applyFont="1" applyAlignment="1">
      <alignment horizontal="left" vertical="top"/>
    </xf>
    <xf numFmtId="2" fontId="1" fillId="0" borderId="0" xfId="1" applyNumberFormat="1" applyFill="1" applyAlignment="1">
      <alignment horizontal="left" vertical="top"/>
    </xf>
    <xf numFmtId="165" fontId="1" fillId="0" borderId="0" xfId="1" applyNumberForma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</cellXfs>
  <cellStyles count="3">
    <cellStyle name="20% — акцент4" xfId="1" builtinId="42"/>
    <cellStyle name="Обычный" xfId="0" builtinId="0"/>
    <cellStyle name="Процентный" xfId="2" builtinId="5"/>
  </cellStyles>
  <dxfs count="17">
    <dxf>
      <font>
        <b/>
      </font>
      <numFmt numFmtId="0" formatCode="General"/>
      <alignment horizontal="left" vertical="top"/>
    </dxf>
    <dxf>
      <alignment horizontal="left" vertical="top"/>
    </dxf>
    <dxf>
      <font>
        <b/>
      </font>
      <numFmt numFmtId="0" formatCode="General"/>
      <alignment horizontal="left" vertical="top"/>
    </dxf>
    <dxf>
      <numFmt numFmtId="165" formatCode="[$-F400]h:mm:ss\ AM/PM"/>
      <alignment horizontal="left" vertical="top"/>
    </dxf>
    <dxf>
      <font>
        <b/>
      </font>
      <alignment horizontal="left" vertical="top"/>
    </dxf>
    <dxf>
      <alignment horizontal="left" vertical="top"/>
    </dxf>
    <dxf>
      <font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alignment horizontal="left" vertical="top"/>
    </dxf>
    <dxf>
      <numFmt numFmtId="0" formatCode="General"/>
      <alignment horizontal="left" vertical="top"/>
    </dxf>
    <dxf>
      <alignment horizontal="left" vertical="top"/>
    </dxf>
    <dxf>
      <alignment horizontal="left" vertical="top"/>
    </dxf>
    <dxf>
      <font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  <dxf>
      <alignment horizontal="left" vertical="top"/>
    </dxf>
    <dxf>
      <font>
        <b/>
        <i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doughnut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D8A-4C29-93B5-1F2A10C123E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D8A-4C29-93B5-1F2A10C123E8}"/>
              </c:ext>
            </c:extLst>
          </c:dPt>
          <c:cat>
            <c:strRef>
              <c:f>настройки!$I$2:$J$2</c:f>
              <c:strCache>
                <c:ptCount val="2"/>
                <c:pt idx="0">
                  <c:v>Собранно</c:v>
                </c:pt>
                <c:pt idx="1">
                  <c:v>Осталось</c:v>
                </c:pt>
              </c:strCache>
            </c:strRef>
          </c:cat>
          <c:val>
            <c:numRef>
              <c:f>настройки!$I$3:$J$3</c:f>
              <c:numCache>
                <c:formatCode>0%</c:formatCode>
                <c:ptCount val="2"/>
                <c:pt idx="0">
                  <c:v>0.35365154999999998</c:v>
                </c:pt>
                <c:pt idx="1">
                  <c:v>0.64634845000000007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A-4C29-93B5-1F2A10C1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доходов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55-4856-81B4-BAA4E9B34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55-4856-81B4-BAA4E9B34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55-4856-81B4-BAA4E9B34E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A55-4856-81B4-BAA4E9B34E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A55-4856-81B4-BAA4E9B34E17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настройки!$F$2:$F$6</c:f>
              <c:numCache>
                <c:formatCode>0%</c:formatCode>
                <c:ptCount val="5"/>
                <c:pt idx="0">
                  <c:v>9.5154538415001988E-2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0.90484546158499801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5-4856-81B4-BAA4E9B34E17}"/>
            </c:ext>
          </c:extLst>
        </c:ser>
        <c:ser>
          <c:idx val="1"/>
          <c:order val="1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A55-4856-81B4-BAA4E9B34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A55-4856-81B4-BAA4E9B34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A55-4856-81B4-BAA4E9B34E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A55-4856-81B4-BAA4E9B34E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A55-4856-81B4-BAA4E9B34E17}"/>
              </c:ext>
            </c:extLst>
          </c:dPt>
          <c:cat>
            <c:strRef>
              <c:f>настройки!$E$2:$E$6</c:f>
              <c:strCache>
                <c:ptCount val="5"/>
                <c:pt idx="0">
                  <c:v>Доставка</c:v>
                </c:pt>
                <c:pt idx="1">
                  <c:v>Монтаж</c:v>
                </c:pt>
                <c:pt idx="2">
                  <c:v>Фото</c:v>
                </c:pt>
                <c:pt idx="3">
                  <c:v>Макдональдс</c:v>
                </c:pt>
                <c:pt idx="4">
                  <c:v>Нач. капитал</c:v>
                </c:pt>
              </c:strCache>
            </c:strRef>
          </c:cat>
          <c:val>
            <c:numRef>
              <c:f>настройки!$G$2:$G$6</c:f>
              <c:numCache>
                <c:formatCode>#\ ##0.00\ "₽"</c:formatCode>
                <c:ptCount val="5"/>
                <c:pt idx="0">
                  <c:v>1682.5774999999999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\ ##0\ &quot;₽&quot;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5-4856-81B4-BAA4E9B3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146050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0</xdr:row>
      <xdr:rowOff>0</xdr:rowOff>
    </xdr:from>
    <xdr:to>
      <xdr:col>14</xdr:col>
      <xdr:colOff>438150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24" displayName="Таблица24" ref="A1:G16" totalsRowShown="0" headerRowDxfId="16" dataDxfId="15">
  <autoFilter ref="A1:G16" xr:uid="{00000000-0009-0000-0100-000001000000}"/>
  <tableColumns count="7">
    <tableColumn id="1" xr3:uid="{00000000-0010-0000-0000-000001000000}" name="Дата" dataDxfId="6"/>
    <tableColumn id="2" xr3:uid="{00000000-0010-0000-0000-000002000000}" name="Выручка" dataDxfId="4"/>
    <tableColumn id="7" xr3:uid="{00000000-0010-0000-0000-000007000000}" name="Кол-во зак." dataDxfId="5"/>
    <tableColumn id="8" xr3:uid="{00000000-0010-0000-0000-000008000000}" name="Время" dataDxfId="3"/>
    <tableColumn id="3" xr3:uid="{00000000-0010-0000-0000-000003000000}" name="Маме" dataDxfId="2">
      <calculatedColumnFormula>IF(Таблица24[[#This Row],[Выручка]]&lt;&gt;"",B2*(настройки!$B$7*0.01),"")</calculatedColumnFormula>
    </tableColumn>
    <tableColumn id="4" xr3:uid="{00000000-0010-0000-0000-000004000000}" name="На счет" dataDxfId="0">
      <calculatedColumnFormula>IF(Таблица24[[#This Row],[Выручка]]&lt;&gt;"",B2*(настройки!$B$6*0.01),"")</calculatedColumnFormula>
    </tableColumn>
    <tableColumn id="9" xr3:uid="{00000000-0010-0000-0000-000009000000}" name="Тип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F7" totalsRowShown="0" headerRowDxfId="14" dataDxfId="13">
  <autoFilter ref="A1:F7" xr:uid="{00000000-0009-0000-0100-000002000000}"/>
  <tableColumns count="6">
    <tableColumn id="1" xr3:uid="{00000000-0010-0000-0100-000001000000}" name="Name                      №" dataDxfId="12"/>
    <tableColumn id="2" xr3:uid="{00000000-0010-0000-0100-000002000000}" name="Выручка" dataDxfId="11"/>
    <tableColumn id="3" xr3:uid="{00000000-0010-0000-0100-000003000000}" name="Маме" dataDxfId="10">
      <calculatedColumnFormula>B2*(50*0.01)</calculatedColumnFormula>
    </tableColumn>
    <tableColumn id="4" xr3:uid="{00000000-0010-0000-0100-000004000000}" name="На счет" dataDxfId="9"/>
    <tableColumn id="5" xr3:uid="{00000000-0010-0000-0100-000005000000}" name="Оставил себе" dataDxfId="8"/>
    <tableColumn id="6" xr3:uid="{00000000-0010-0000-0100-000006000000}" name="Штраф" dataDxfId="7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showGridLines="0" showRowColHeaders="0" topLeftCell="B1" zoomScaleNormal="60" zoomScaleSheetLayoutView="100" workbookViewId="0">
      <selection activeCell="R12" sqref="R12"/>
    </sheetView>
  </sheetViews>
  <sheetFormatPr defaultRowHeight="15" x14ac:dyDescent="0.25"/>
  <sheetData>
    <row r="1" spans="1:17" x14ac:dyDescent="0.25">
      <c r="A1" s="4"/>
      <c r="B1" s="4"/>
    </row>
    <row r="2" spans="1:17" x14ac:dyDescent="0.25">
      <c r="A2" s="4"/>
      <c r="B2" s="4"/>
    </row>
    <row r="3" spans="1:17" x14ac:dyDescent="0.25">
      <c r="A3" s="4"/>
      <c r="B3" s="4"/>
    </row>
    <row r="4" spans="1:17" x14ac:dyDescent="0.25">
      <c r="Q4" s="5" t="s">
        <v>0</v>
      </c>
    </row>
    <row r="6" spans="1:17" x14ac:dyDescent="0.25">
      <c r="Q6" s="17">
        <f>настройки!F10</f>
        <v>38.414185973603004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"/>
  <sheetViews>
    <sheetView tabSelected="1" zoomScale="194" zoomScaleNormal="194" zoomScaleSheetLayoutView="100" workbookViewId="0">
      <pane xSplit="1" topLeftCell="B1" activePane="topRight" state="frozen"/>
      <selection activeCell="B12" sqref="B12"/>
      <selection pane="topRight" activeCell="A6" sqref="A6"/>
    </sheetView>
  </sheetViews>
  <sheetFormatPr defaultColWidth="8.85546875" defaultRowHeight="15" x14ac:dyDescent="0.25"/>
  <cols>
    <col min="1" max="1" width="9.5703125" customWidth="1"/>
    <col min="2" max="2" width="9.42578125" style="6" customWidth="1"/>
    <col min="3" max="3" width="11.28515625" style="4" customWidth="1"/>
    <col min="4" max="4" width="7.5703125" style="4" customWidth="1"/>
    <col min="5" max="5" width="7.5703125" style="5" customWidth="1"/>
    <col min="6" max="6" width="9.85546875" style="5" customWidth="1"/>
    <col min="9" max="10" width="9.42578125" style="4" customWidth="1"/>
    <col min="11" max="11" width="9.85546875" style="4" customWidth="1"/>
    <col min="13" max="13" width="9.42578125" style="4" customWidth="1"/>
    <col min="14" max="14" width="7.28515625" style="4" customWidth="1"/>
  </cols>
  <sheetData>
    <row r="1" spans="1:18" s="1" customForma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/>
      <c r="I1" s="2"/>
      <c r="J1" s="2"/>
      <c r="K1" s="2" t="str">
        <f>IF(J2="","","8 день")</f>
        <v/>
      </c>
      <c r="L1" s="2" t="str">
        <f>IF(K2="","","9 день")</f>
        <v/>
      </c>
      <c r="M1" s="2" t="str">
        <f>IF(L2="","","10 день")</f>
        <v/>
      </c>
      <c r="N1" s="2" t="str">
        <f>IF(M2="","","11 день")</f>
        <v/>
      </c>
      <c r="O1" s="2" t="str">
        <f>IF(N2="","","12 день")</f>
        <v/>
      </c>
      <c r="P1" s="2" t="str">
        <f>IF(O2="","","13 день")</f>
        <v/>
      </c>
      <c r="Q1" s="2" t="str">
        <f>IF(P2="","","14 день")</f>
        <v/>
      </c>
      <c r="R1" s="2" t="str">
        <f>IF(R3="","","15 день")</f>
        <v/>
      </c>
    </row>
    <row r="2" spans="1:18" x14ac:dyDescent="0.25">
      <c r="A2" s="14">
        <v>44905</v>
      </c>
      <c r="B2" s="6">
        <v>1303.05</v>
      </c>
      <c r="C2" s="4">
        <v>2</v>
      </c>
      <c r="D2" s="11">
        <v>0.31736111111111109</v>
      </c>
      <c r="E2" s="18">
        <f>IF(Таблица24[[#This Row],[Выручка]]&lt;&gt;"",B2*(настройки!$B$7*0.01),"")</f>
        <v>195.45749999999998</v>
      </c>
      <c r="F2" s="18">
        <f>IF(Таблица24[[#This Row],[Выручка]]&lt;&gt;"",B2*(настройки!$B$6*0.01),"")</f>
        <v>716.67750000000001</v>
      </c>
      <c r="G2" s="4" t="s">
        <v>8</v>
      </c>
      <c r="H2" s="4"/>
      <c r="J2" s="3"/>
    </row>
    <row r="3" spans="1:18" x14ac:dyDescent="0.25">
      <c r="A3" s="14">
        <v>44912</v>
      </c>
      <c r="B3" s="6">
        <v>1938</v>
      </c>
      <c r="C3" s="4">
        <v>4</v>
      </c>
      <c r="D3" s="10">
        <v>0.37013888888888891</v>
      </c>
      <c r="E3" s="6">
        <v>290.7</v>
      </c>
      <c r="F3" s="6">
        <v>965.9</v>
      </c>
      <c r="G3" s="4" t="s">
        <v>8</v>
      </c>
      <c r="H3" s="4"/>
      <c r="I3" s="3"/>
      <c r="J3" s="3"/>
      <c r="K3" s="3" t="str">
        <f t="shared" ref="K3:R3" si="0">IF(K2="","",K2*0.3)</f>
        <v/>
      </c>
      <c r="L3" s="3" t="str">
        <f t="shared" si="0"/>
        <v/>
      </c>
      <c r="M3" s="3" t="str">
        <f t="shared" si="0"/>
        <v/>
      </c>
      <c r="N3" s="3" t="str">
        <f t="shared" si="0"/>
        <v/>
      </c>
      <c r="O3" s="3" t="str">
        <f t="shared" si="0"/>
        <v/>
      </c>
      <c r="P3" s="3" t="str">
        <f t="shared" si="0"/>
        <v/>
      </c>
      <c r="Q3" s="3" t="str">
        <f t="shared" si="0"/>
        <v/>
      </c>
      <c r="R3" s="3" t="str">
        <f t="shared" si="0"/>
        <v/>
      </c>
    </row>
    <row r="4" spans="1:18" x14ac:dyDescent="0.25">
      <c r="B4" s="5"/>
      <c r="C4"/>
      <c r="D4"/>
      <c r="H4" s="4"/>
      <c r="I4" s="3"/>
      <c r="J4" s="3"/>
      <c r="K4" s="3" t="str">
        <f t="shared" ref="K4:R4" si="1">IF(K2="","",K2-K3)</f>
        <v/>
      </c>
      <c r="L4" s="3" t="str">
        <f t="shared" si="1"/>
        <v/>
      </c>
      <c r="M4" s="3" t="str">
        <f t="shared" si="1"/>
        <v/>
      </c>
      <c r="N4" s="3" t="str">
        <f t="shared" si="1"/>
        <v/>
      </c>
      <c r="O4" s="3" t="str">
        <f t="shared" si="1"/>
        <v/>
      </c>
      <c r="P4" s="3" t="str">
        <f t="shared" si="1"/>
        <v/>
      </c>
      <c r="Q4" s="3" t="str">
        <f t="shared" si="1"/>
        <v/>
      </c>
      <c r="R4" s="3" t="str">
        <f t="shared" si="1"/>
        <v/>
      </c>
    </row>
    <row r="5" spans="1:18" x14ac:dyDescent="0.25">
      <c r="B5" s="5"/>
      <c r="C5"/>
      <c r="D5"/>
      <c r="H5" s="4"/>
      <c r="I5" s="3"/>
      <c r="J5" s="3"/>
    </row>
    <row r="6" spans="1:18" x14ac:dyDescent="0.25">
      <c r="B6" s="5"/>
      <c r="C6"/>
      <c r="D6"/>
      <c r="H6" s="4"/>
      <c r="I6" s="3"/>
      <c r="J6" s="3"/>
    </row>
    <row r="7" spans="1:18" x14ac:dyDescent="0.25">
      <c r="B7" s="5"/>
      <c r="C7"/>
      <c r="D7"/>
      <c r="H7" s="4"/>
    </row>
    <row r="8" spans="1:18" x14ac:dyDescent="0.25">
      <c r="A8" s="20"/>
      <c r="D8" s="10"/>
      <c r="E8" s="6" t="str">
        <f>IF(Таблица24[[#This Row],[Выручка]]&lt;&gt;"",B8*(настройки!$B$7*0.01),"")</f>
        <v/>
      </c>
      <c r="F8" s="6" t="str">
        <f>IF(Таблица24[[#This Row],[Выручка]]&lt;&gt;"",B8*(настройки!$B$6*0.01),"")</f>
        <v/>
      </c>
      <c r="G8" s="4"/>
    </row>
    <row r="9" spans="1:18" x14ac:dyDescent="0.25">
      <c r="A9" s="20"/>
      <c r="D9" s="10"/>
      <c r="E9" s="6" t="str">
        <f>IF(Таблица24[[#This Row],[Выручка]]&lt;&gt;"",B9*(настройки!$B$7*0.01),"")</f>
        <v/>
      </c>
      <c r="F9" s="6" t="str">
        <f>IF(Таблица24[[#This Row],[Выручка]]&lt;&gt;"",B9*(настройки!$B$6*0.01),"")</f>
        <v/>
      </c>
      <c r="G9" s="4"/>
    </row>
    <row r="10" spans="1:18" x14ac:dyDescent="0.25">
      <c r="A10" s="20"/>
      <c r="B10" s="23"/>
      <c r="C10" s="21"/>
      <c r="D10" s="22"/>
      <c r="E10" s="6" t="str">
        <f>IF(Таблица24[[#This Row],[Выручка]]&lt;&gt;"",B10*(настройки!$B$7*0.01),"")</f>
        <v/>
      </c>
      <c r="F10" s="6" t="str">
        <f>IF(Таблица24[[#This Row],[Выручка]]&lt;&gt;"",B10*(настройки!$B$6*0.01),"")</f>
        <v/>
      </c>
      <c r="G10" s="4"/>
      <c r="I10" s="3"/>
      <c r="J10" s="3"/>
      <c r="K10" s="3"/>
      <c r="M10" s="3"/>
      <c r="N10" s="3"/>
    </row>
    <row r="11" spans="1:18" x14ac:dyDescent="0.25">
      <c r="A11" s="20"/>
      <c r="D11" s="10"/>
      <c r="E11" s="6" t="str">
        <f>IF(Таблица24[[#This Row],[Выручка]]&lt;&gt;"",B11*(настройки!$B$7*0.01),"")</f>
        <v/>
      </c>
      <c r="F11" s="6" t="str">
        <f>IF(Таблица24[[#This Row],[Выручка]]&lt;&gt;"",B11*(настройки!$B$6*0.01),"")</f>
        <v/>
      </c>
      <c r="G11" s="4"/>
      <c r="I11" s="3"/>
      <c r="J11" s="3"/>
      <c r="K11" s="3"/>
      <c r="M11" s="3"/>
      <c r="N11" s="3"/>
    </row>
    <row r="12" spans="1:18" x14ac:dyDescent="0.25">
      <c r="A12" s="20"/>
      <c r="D12" s="10"/>
      <c r="E12" s="6" t="str">
        <f>IF(Таблица24[[#This Row],[Выручка]]&lt;&gt;"",B12*(настройки!$B$7*0.01),"")</f>
        <v/>
      </c>
      <c r="F12" s="6" t="str">
        <f>IF(Таблица24[[#This Row],[Выручка]]&lt;&gt;"",B12*(настройки!$B$6*0.01),"")</f>
        <v/>
      </c>
      <c r="G12" s="4"/>
      <c r="I12" s="3"/>
      <c r="J12" s="3"/>
      <c r="K12" s="3"/>
      <c r="M12" s="3"/>
      <c r="N12" s="3"/>
    </row>
    <row r="13" spans="1:18" x14ac:dyDescent="0.25">
      <c r="A13" s="20"/>
      <c r="D13" s="10"/>
      <c r="E13" s="6" t="str">
        <f>IF(Таблица24[[#This Row],[Выручка]]&lt;&gt;"",B13*(настройки!$B$7*0.01),"")</f>
        <v/>
      </c>
      <c r="F13" s="6" t="str">
        <f>IF(Таблица24[[#This Row],[Выручка]]&lt;&gt;"",B13*(настройки!$B$6*0.01),"")</f>
        <v/>
      </c>
      <c r="G13" s="4"/>
      <c r="I13" s="3"/>
      <c r="J13" s="3"/>
      <c r="K13" s="3"/>
      <c r="M13" s="3"/>
      <c r="N13" s="3"/>
    </row>
    <row r="14" spans="1:18" x14ac:dyDescent="0.25">
      <c r="A14" s="20"/>
      <c r="D14" s="10"/>
      <c r="E14" s="6" t="str">
        <f>IF(Таблица24[[#This Row],[Выручка]]&lt;&gt;"",B14*(настройки!$B$7*0.01),"")</f>
        <v/>
      </c>
      <c r="F14" s="6" t="str">
        <f>IF(Таблица24[[#This Row],[Выручка]]&lt;&gt;"",B14*(настройки!$B$6*0.01),"")</f>
        <v/>
      </c>
      <c r="G14" s="4"/>
      <c r="I14" s="3"/>
      <c r="J14" s="3"/>
      <c r="K14" s="3"/>
      <c r="M14" s="3"/>
      <c r="N14" s="3"/>
    </row>
    <row r="15" spans="1:18" x14ac:dyDescent="0.25">
      <c r="A15" s="20"/>
      <c r="D15" s="10"/>
      <c r="E15" s="6" t="str">
        <f>IF(Таблица24[[#This Row],[Выручка]]&lt;&gt;"",B15*(настройки!$B$7*0.01),"")</f>
        <v/>
      </c>
      <c r="F15" s="6" t="str">
        <f>IF(Таблица24[[#This Row],[Выручка]]&lt;&gt;"",B15*(настройки!$B$6*0.01),"")</f>
        <v/>
      </c>
      <c r="G15" s="4"/>
    </row>
    <row r="16" spans="1:18" x14ac:dyDescent="0.25">
      <c r="A16" s="20"/>
      <c r="D16" s="10"/>
      <c r="E16" s="6" t="str">
        <f>IF(Таблица24[[#This Row],[Выручка]]&lt;&gt;"",B16*(настройки!$B$7*0.01),"")</f>
        <v/>
      </c>
      <c r="F16" s="6" t="str">
        <f>IF(Таблица24[[#This Row],[Выручка]]&lt;&gt;"",B16*(настройки!$B$6*0.01),"")</f>
        <v/>
      </c>
      <c r="G16" s="4"/>
    </row>
    <row r="17" spans="1:9" x14ac:dyDescent="0.25">
      <c r="A17" s="14"/>
    </row>
    <row r="18" spans="1:9" x14ac:dyDescent="0.25">
      <c r="A18" s="14"/>
    </row>
    <row r="20" spans="1:9" x14ac:dyDescent="0.25">
      <c r="I20" s="4" t="s">
        <v>10</v>
      </c>
    </row>
  </sheetData>
  <conditionalFormatting sqref="B10:D10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0"/>
  <sheetViews>
    <sheetView zoomScaleNormal="60" zoomScaleSheetLayoutView="100" workbookViewId="0">
      <selection activeCell="B8" sqref="B8"/>
    </sheetView>
  </sheetViews>
  <sheetFormatPr defaultRowHeight="15" x14ac:dyDescent="0.25"/>
  <cols>
    <col min="1" max="1" width="18.5703125" customWidth="1"/>
    <col min="2" max="2" width="11.28515625" customWidth="1"/>
    <col min="5" max="5" width="14.5703125" bestFit="1" customWidth="1"/>
    <col min="6" max="8" width="10.140625" customWidth="1"/>
    <col min="9" max="9" width="9.42578125" customWidth="1"/>
    <col min="10" max="10" width="8.5703125" customWidth="1"/>
  </cols>
  <sheetData>
    <row r="2" spans="1:10" x14ac:dyDescent="0.25">
      <c r="A2" t="s">
        <v>11</v>
      </c>
      <c r="B2" s="13">
        <f>50000</f>
        <v>50000</v>
      </c>
      <c r="E2" s="19" t="s">
        <v>8</v>
      </c>
      <c r="F2" s="15">
        <f>G2/($B$2-$B$3)</f>
        <v>9.5154538415001988E-2</v>
      </c>
      <c r="G2" s="12">
        <f>SUMIF('новая сводка'!G:G,"Доставка",'новая сводка'!F:F)</f>
        <v>1682.5774999999999</v>
      </c>
      <c r="I2" t="s">
        <v>12</v>
      </c>
      <c r="J2" t="s">
        <v>13</v>
      </c>
    </row>
    <row r="3" spans="1:10" x14ac:dyDescent="0.25">
      <c r="A3" t="s">
        <v>14</v>
      </c>
      <c r="B3" s="13">
        <f>IF(B2-(SUM(G2:G6))&gt;0,B2-(SUM(G2:G6)),0)</f>
        <v>32317.422500000001</v>
      </c>
      <c r="E3" s="19" t="s">
        <v>9</v>
      </c>
      <c r="F3" s="15">
        <f>G3/($B$2-$B$3)</f>
        <v>0</v>
      </c>
      <c r="G3" s="12">
        <f>SUMIF('новая сводка'!G:G,"Монтаж",'новая сводка'!F:F)</f>
        <v>0</v>
      </c>
      <c r="I3" s="15">
        <f>(B2-B3)/B2</f>
        <v>0.35365154999999998</v>
      </c>
      <c r="J3" s="15">
        <f>1-I3</f>
        <v>0.64634845000000007</v>
      </c>
    </row>
    <row r="4" spans="1:10" x14ac:dyDescent="0.25">
      <c r="A4" t="s">
        <v>15</v>
      </c>
      <c r="E4" s="19" t="s">
        <v>16</v>
      </c>
      <c r="F4" s="15">
        <f>G4/($B$2-$B$3)</f>
        <v>0</v>
      </c>
      <c r="G4" s="12">
        <f>SUMIF('новая сводка'!G:G,"Фото",'новая сводка'!F:F)</f>
        <v>0</v>
      </c>
    </row>
    <row r="5" spans="1:10" x14ac:dyDescent="0.25">
      <c r="E5" s="19" t="s">
        <v>17</v>
      </c>
      <c r="F5" s="15">
        <f>G5/($B$2-$B$3)</f>
        <v>0</v>
      </c>
      <c r="G5" s="12">
        <f>SUMIF('новая сводка'!G:G,"Мак",'новая сводка'!F:F)</f>
        <v>0</v>
      </c>
    </row>
    <row r="6" spans="1:10" x14ac:dyDescent="0.25">
      <c r="A6" t="s">
        <v>18</v>
      </c>
      <c r="B6">
        <v>55</v>
      </c>
      <c r="E6" s="19" t="s">
        <v>19</v>
      </c>
      <c r="F6" s="15">
        <f>G6/($B$2-$B$3)</f>
        <v>0.90484546158499801</v>
      </c>
      <c r="G6" s="13">
        <v>16000</v>
      </c>
    </row>
    <row r="7" spans="1:10" x14ac:dyDescent="0.25">
      <c r="A7" t="s">
        <v>20</v>
      </c>
      <c r="B7">
        <v>15</v>
      </c>
    </row>
    <row r="8" spans="1:10" x14ac:dyDescent="0.25">
      <c r="E8" s="19" t="s">
        <v>21</v>
      </c>
      <c r="F8" s="16">
        <f>SUM('новая сводка'!F:F)/(COUNTIF('новая сводка'!G:G,"&lt;&gt;")-1)</f>
        <v>841.28874999999994</v>
      </c>
    </row>
    <row r="9" spans="1:10" x14ac:dyDescent="0.25">
      <c r="E9" s="19" t="s">
        <v>22</v>
      </c>
      <c r="F9" s="16">
        <f>SUM('новая сводка'!B:B)/SUM('новая сводка'!C:C)</f>
        <v>540.17500000000007</v>
      </c>
    </row>
    <row r="10" spans="1:10" x14ac:dyDescent="0.25">
      <c r="E10" s="1" t="s">
        <v>23</v>
      </c>
      <c r="F10" s="17">
        <f>B3/F8</f>
        <v>38.414185973603004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defaultColWidth="8.85546875" defaultRowHeight="15" x14ac:dyDescent="0.25"/>
  <cols>
    <col min="1" max="1" width="19.28515625" customWidth="1"/>
    <col min="2" max="3" width="9.42578125" style="4" customWidth="1"/>
    <col min="4" max="4" width="9.85546875" style="4" customWidth="1"/>
    <col min="5" max="5" width="14.28515625" style="4" customWidth="1"/>
    <col min="6" max="7" width="9.42578125" style="4" customWidth="1"/>
    <col min="8" max="8" width="7.28515625" style="4" customWidth="1"/>
  </cols>
  <sheetData>
    <row r="1" spans="1:16" s="1" customFormat="1" x14ac:dyDescent="0.25">
      <c r="A1" s="2" t="s">
        <v>24</v>
      </c>
      <c r="B1" s="2" t="s">
        <v>2</v>
      </c>
      <c r="C1" s="2" t="s">
        <v>5</v>
      </c>
      <c r="D1" s="2" t="s">
        <v>6</v>
      </c>
      <c r="E1" s="2" t="s">
        <v>25</v>
      </c>
      <c r="F1" s="2" t="s">
        <v>26</v>
      </c>
      <c r="G1" s="2"/>
      <c r="H1" s="2"/>
      <c r="I1" s="2" t="str">
        <f>IF(H2="","","8 день")</f>
        <v/>
      </c>
      <c r="J1" s="2" t="str">
        <f>IF(I2="","","9 день")</f>
        <v/>
      </c>
      <c r="K1" s="2" t="str">
        <f>IF(J2="","","10 день")</f>
        <v/>
      </c>
      <c r="L1" s="2" t="str">
        <f>IF(K2="","","11 день")</f>
        <v/>
      </c>
      <c r="M1" s="2" t="str">
        <f>IF(L2="","","12 день")</f>
        <v/>
      </c>
      <c r="N1" s="2" t="str">
        <f>IF(M2="","","13 день")</f>
        <v/>
      </c>
      <c r="O1" s="2" t="str">
        <f>IF(N2="","","14 день")</f>
        <v/>
      </c>
      <c r="P1" s="2" t="str">
        <f>IF(P3="","","15 день")</f>
        <v/>
      </c>
    </row>
    <row r="2" spans="1:16" x14ac:dyDescent="0.25">
      <c r="A2" s="9" t="s">
        <v>27</v>
      </c>
      <c r="B2" s="4">
        <v>568</v>
      </c>
      <c r="C2" s="4">
        <f t="shared" ref="C2:C7" si="0">B2*(50*0.01)</f>
        <v>284</v>
      </c>
      <c r="D2" s="4">
        <v>96</v>
      </c>
      <c r="E2" s="4">
        <v>284</v>
      </c>
      <c r="F2" s="4">
        <v>400</v>
      </c>
      <c r="H2" s="3"/>
    </row>
    <row r="3" spans="1:16" x14ac:dyDescent="0.25">
      <c r="A3" s="9" t="s">
        <v>28</v>
      </c>
      <c r="B3" s="4">
        <v>440</v>
      </c>
      <c r="C3" s="4">
        <f t="shared" si="0"/>
        <v>220</v>
      </c>
      <c r="D3" s="4">
        <v>240</v>
      </c>
      <c r="E3" s="4">
        <v>220</v>
      </c>
      <c r="F3" s="4">
        <v>0</v>
      </c>
      <c r="G3" s="3"/>
      <c r="H3" s="3"/>
      <c r="I3" s="3" t="str">
        <f t="shared" ref="I3:P3" si="1">IF(I2="","",I2*0.3)</f>
        <v/>
      </c>
      <c r="J3" s="3" t="str">
        <f t="shared" si="1"/>
        <v/>
      </c>
      <c r="K3" s="3" t="str">
        <f t="shared" si="1"/>
        <v/>
      </c>
      <c r="L3" s="3" t="str">
        <f t="shared" si="1"/>
        <v/>
      </c>
      <c r="M3" s="3" t="str">
        <f t="shared" si="1"/>
        <v/>
      </c>
      <c r="N3" s="3" t="str">
        <f t="shared" si="1"/>
        <v/>
      </c>
      <c r="O3" s="3" t="str">
        <f t="shared" si="1"/>
        <v/>
      </c>
      <c r="P3" s="3" t="str">
        <f t="shared" si="1"/>
        <v/>
      </c>
    </row>
    <row r="4" spans="1:16" x14ac:dyDescent="0.25">
      <c r="A4" s="9" t="s">
        <v>29</v>
      </c>
      <c r="B4" s="4">
        <v>1125</v>
      </c>
      <c r="C4" s="4">
        <f t="shared" si="0"/>
        <v>562.5</v>
      </c>
      <c r="D4" s="4">
        <v>431</v>
      </c>
      <c r="E4" s="4">
        <v>356.5</v>
      </c>
      <c r="F4" s="4">
        <v>0</v>
      </c>
      <c r="G4" s="3"/>
      <c r="H4" s="3"/>
      <c r="I4" s="3" t="str">
        <f t="shared" ref="I4:P4" si="2">IF(I2="","",I2-I3)</f>
        <v/>
      </c>
      <c r="J4" s="3" t="str">
        <f t="shared" si="2"/>
        <v/>
      </c>
      <c r="K4" s="3" t="str">
        <f t="shared" si="2"/>
        <v/>
      </c>
      <c r="L4" s="3" t="str">
        <f t="shared" si="2"/>
        <v/>
      </c>
      <c r="M4" s="3" t="str">
        <f t="shared" si="2"/>
        <v/>
      </c>
      <c r="N4" s="3" t="str">
        <f t="shared" si="2"/>
        <v/>
      </c>
      <c r="O4" s="3" t="str">
        <f t="shared" si="2"/>
        <v/>
      </c>
      <c r="P4" s="3" t="str">
        <f t="shared" si="2"/>
        <v/>
      </c>
    </row>
    <row r="5" spans="1:16" x14ac:dyDescent="0.25">
      <c r="A5" s="9" t="s">
        <v>30</v>
      </c>
      <c r="B5" s="4">
        <f>300+400+500</f>
        <v>1200</v>
      </c>
      <c r="C5" s="4">
        <f t="shared" si="0"/>
        <v>600</v>
      </c>
      <c r="D5" s="4">
        <v>826</v>
      </c>
      <c r="E5" s="4">
        <v>14</v>
      </c>
      <c r="F5" s="4">
        <v>0</v>
      </c>
      <c r="G5" s="3"/>
      <c r="H5" s="3"/>
    </row>
    <row r="6" spans="1:16" x14ac:dyDescent="0.25">
      <c r="A6" s="9" t="s">
        <v>31</v>
      </c>
      <c r="B6" s="4">
        <f>650-195+345+517+579</f>
        <v>1896</v>
      </c>
      <c r="C6" s="4">
        <f t="shared" si="0"/>
        <v>948</v>
      </c>
      <c r="D6" s="4">
        <v>1196</v>
      </c>
      <c r="E6" s="4">
        <v>300</v>
      </c>
      <c r="F6" s="4">
        <v>0</v>
      </c>
      <c r="G6" s="3"/>
      <c r="H6" s="3"/>
    </row>
    <row r="7" spans="1:16" x14ac:dyDescent="0.25">
      <c r="A7" s="9" t="s">
        <v>32</v>
      </c>
      <c r="B7" s="4">
        <f>750+322+400+310+290</f>
        <v>2072</v>
      </c>
      <c r="C7" s="4">
        <f t="shared" si="0"/>
        <v>1036</v>
      </c>
      <c r="D7" s="4">
        <v>1423.25</v>
      </c>
      <c r="E7" s="4">
        <v>298.75</v>
      </c>
      <c r="F7" s="4">
        <v>0</v>
      </c>
    </row>
    <row r="10" spans="1:16" x14ac:dyDescent="0.25">
      <c r="C10" s="3"/>
      <c r="D10" s="3"/>
      <c r="E10" s="3"/>
      <c r="F10" s="3"/>
      <c r="G10" s="3"/>
      <c r="H10" s="3"/>
    </row>
    <row r="11" spans="1:16" x14ac:dyDescent="0.25">
      <c r="A11" s="5"/>
      <c r="B11" s="7"/>
      <c r="C11" s="3"/>
      <c r="D11" s="3"/>
      <c r="E11" s="3"/>
      <c r="F11" s="3"/>
      <c r="G11" s="3"/>
      <c r="H11" s="3"/>
    </row>
    <row r="12" spans="1:16" x14ac:dyDescent="0.25">
      <c r="A12" s="6"/>
      <c r="B12" s="8"/>
      <c r="C12" s="3"/>
      <c r="D12" s="3"/>
      <c r="E12" s="3"/>
      <c r="F12" s="3"/>
      <c r="G12" s="3"/>
      <c r="H12" s="3"/>
    </row>
    <row r="13" spans="1:16" x14ac:dyDescent="0.25">
      <c r="C13" s="3"/>
      <c r="D13" s="3"/>
      <c r="E13" s="3"/>
      <c r="F13" s="3"/>
      <c r="G13" s="3"/>
      <c r="H13" s="3"/>
    </row>
    <row r="14" spans="1:16" x14ac:dyDescent="0.25">
      <c r="C14" s="3"/>
      <c r="D14" s="3"/>
      <c r="E14" s="3"/>
      <c r="F14" s="3"/>
      <c r="G14" s="3"/>
      <c r="H14" s="3"/>
    </row>
    <row r="20" spans="3:3" x14ac:dyDescent="0.25">
      <c r="C20" s="4" t="s">
        <v>10</v>
      </c>
    </row>
  </sheetData>
  <conditionalFormatting sqref="B11">
    <cfRule type="colorScale" priority="1">
      <colorScale>
        <cfvo type="min"/>
        <cfvo type="num" val="100"/>
        <color theme="4" tint="0.59999389629810485"/>
        <color theme="4" tint="-0.249977111117893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Статистика</vt:lpstr>
      <vt:lpstr>новая сводка</vt:lpstr>
      <vt:lpstr>настройки</vt:lpstr>
      <vt:lpstr>инф за лето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Сананда Долгопятов</dc:creator>
  <cp:lastModifiedBy>collBlock</cp:lastModifiedBy>
  <dcterms:created xsi:type="dcterms:W3CDTF">2022-06-16T17:44:21Z</dcterms:created>
  <dcterms:modified xsi:type="dcterms:W3CDTF">2023-02-20T22:03:12Z</dcterms:modified>
</cp:coreProperties>
</file>