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7129C01F-199B-9B45-A296-DC2348B3A59E}" xr6:coauthVersionLast="36" xr6:coauthVersionMax="45" xr10:uidLastSave="{00000000-0000-0000-0000-000000000000}"/>
  <bookViews>
    <workbookView xWindow="240" yWindow="460" windowWidth="32880" windowHeight="18540" xr2:uid="{00000000-000D-0000-FFFF-FFFF00000000}"/>
  </bookViews>
  <sheets>
    <sheet name="V100" sheetId="2" r:id="rId1"/>
    <sheet name="Gen9" sheetId="1" r:id="rId2"/>
    <sheet name="SKX" sheetId="3" r:id="rId3"/>
    <sheet name="compare-efficiency" sheetId="4" r:id="rId4"/>
    <sheet name="compare-flops" sheetId="7" r:id="rId5"/>
    <sheet name="compare-CI" sheetId="6" r:id="rId6"/>
    <sheet name="compare-BW" sheetId="9" r:id="rId7"/>
  </sheets>
  <calcPr calcId="181029"/>
</workbook>
</file>

<file path=xl/calcChain.xml><?xml version="1.0" encoding="utf-8"?>
<calcChain xmlns="http://schemas.openxmlformats.org/spreadsheetml/2006/main">
  <c r="E15" i="3" l="1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J15" i="2"/>
  <c r="I20" i="2"/>
  <c r="G24" i="2"/>
  <c r="F17" i="4" l="1"/>
  <c r="D4" i="1" l="1"/>
  <c r="J17" i="3" l="1"/>
  <c r="H8" i="1" l="1"/>
  <c r="I8" i="1"/>
  <c r="H10" i="3" l="1"/>
  <c r="J24" i="2" l="1"/>
  <c r="J19" i="2"/>
  <c r="D17" i="1"/>
  <c r="D18" i="1"/>
  <c r="D19" i="1"/>
  <c r="D20" i="1"/>
  <c r="D21" i="1"/>
  <c r="D22" i="1"/>
  <c r="D23" i="1"/>
  <c r="D24" i="1"/>
  <c r="D25" i="1"/>
  <c r="D16" i="1"/>
  <c r="J16" i="2"/>
  <c r="J17" i="2"/>
  <c r="J18" i="2"/>
  <c r="J20" i="2"/>
  <c r="J21" i="2"/>
  <c r="J22" i="2"/>
  <c r="J23" i="2"/>
  <c r="D3" i="1" l="1"/>
  <c r="H3" i="1"/>
  <c r="D9" i="9" l="1"/>
  <c r="D8" i="9"/>
  <c r="D7" i="9"/>
  <c r="D6" i="9"/>
  <c r="D5" i="9"/>
  <c r="B6" i="9"/>
  <c r="C9" i="9"/>
  <c r="C8" i="9"/>
  <c r="C7" i="9"/>
  <c r="C6" i="9"/>
  <c r="C5" i="9"/>
  <c r="G17" i="2"/>
  <c r="E23" i="1"/>
  <c r="E22" i="1"/>
  <c r="E20" i="1"/>
  <c r="I15" i="2" l="1"/>
  <c r="E4" i="1"/>
  <c r="C4" i="1"/>
  <c r="E17" i="1" l="1"/>
  <c r="B3" i="7"/>
  <c r="F15" i="4"/>
  <c r="D8" i="1" l="1"/>
  <c r="E21" i="1"/>
  <c r="E24" i="1"/>
  <c r="E11" i="1"/>
  <c r="B9" i="7"/>
  <c r="B2" i="7"/>
  <c r="H3" i="2"/>
  <c r="I14" i="2"/>
  <c r="I16" i="2"/>
  <c r="B5" i="7" s="1"/>
  <c r="I17" i="2"/>
  <c r="B6" i="7" s="1"/>
  <c r="I23" i="2"/>
  <c r="B12" i="7" s="1"/>
  <c r="I24" i="2"/>
  <c r="C3" i="7"/>
  <c r="C5" i="7"/>
  <c r="C6" i="7"/>
  <c r="C7" i="7"/>
  <c r="C8" i="7"/>
  <c r="C9" i="7"/>
  <c r="C10" i="7"/>
  <c r="C12" i="7"/>
  <c r="C2" i="7"/>
  <c r="D3" i="7"/>
  <c r="D5" i="7"/>
  <c r="D6" i="7"/>
  <c r="D7" i="7"/>
  <c r="D8" i="7"/>
  <c r="D9" i="7"/>
  <c r="D10" i="7"/>
  <c r="D12" i="7"/>
  <c r="D2" i="7"/>
  <c r="E18" i="1"/>
  <c r="E19" i="1"/>
  <c r="C11" i="7"/>
  <c r="E25" i="1"/>
  <c r="E16" i="1"/>
  <c r="F11" i="1"/>
  <c r="F6" i="1"/>
  <c r="F5" i="1"/>
  <c r="E17" i="6"/>
  <c r="F17" i="6"/>
  <c r="D17" i="6"/>
  <c r="M5" i="3"/>
  <c r="M6" i="3"/>
  <c r="L6" i="3"/>
  <c r="L5" i="3"/>
  <c r="F6" i="6" l="1"/>
  <c r="F19" i="6" s="1"/>
  <c r="F7" i="6"/>
  <c r="F13" i="6"/>
  <c r="E5" i="6"/>
  <c r="E18" i="6" s="1"/>
  <c r="E6" i="6"/>
  <c r="E19" i="6" s="1"/>
  <c r="E7" i="6"/>
  <c r="E8" i="6"/>
  <c r="E9" i="6"/>
  <c r="E20" i="6" s="1"/>
  <c r="E10" i="6"/>
  <c r="E11" i="6"/>
  <c r="E21" i="6" s="1"/>
  <c r="E13" i="6"/>
  <c r="E14" i="6"/>
  <c r="E4" i="6"/>
  <c r="P15" i="2"/>
  <c r="L18" i="1"/>
  <c r="J4" i="2"/>
  <c r="H4" i="2"/>
  <c r="L5" i="2" l="1"/>
  <c r="J6" i="2"/>
  <c r="J5" i="2"/>
  <c r="K5" i="2" s="1"/>
  <c r="D6" i="6" s="1"/>
  <c r="D19" i="6" s="1"/>
  <c r="D3" i="3" l="1"/>
  <c r="J5" i="3"/>
  <c r="K5" i="3" s="1"/>
  <c r="E5" i="4" s="1"/>
  <c r="J6" i="3"/>
  <c r="K6" i="3" s="1"/>
  <c r="E6" i="4" s="1"/>
  <c r="C11" i="3"/>
  <c r="E11" i="3"/>
  <c r="D11" i="7" s="1"/>
  <c r="C7" i="3"/>
  <c r="C10" i="3"/>
  <c r="H4" i="3"/>
  <c r="H7" i="3"/>
  <c r="H8" i="3"/>
  <c r="H9" i="3"/>
  <c r="H11" i="3"/>
  <c r="H12" i="3"/>
  <c r="H13" i="3"/>
  <c r="H3" i="3"/>
  <c r="F7" i="3"/>
  <c r="F8" i="3"/>
  <c r="F9" i="3"/>
  <c r="F10" i="3"/>
  <c r="B8" i="9" s="1"/>
  <c r="F11" i="3"/>
  <c r="F12" i="3"/>
  <c r="F13" i="3"/>
  <c r="F3" i="3"/>
  <c r="F4" i="3"/>
  <c r="G12" i="3"/>
  <c r="G13" i="3"/>
  <c r="G4" i="3"/>
  <c r="G7" i="3"/>
  <c r="G8" i="3"/>
  <c r="G9" i="3"/>
  <c r="G10" i="3"/>
  <c r="G11" i="3"/>
  <c r="G3" i="3"/>
  <c r="G16" i="2"/>
  <c r="G18" i="2"/>
  <c r="G19" i="2"/>
  <c r="G21" i="2"/>
  <c r="G23" i="2"/>
  <c r="G15" i="2"/>
  <c r="F4" i="6" l="1"/>
  <c r="M3" i="3"/>
  <c r="F12" i="6"/>
  <c r="F22" i="6" s="1"/>
  <c r="M11" i="3"/>
  <c r="F10" i="6"/>
  <c r="M9" i="3"/>
  <c r="F9" i="6"/>
  <c r="F20" i="6" s="1"/>
  <c r="M8" i="3"/>
  <c r="F8" i="6"/>
  <c r="M7" i="3"/>
  <c r="F5" i="6"/>
  <c r="F18" i="6" s="1"/>
  <c r="M4" i="3"/>
  <c r="F14" i="6"/>
  <c r="M12" i="3"/>
  <c r="L4" i="3"/>
  <c r="B5" i="9"/>
  <c r="L3" i="3"/>
  <c r="L12" i="3"/>
  <c r="L11" i="3"/>
  <c r="B9" i="9"/>
  <c r="L9" i="3"/>
  <c r="L7" i="3"/>
  <c r="J4" i="3"/>
  <c r="E17" i="4"/>
  <c r="F11" i="6"/>
  <c r="F21" i="6" s="1"/>
  <c r="M10" i="3"/>
  <c r="L10" i="3"/>
  <c r="L8" i="3"/>
  <c r="B7" i="9"/>
  <c r="J13" i="3"/>
  <c r="K13" i="3" s="1"/>
  <c r="E13" i="4" s="1"/>
  <c r="J12" i="3"/>
  <c r="K12" i="3" s="1"/>
  <c r="E12" i="4" s="1"/>
  <c r="J11" i="3"/>
  <c r="K11" i="3" s="1"/>
  <c r="E11" i="4" s="1"/>
  <c r="J10" i="3"/>
  <c r="K10" i="3" s="1"/>
  <c r="E10" i="4" s="1"/>
  <c r="J9" i="3"/>
  <c r="K9" i="3" s="1"/>
  <c r="E9" i="4" s="1"/>
  <c r="J8" i="3"/>
  <c r="K8" i="3" s="1"/>
  <c r="E8" i="4" s="1"/>
  <c r="J7" i="3"/>
  <c r="K7" i="3" s="1"/>
  <c r="E7" i="4" s="1"/>
  <c r="K4" i="3"/>
  <c r="E4" i="4" s="1"/>
  <c r="E16" i="4" s="1"/>
  <c r="J3" i="3"/>
  <c r="K3" i="3" s="1"/>
  <c r="E3" i="4" s="1"/>
  <c r="E8" i="2"/>
  <c r="G20" i="2" s="1"/>
  <c r="N17" i="2"/>
  <c r="O5" i="2" s="1"/>
  <c r="L6" i="2"/>
  <c r="L13" i="2"/>
  <c r="L12" i="2"/>
  <c r="E20" i="4" l="1"/>
  <c r="E19" i="4"/>
  <c r="E18" i="4"/>
  <c r="J11" i="2"/>
  <c r="E10" i="2"/>
  <c r="G22" i="2" s="1"/>
  <c r="J9" i="2" l="1"/>
  <c r="J10" i="2"/>
  <c r="J13" i="2"/>
  <c r="J12" i="2"/>
  <c r="J8" i="2"/>
  <c r="J7" i="2"/>
  <c r="K6" i="2"/>
  <c r="D7" i="6" s="1"/>
  <c r="H11" i="2"/>
  <c r="H10" i="2"/>
  <c r="I9" i="2"/>
  <c r="L9" i="2" s="1"/>
  <c r="H8" i="2"/>
  <c r="H7" i="2"/>
  <c r="I18" i="2" s="1"/>
  <c r="B7" i="7" s="1"/>
  <c r="L4" i="2"/>
  <c r="K4" i="2" s="1"/>
  <c r="D5" i="6" s="1"/>
  <c r="D18" i="6" s="1"/>
  <c r="J3" i="2"/>
  <c r="L8" i="2" l="1"/>
  <c r="I19" i="2"/>
  <c r="B8" i="7" s="1"/>
  <c r="L10" i="2"/>
  <c r="I21" i="2"/>
  <c r="B10" i="7" s="1"/>
  <c r="L11" i="2"/>
  <c r="I22" i="2"/>
  <c r="B11" i="7" s="1"/>
  <c r="O6" i="2"/>
  <c r="P6" i="2" s="1"/>
  <c r="C6" i="4" s="1"/>
  <c r="P5" i="2"/>
  <c r="C5" i="4" s="1"/>
  <c r="C17" i="4" s="1"/>
  <c r="M4" i="2"/>
  <c r="O4" i="2"/>
  <c r="P4" i="2" s="1"/>
  <c r="C4" i="4" s="1"/>
  <c r="C16" i="4" s="1"/>
  <c r="L7" i="2"/>
  <c r="M8" i="2"/>
  <c r="K8" i="2"/>
  <c r="O8" i="2"/>
  <c r="P8" i="2" s="1"/>
  <c r="C8" i="4" s="1"/>
  <c r="C18" i="4" s="1"/>
  <c r="M9" i="2"/>
  <c r="K9" i="2"/>
  <c r="O9" i="2"/>
  <c r="P9" i="2" s="1"/>
  <c r="C9" i="4" s="1"/>
  <c r="M10" i="2"/>
  <c r="K10" i="2"/>
  <c r="O10" i="2"/>
  <c r="P10" i="2" s="1"/>
  <c r="C10" i="4" s="1"/>
  <c r="C19" i="4" s="1"/>
  <c r="M11" i="2"/>
  <c r="K11" i="2"/>
  <c r="O11" i="2"/>
  <c r="P11" i="2" s="1"/>
  <c r="C11" i="4" s="1"/>
  <c r="C20" i="4" s="1"/>
  <c r="M12" i="2"/>
  <c r="K12" i="2"/>
  <c r="D13" i="6" s="1"/>
  <c r="M13" i="2"/>
  <c r="K13" i="2"/>
  <c r="D14" i="6" s="1"/>
  <c r="M3" i="2"/>
  <c r="K3" i="2"/>
  <c r="M5" i="2"/>
  <c r="M6" i="2"/>
  <c r="C13" i="1"/>
  <c r="D13" i="1" s="1"/>
  <c r="H13" i="1" s="1"/>
  <c r="I13" i="1" s="1"/>
  <c r="D13" i="4" s="1"/>
  <c r="F13" i="4" s="1"/>
  <c r="C12" i="1"/>
  <c r="D12" i="1" s="1"/>
  <c r="H12" i="1" s="1"/>
  <c r="I12" i="1" s="1"/>
  <c r="D12" i="4" s="1"/>
  <c r="F12" i="4" s="1"/>
  <c r="C11" i="1"/>
  <c r="C10" i="1"/>
  <c r="D10" i="1" s="1"/>
  <c r="H10" i="1" s="1"/>
  <c r="I10" i="1" s="1"/>
  <c r="D10" i="4" s="1"/>
  <c r="C9" i="1"/>
  <c r="D9" i="1" s="1"/>
  <c r="H9" i="1" s="1"/>
  <c r="I9" i="1" s="1"/>
  <c r="D9" i="4" s="1"/>
  <c r="F9" i="4" s="1"/>
  <c r="C8" i="1"/>
  <c r="D8" i="4" s="1"/>
  <c r="C7" i="1"/>
  <c r="D7" i="1" s="1"/>
  <c r="H7" i="1" s="1"/>
  <c r="I7" i="1" s="1"/>
  <c r="D7" i="4" s="1"/>
  <c r="F7" i="4" s="1"/>
  <c r="C6" i="1"/>
  <c r="D6" i="1" s="1"/>
  <c r="H6" i="1" s="1"/>
  <c r="I6" i="1" s="1"/>
  <c r="D6" i="4" s="1"/>
  <c r="F6" i="4" s="1"/>
  <c r="C5" i="1"/>
  <c r="D5" i="1" s="1"/>
  <c r="H5" i="1" s="1"/>
  <c r="I5" i="1" s="1"/>
  <c r="D5" i="4" s="1"/>
  <c r="H4" i="1"/>
  <c r="I4" i="1" s="1"/>
  <c r="D4" i="4" s="1"/>
  <c r="C3" i="1"/>
  <c r="I3" i="1" s="1"/>
  <c r="D3" i="4" s="1"/>
  <c r="F3" i="4" s="1"/>
  <c r="D17" i="4" l="1"/>
  <c r="F5" i="4"/>
  <c r="D18" i="4"/>
  <c r="F18" i="4" s="1"/>
  <c r="F8" i="4"/>
  <c r="D19" i="4"/>
  <c r="F19" i="4" s="1"/>
  <c r="F10" i="4"/>
  <c r="D16" i="4"/>
  <c r="F16" i="4" s="1"/>
  <c r="F4" i="4"/>
  <c r="D4" i="6"/>
  <c r="D12" i="6"/>
  <c r="D22" i="6" s="1"/>
  <c r="D11" i="6"/>
  <c r="D21" i="6" s="1"/>
  <c r="D10" i="6"/>
  <c r="D9" i="6"/>
  <c r="D20" i="6" s="1"/>
  <c r="O13" i="2"/>
  <c r="P13" i="2" s="1"/>
  <c r="C13" i="4" s="1"/>
  <c r="O12" i="2"/>
  <c r="P12" i="2" s="1"/>
  <c r="C12" i="4" s="1"/>
  <c r="O3" i="2"/>
  <c r="P3" i="2" s="1"/>
  <c r="C3" i="4" s="1"/>
  <c r="K7" i="2"/>
  <c r="O7" i="2"/>
  <c r="P7" i="2" s="1"/>
  <c r="C7" i="4" s="1"/>
  <c r="M7" i="2"/>
  <c r="D11" i="1"/>
  <c r="E12" i="6" s="1"/>
  <c r="E22" i="6" s="1"/>
  <c r="D8" i="6" l="1"/>
  <c r="H11" i="1"/>
  <c r="I11" i="1" s="1"/>
  <c r="D11" i="4" s="1"/>
  <c r="D20" i="4" l="1"/>
  <c r="F20" i="4" s="1"/>
  <c r="F11" i="4"/>
</calcChain>
</file>

<file path=xl/sharedStrings.xml><?xml version="1.0" encoding="utf-8"?>
<sst xmlns="http://schemas.openxmlformats.org/spreadsheetml/2006/main" count="206" uniqueCount="64">
  <si>
    <t>V100 numbers</t>
  </si>
  <si>
    <t>Total Time or largest device kernel time</t>
  </si>
  <si>
    <t>DRAM-based roofline data</t>
  </si>
  <si>
    <t>Benchmark</t>
  </si>
  <si>
    <t>OpenCL</t>
  </si>
  <si>
    <t>CUDA</t>
  </si>
  <si>
    <t>Legend in Plot</t>
  </si>
  <si>
    <t>Kernel time, OpenCL (s)</t>
  </si>
  <si>
    <t>Kernel time, CUDA (s)</t>
  </si>
  <si>
    <t>nvprof flops, DP</t>
  </si>
  <si>
    <t>nvprof flops, SP</t>
  </si>
  <si>
    <t>nvprof flops, INT</t>
  </si>
  <si>
    <t>nvprof memory BW (GB/s)</t>
  </si>
  <si>
    <t>Computational Intensity</t>
  </si>
  <si>
    <t>Flop-rates (GF/s)</t>
  </si>
  <si>
    <t>Computational Intensity, computed again</t>
  </si>
  <si>
    <t>effiiciency</t>
  </si>
  <si>
    <t>efficiency, %</t>
  </si>
  <si>
    <t>bound by</t>
  </si>
  <si>
    <t>CFD Solver</t>
  </si>
  <si>
    <t>CFD-SP</t>
  </si>
  <si>
    <t>LU Decomposition</t>
  </si>
  <si>
    <t>LUD-30k-SP</t>
  </si>
  <si>
    <t>Back Propogation</t>
  </si>
  <si>
    <t>AW_BP-0.5M-SP</t>
  </si>
  <si>
    <t>Back Propogation 2</t>
  </si>
  <si>
    <t>LF_BP-0.5M-SP</t>
  </si>
  <si>
    <t>Kmeans</t>
  </si>
  <si>
    <t>Kmeans-SP</t>
  </si>
  <si>
    <t>Streamcluster</t>
  </si>
  <si>
    <t>Streamcluster-SP</t>
  </si>
  <si>
    <t>Pathfinder</t>
  </si>
  <si>
    <t>PathFinder-int32</t>
  </si>
  <si>
    <t>k-nearest Neighbors</t>
  </si>
  <si>
    <t>kNN-SP</t>
  </si>
  <si>
    <t>Hotspot3D</t>
  </si>
  <si>
    <t>Heartwall</t>
  </si>
  <si>
    <t>Heartwall-SP</t>
  </si>
  <si>
    <t>Heartwall-Int32</t>
  </si>
  <si>
    <t>% diff between CUDA and OpenCL</t>
  </si>
  <si>
    <t>total bytes (GB)</t>
  </si>
  <si>
    <t>peak BW</t>
  </si>
  <si>
    <t>crossover</t>
  </si>
  <si>
    <t>PF, SP</t>
  </si>
  <si>
    <t>PF, DP</t>
  </si>
  <si>
    <t>Gen9 numbers</t>
  </si>
  <si>
    <t>Bandwidth (GB/s)</t>
  </si>
  <si>
    <t>Time (s)</t>
  </si>
  <si>
    <t>efficiency</t>
  </si>
  <si>
    <t>total flops (GF)</t>
  </si>
  <si>
    <t>SKX numbers</t>
  </si>
  <si>
    <t>Time(s)</t>
  </si>
  <si>
    <t>DRAM traffic (B)</t>
  </si>
  <si>
    <t>FLOP (F)</t>
  </si>
  <si>
    <t>total flop count (Gflop)</t>
  </si>
  <si>
    <t>V100</t>
  </si>
  <si>
    <t>Gen9</t>
  </si>
  <si>
    <t>SKX</t>
  </si>
  <si>
    <t>Benchmark kernel</t>
  </si>
  <si>
    <t>Pathfinder (int)</t>
  </si>
  <si>
    <t>Benchmark Kernel</t>
  </si>
  <si>
    <t>Dual SKX</t>
  </si>
  <si>
    <t>Performanc portability metric</t>
  </si>
  <si>
    <t> Only when OpenCL and CUDA are similar on V100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</si>
</sst>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9" xfId="0" applyBorder="1"/>
    <xf numFmtId="0" fontId="1" fillId="0" borderId="0" xfId="0" applyFont="1" applyBorder="1"/>
    <xf numFmtId="0" fontId="0" fillId="0" borderId="17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4" xfId="0" applyBorder="1"/>
    <xf numFmtId="164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/>
    <xf numFmtId="0" fontId="0" fillId="0" borderId="4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0" fillId="3" borderId="2" xfId="0" applyFill="1" applyBorder="1"/>
    <xf numFmtId="0" fontId="0" fillId="3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2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0" borderId="43" xfId="0" applyBorder="1"/>
    <xf numFmtId="164" fontId="0" fillId="0" borderId="43" xfId="0" applyNumberFormat="1" applyBorder="1"/>
    <xf numFmtId="0" fontId="0" fillId="0" borderId="43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44" xfId="0" applyBorder="1"/>
    <xf numFmtId="0" fontId="0" fillId="4" borderId="2" xfId="0" applyFill="1" applyBorder="1"/>
    <xf numFmtId="0" fontId="0" fillId="4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1" xfId="0" applyFill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29" xfId="0" applyBorder="1" applyAlignment="1">
      <alignment horizontal="center"/>
    </xf>
    <xf numFmtId="0" fontId="0" fillId="0" borderId="43" xfId="0" applyFont="1" applyBorder="1"/>
    <xf numFmtId="164" fontId="0" fillId="0" borderId="0" xfId="0" applyNumberFormat="1" applyBorder="1" applyAlignment="1">
      <alignment wrapText="1"/>
    </xf>
    <xf numFmtId="0" fontId="0" fillId="0" borderId="0" xfId="0" applyFont="1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45" xfId="0" applyBorder="1"/>
    <xf numFmtId="0" fontId="0" fillId="0" borderId="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/>
    <xf numFmtId="0" fontId="0" fillId="4" borderId="43" xfId="0" applyFill="1" applyBorder="1"/>
    <xf numFmtId="0" fontId="2" fillId="0" borderId="43" xfId="0" applyFont="1" applyBorder="1" applyAlignment="1">
      <alignment wrapText="1"/>
    </xf>
    <xf numFmtId="0" fontId="2" fillId="0" borderId="43" xfId="0" applyFont="1" applyBorder="1"/>
    <xf numFmtId="0" fontId="0" fillId="0" borderId="43" xfId="0" applyFont="1" applyBorder="1" applyAlignment="1">
      <alignment wrapText="1"/>
    </xf>
    <xf numFmtId="0" fontId="3" fillId="0" borderId="4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wack, JaeHyuk" id="{1E217A15-116A-4C3B-AEE9-06BA08FEA704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19-08-28T08:13:15.68" personId="{1E217A15-116A-4C3B-AEE9-06BA08FEA704}" id="{A4A10676-A3A3-4823-8515-CA99483BAC62}">
    <text xml:space="preserve">Too low, so re-use Gen9 DRAM traffic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"/>
  <sheetViews>
    <sheetView tabSelected="1" workbookViewId="0">
      <selection activeCell="E32" sqref="E32"/>
    </sheetView>
  </sheetViews>
  <sheetFormatPr baseColWidth="10" defaultColWidth="8.83203125" defaultRowHeight="15" x14ac:dyDescent="0.2"/>
  <cols>
    <col min="1" max="1" width="25.1640625" customWidth="1"/>
    <col min="2" max="2" width="19.33203125" customWidth="1"/>
    <col min="3" max="10" width="18.1640625" customWidth="1"/>
    <col min="11" max="11" width="15.6640625" customWidth="1"/>
    <col min="12" max="12" width="16.33203125" customWidth="1"/>
    <col min="13" max="13" width="14.33203125" customWidth="1"/>
    <col min="14" max="14" width="16.1640625" customWidth="1"/>
  </cols>
  <sheetData>
    <row r="1" spans="1:30" x14ac:dyDescent="0.2">
      <c r="A1" s="8" t="s">
        <v>0</v>
      </c>
      <c r="B1" s="74" t="s">
        <v>1</v>
      </c>
      <c r="C1" s="75"/>
      <c r="D1" s="76" t="s">
        <v>2</v>
      </c>
      <c r="E1" s="77"/>
      <c r="F1" s="77"/>
      <c r="G1" s="78"/>
      <c r="H1" s="78"/>
      <c r="I1" s="78"/>
      <c r="J1" s="78"/>
      <c r="K1" s="78"/>
      <c r="L1" s="79"/>
    </row>
    <row r="2" spans="1:30" ht="48" x14ac:dyDescent="0.2">
      <c r="A2" s="15" t="s">
        <v>3</v>
      </c>
      <c r="B2" s="34" t="s">
        <v>4</v>
      </c>
      <c r="C2" s="35" t="s">
        <v>5</v>
      </c>
      <c r="D2" s="38" t="s">
        <v>6</v>
      </c>
      <c r="E2" s="38" t="s">
        <v>7</v>
      </c>
      <c r="F2" s="38" t="s">
        <v>8</v>
      </c>
      <c r="G2" s="36" t="s">
        <v>9</v>
      </c>
      <c r="H2" s="36" t="s">
        <v>10</v>
      </c>
      <c r="I2" s="36" t="s">
        <v>11</v>
      </c>
      <c r="J2" s="36" t="s">
        <v>12</v>
      </c>
      <c r="K2" s="39" t="s">
        <v>13</v>
      </c>
      <c r="L2" s="41" t="s">
        <v>14</v>
      </c>
      <c r="M2" s="38" t="s">
        <v>15</v>
      </c>
      <c r="N2" s="109"/>
      <c r="O2" s="43" t="s">
        <v>16</v>
      </c>
      <c r="P2" s="85" t="s">
        <v>17</v>
      </c>
      <c r="Q2" s="113"/>
      <c r="R2" s="112"/>
      <c r="S2" s="112"/>
      <c r="T2" s="112"/>
      <c r="U2" s="114"/>
      <c r="V2" s="114"/>
      <c r="W2" s="114"/>
      <c r="X2" s="114"/>
      <c r="Y2" s="114"/>
      <c r="Z2" s="114"/>
      <c r="AA2" s="114"/>
      <c r="AB2" s="114"/>
      <c r="AC2" s="114"/>
      <c r="AD2" s="114"/>
    </row>
    <row r="3" spans="1:30" x14ac:dyDescent="0.2">
      <c r="A3" s="3" t="s">
        <v>19</v>
      </c>
      <c r="B3" s="3">
        <v>4.7699999999999996</v>
      </c>
      <c r="C3" s="4">
        <v>3.4020000000000001</v>
      </c>
      <c r="D3" s="27" t="s">
        <v>20</v>
      </c>
      <c r="E3" s="27">
        <v>0.29161700000000002</v>
      </c>
      <c r="F3" s="27">
        <v>0.43</v>
      </c>
      <c r="G3" s="5"/>
      <c r="H3" s="27">
        <f>L3*F3*10^9</f>
        <v>631670000000</v>
      </c>
      <c r="I3" s="27"/>
      <c r="J3" s="27">
        <f>225.69+67.03</f>
        <v>292.72000000000003</v>
      </c>
      <c r="K3" s="40">
        <f>1469/J3</f>
        <v>5.0184476632959818</v>
      </c>
      <c r="L3" s="2">
        <v>1469</v>
      </c>
      <c r="M3" s="28">
        <f>L3/J3</f>
        <v>5.0184476632959818</v>
      </c>
      <c r="N3" s="110"/>
      <c r="O3" s="4">
        <f>L3/MIN($N$16,K3*$N$15)</f>
        <v>0.37624678663239081</v>
      </c>
      <c r="P3" s="83">
        <f>O3*100</f>
        <v>37.624678663239081</v>
      </c>
      <c r="Q3" s="112"/>
      <c r="R3" s="112"/>
      <c r="S3" s="112"/>
      <c r="T3" s="112"/>
      <c r="U3" s="114"/>
      <c r="V3" s="114"/>
      <c r="W3" s="114"/>
      <c r="X3" s="114"/>
      <c r="Y3" s="114"/>
      <c r="Z3" s="114"/>
      <c r="AA3" s="114"/>
      <c r="AB3" s="114"/>
      <c r="AC3" s="114"/>
      <c r="AD3" s="114"/>
    </row>
    <row r="4" spans="1:30" s="68" customFormat="1" x14ac:dyDescent="0.2">
      <c r="A4" s="93" t="s">
        <v>21</v>
      </c>
      <c r="B4" s="93">
        <v>11.8</v>
      </c>
      <c r="C4" s="88">
        <v>10.7</v>
      </c>
      <c r="D4" s="100" t="s">
        <v>22</v>
      </c>
      <c r="E4" s="101">
        <v>11.8</v>
      </c>
      <c r="F4" s="101">
        <v>10.7</v>
      </c>
      <c r="G4" s="93"/>
      <c r="H4" s="102">
        <f>9897360000*1874</f>
        <v>18547652640000</v>
      </c>
      <c r="I4" s="102"/>
      <c r="J4" s="102">
        <f>194.08+193.38</f>
        <v>387.46000000000004</v>
      </c>
      <c r="K4" s="103">
        <f t="shared" ref="K4:K13" si="0">L4/J4</f>
        <v>4.4738178918438845</v>
      </c>
      <c r="L4" s="88">
        <f>H4/F4/10^9</f>
        <v>1733.4254803738318</v>
      </c>
      <c r="M4" s="104">
        <f t="shared" ref="M4:M13" si="1">L4/J4</f>
        <v>4.4738178918438845</v>
      </c>
      <c r="N4" s="110"/>
      <c r="O4" s="88">
        <f>L4/MIN($N$16,K4*$N$15)</f>
        <v>0.4980205655526993</v>
      </c>
      <c r="P4" s="115">
        <f t="shared" ref="P4:P13" si="2">O4*100</f>
        <v>49.802056555269928</v>
      </c>
      <c r="Q4" s="112"/>
      <c r="R4" s="112"/>
      <c r="S4" s="112"/>
      <c r="T4" s="112"/>
      <c r="U4" s="114"/>
      <c r="V4" s="114"/>
      <c r="W4" s="114"/>
      <c r="X4" s="114"/>
      <c r="Y4" s="114"/>
      <c r="Z4" s="114"/>
      <c r="AA4" s="114"/>
      <c r="AB4" s="114"/>
      <c r="AC4" s="114"/>
      <c r="AD4" s="114"/>
    </row>
    <row r="5" spans="1:30" s="68" customFormat="1" x14ac:dyDescent="0.2">
      <c r="A5" s="93" t="s">
        <v>23</v>
      </c>
      <c r="B5" s="93">
        <v>203.23</v>
      </c>
      <c r="C5" s="88">
        <v>191.84</v>
      </c>
      <c r="D5" s="105" t="s">
        <v>24</v>
      </c>
      <c r="E5" s="102">
        <v>2.0322999999999999E-4</v>
      </c>
      <c r="F5" s="102">
        <v>1.9260999999999999E-4</v>
      </c>
      <c r="G5" s="106"/>
      <c r="H5" s="106">
        <v>75497584</v>
      </c>
      <c r="I5" s="106"/>
      <c r="J5" s="102">
        <f>359.77+353.42</f>
        <v>713.19</v>
      </c>
      <c r="K5" s="103">
        <f t="shared" si="0"/>
        <v>0.54960285195032399</v>
      </c>
      <c r="L5" s="88">
        <f>H5/F5/10^9</f>
        <v>391.97125798245162</v>
      </c>
      <c r="M5" s="104">
        <f t="shared" si="1"/>
        <v>0.54960285195032399</v>
      </c>
      <c r="N5" s="110"/>
      <c r="O5" s="88">
        <f>L5/MIN(N17,K5*$N$15)</f>
        <v>0.91669665809768652</v>
      </c>
      <c r="P5" s="115">
        <f t="shared" si="2"/>
        <v>91.669665809768645</v>
      </c>
      <c r="Q5" s="112"/>
      <c r="R5" s="112"/>
      <c r="S5" s="112"/>
      <c r="T5" s="112"/>
      <c r="U5" s="114"/>
      <c r="V5" s="114"/>
      <c r="W5" s="114"/>
      <c r="X5" s="114"/>
      <c r="Y5" s="114"/>
      <c r="Z5" s="114"/>
      <c r="AA5" s="114"/>
      <c r="AB5" s="114"/>
      <c r="AC5" s="114"/>
      <c r="AD5" s="114"/>
    </row>
    <row r="6" spans="1:30" x14ac:dyDescent="0.2">
      <c r="A6" s="1" t="s">
        <v>25</v>
      </c>
      <c r="B6" s="1"/>
      <c r="C6" s="2"/>
      <c r="D6" s="14" t="s">
        <v>26</v>
      </c>
      <c r="E6" s="27">
        <v>1.7635E-4</v>
      </c>
      <c r="F6" s="27">
        <v>1.4313999999999999E-4</v>
      </c>
      <c r="G6" s="29"/>
      <c r="H6" s="30">
        <v>16252928</v>
      </c>
      <c r="I6" s="30"/>
      <c r="J6" s="27">
        <f>246.66+256.63</f>
        <v>503.28999999999996</v>
      </c>
      <c r="K6" s="40">
        <f t="shared" si="0"/>
        <v>0.22560685799913865</v>
      </c>
      <c r="L6" s="2">
        <f>H6/F6/10^9</f>
        <v>113.54567556238649</v>
      </c>
      <c r="M6" s="28">
        <f t="shared" si="1"/>
        <v>0.22560685799913865</v>
      </c>
      <c r="N6" s="110"/>
      <c r="O6" s="2">
        <f t="shared" ref="O6:O13" si="3">L6/MIN($N$16,K6*$N$15)</f>
        <v>0.64690231362467865</v>
      </c>
      <c r="P6" s="83">
        <f t="shared" si="2"/>
        <v>64.69023136246787</v>
      </c>
      <c r="Q6" s="112"/>
      <c r="R6" s="112"/>
      <c r="S6" s="112"/>
      <c r="T6" s="112"/>
      <c r="U6" s="114"/>
      <c r="V6" s="114"/>
      <c r="W6" s="114"/>
      <c r="X6" s="114"/>
      <c r="Y6" s="114"/>
      <c r="Z6" s="114"/>
      <c r="AA6" s="114"/>
      <c r="AB6" s="114"/>
      <c r="AC6" s="114"/>
      <c r="AD6" s="114"/>
    </row>
    <row r="7" spans="1:30" x14ac:dyDescent="0.2">
      <c r="A7" s="1" t="s">
        <v>27</v>
      </c>
      <c r="B7" s="1">
        <v>52.027000000000001</v>
      </c>
      <c r="C7" s="2">
        <v>31.95</v>
      </c>
      <c r="D7" s="14" t="s">
        <v>28</v>
      </c>
      <c r="E7" s="27">
        <v>1.525E-2</v>
      </c>
      <c r="F7" s="72">
        <v>8.1919000000000002E-4</v>
      </c>
      <c r="G7" s="55"/>
      <c r="H7" s="27">
        <f>251950200*2</f>
        <v>503900400</v>
      </c>
      <c r="I7" s="27"/>
      <c r="J7" s="5">
        <f>553.5+11.173</f>
        <v>564.673</v>
      </c>
      <c r="K7" s="40">
        <f t="shared" si="0"/>
        <v>1.0893389656695045</v>
      </c>
      <c r="L7" s="44">
        <f>H7/F7/10^9</f>
        <v>615.12030176149608</v>
      </c>
      <c r="M7" s="28">
        <f t="shared" si="1"/>
        <v>1.0893389656695045</v>
      </c>
      <c r="N7" s="110"/>
      <c r="O7" s="2">
        <f t="shared" si="3"/>
        <v>0.72580077120822617</v>
      </c>
      <c r="P7" s="83">
        <f t="shared" si="2"/>
        <v>72.580077120822622</v>
      </c>
      <c r="Q7" s="112"/>
      <c r="R7" s="112"/>
      <c r="S7" s="112"/>
      <c r="T7" s="112"/>
      <c r="U7" s="114"/>
      <c r="V7" s="114"/>
      <c r="W7" s="114"/>
      <c r="X7" s="114"/>
      <c r="Y7" s="114"/>
      <c r="Z7" s="114"/>
      <c r="AA7" s="114"/>
      <c r="AB7" s="114"/>
      <c r="AC7" s="114"/>
      <c r="AD7" s="114"/>
    </row>
    <row r="8" spans="1:30" s="68" customFormat="1" x14ac:dyDescent="0.2">
      <c r="A8" s="93" t="s">
        <v>29</v>
      </c>
      <c r="B8" s="93">
        <v>5.6155220430000004</v>
      </c>
      <c r="C8" s="88">
        <v>5.8482909999999997</v>
      </c>
      <c r="D8" s="105" t="s">
        <v>30</v>
      </c>
      <c r="E8" s="102">
        <f>173017280/10^9</f>
        <v>0.17301728</v>
      </c>
      <c r="F8" s="107">
        <v>0.1539229</v>
      </c>
      <c r="G8" s="93"/>
      <c r="H8" s="102">
        <f>50528256*1611</f>
        <v>81401020416</v>
      </c>
      <c r="I8" s="102"/>
      <c r="J8" s="90">
        <f>674.1+48.696</f>
        <v>722.79600000000005</v>
      </c>
      <c r="K8" s="103">
        <f t="shared" si="0"/>
        <v>0.73166262605702104</v>
      </c>
      <c r="L8" s="92">
        <f>H8/F8/10^9</f>
        <v>528.84281946351064</v>
      </c>
      <c r="M8" s="104">
        <f t="shared" si="1"/>
        <v>0.73166262605702104</v>
      </c>
      <c r="N8" s="110"/>
      <c r="O8" s="88">
        <f t="shared" si="3"/>
        <v>0.92904370179948603</v>
      </c>
      <c r="P8" s="115">
        <f t="shared" si="2"/>
        <v>92.9043701799486</v>
      </c>
      <c r="Q8" s="112"/>
      <c r="R8" s="112"/>
      <c r="S8" s="112"/>
      <c r="T8" s="112"/>
      <c r="U8" s="114"/>
      <c r="V8" s="114"/>
      <c r="W8" s="114"/>
      <c r="X8" s="114"/>
      <c r="Y8" s="114"/>
      <c r="Z8" s="114"/>
      <c r="AA8" s="114"/>
      <c r="AB8" s="114"/>
      <c r="AC8" s="114"/>
      <c r="AD8" s="114"/>
    </row>
    <row r="9" spans="1:30" x14ac:dyDescent="0.2">
      <c r="A9" s="1" t="s">
        <v>31</v>
      </c>
      <c r="B9" s="29">
        <v>0.22500000000000001</v>
      </c>
      <c r="C9" s="32">
        <v>7.0000000000000001E-3</v>
      </c>
      <c r="D9" s="16" t="s">
        <v>32</v>
      </c>
      <c r="E9" s="27">
        <v>0.24</v>
      </c>
      <c r="F9" s="72">
        <v>7.2884999999999998E-3</v>
      </c>
      <c r="G9" s="1"/>
      <c r="H9" s="1"/>
      <c r="I9" s="27">
        <f>4068503546*5</f>
        <v>20342517730</v>
      </c>
      <c r="J9" s="5">
        <f>28.471</f>
        <v>28.471</v>
      </c>
      <c r="K9" s="40">
        <f t="shared" si="0"/>
        <v>98.03108823446361</v>
      </c>
      <c r="L9" s="42">
        <f>I9/F9/10^9</f>
        <v>2791.0431131234136</v>
      </c>
      <c r="M9" s="28">
        <f t="shared" si="1"/>
        <v>98.03108823446361</v>
      </c>
      <c r="N9" s="111"/>
      <c r="O9" s="2">
        <f t="shared" si="3"/>
        <v>0.18606954087489425</v>
      </c>
      <c r="P9" s="83">
        <f t="shared" si="2"/>
        <v>18.606954087489424</v>
      </c>
      <c r="Q9" s="112"/>
      <c r="R9" s="112"/>
      <c r="S9" s="112"/>
      <c r="T9" s="112"/>
      <c r="U9" s="114"/>
      <c r="V9" s="114"/>
      <c r="W9" s="114"/>
      <c r="X9" s="114"/>
      <c r="Y9" s="114"/>
      <c r="Z9" s="114"/>
      <c r="AA9" s="114"/>
      <c r="AB9" s="114"/>
      <c r="AC9" s="114"/>
      <c r="AD9" s="114"/>
    </row>
    <row r="10" spans="1:30" x14ac:dyDescent="0.2">
      <c r="A10" s="88" t="s">
        <v>33</v>
      </c>
      <c r="B10" s="93">
        <v>10.23</v>
      </c>
      <c r="C10" s="93">
        <v>7.8302800000000001</v>
      </c>
      <c r="D10" s="102" t="s">
        <v>34</v>
      </c>
      <c r="E10" s="90">
        <f>0.008*1001</f>
        <v>8.0080000000000009</v>
      </c>
      <c r="F10" s="107">
        <v>7.8070000000000004</v>
      </c>
      <c r="G10" s="93"/>
      <c r="H10" s="102">
        <f>6291454488*1001</f>
        <v>6297745942488</v>
      </c>
      <c r="I10" s="102"/>
      <c r="J10" s="90">
        <f>276.19</f>
        <v>276.19</v>
      </c>
      <c r="K10" s="103">
        <f t="shared" si="0"/>
        <v>2.9207407325538304</v>
      </c>
      <c r="L10" s="92">
        <f>H10/F10/10^9</f>
        <v>806.67938292404244</v>
      </c>
      <c r="M10" s="104">
        <f t="shared" si="1"/>
        <v>2.9207407325538304</v>
      </c>
      <c r="N10" s="111"/>
      <c r="O10" s="88">
        <f t="shared" si="3"/>
        <v>0.35500000000000004</v>
      </c>
      <c r="P10" s="115">
        <f t="shared" si="2"/>
        <v>35.500000000000007</v>
      </c>
      <c r="Q10" s="112"/>
      <c r="R10" s="112"/>
      <c r="S10" s="112"/>
      <c r="T10" s="112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</row>
    <row r="11" spans="1:30" s="68" customFormat="1" x14ac:dyDescent="0.2">
      <c r="A11" s="88" t="s">
        <v>35</v>
      </c>
      <c r="B11" s="93">
        <v>4.190816E-3</v>
      </c>
      <c r="C11" s="93">
        <v>4.0936000000000002E-3</v>
      </c>
      <c r="D11" s="102" t="s">
        <v>35</v>
      </c>
      <c r="E11" s="90">
        <v>4.190816E-3</v>
      </c>
      <c r="F11" s="107">
        <v>4.0936000000000002E-3</v>
      </c>
      <c r="G11" s="93"/>
      <c r="H11" s="102">
        <f>35651584*100</f>
        <v>3565158400</v>
      </c>
      <c r="I11" s="102"/>
      <c r="J11" s="90">
        <f>198.37+364.96</f>
        <v>563.32999999999993</v>
      </c>
      <c r="K11" s="103">
        <f t="shared" si="0"/>
        <v>1.5460037615666171</v>
      </c>
      <c r="L11" s="92">
        <f>H11/F11/10^9</f>
        <v>870.91029900332228</v>
      </c>
      <c r="M11" s="104">
        <f t="shared" si="1"/>
        <v>1.5460037615666171</v>
      </c>
      <c r="N11" s="111"/>
      <c r="O11" s="88">
        <f t="shared" si="3"/>
        <v>0.7240745501285345</v>
      </c>
      <c r="P11" s="115">
        <f t="shared" si="2"/>
        <v>72.407455012853447</v>
      </c>
      <c r="Q11" s="112"/>
      <c r="R11" s="112"/>
      <c r="S11" s="112"/>
      <c r="T11" s="112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</row>
    <row r="12" spans="1:30" x14ac:dyDescent="0.2">
      <c r="A12" s="2" t="s">
        <v>36</v>
      </c>
      <c r="B12" s="1">
        <v>5.6340000000000003</v>
      </c>
      <c r="C12" s="1">
        <v>1.1279999999999999</v>
      </c>
      <c r="D12" s="27" t="s">
        <v>37</v>
      </c>
      <c r="E12" s="5">
        <v>0.38600000000000001</v>
      </c>
      <c r="F12" s="72">
        <v>0.23799999999999999</v>
      </c>
      <c r="G12" s="27"/>
      <c r="H12" s="27">
        <v>1868290720</v>
      </c>
      <c r="I12" s="1"/>
      <c r="J12" s="5">
        <f>30.6+44.6</f>
        <v>75.2</v>
      </c>
      <c r="K12" s="40">
        <f t="shared" si="0"/>
        <v>0.10438777936706597</v>
      </c>
      <c r="L12" s="42">
        <f>H12/F12/10^9</f>
        <v>7.8499610084033611</v>
      </c>
      <c r="M12" s="28">
        <f t="shared" si="1"/>
        <v>0.10438777936706597</v>
      </c>
      <c r="N12" s="111"/>
      <c r="O12" s="2">
        <f t="shared" si="3"/>
        <v>9.665809768637533E-2</v>
      </c>
      <c r="P12" s="83">
        <f t="shared" si="2"/>
        <v>9.6658097686375335</v>
      </c>
      <c r="Q12" s="112"/>
      <c r="R12" s="112"/>
      <c r="S12" s="112"/>
      <c r="T12" s="112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</row>
    <row r="13" spans="1:30" x14ac:dyDescent="0.2">
      <c r="A13" s="2" t="s">
        <v>36</v>
      </c>
      <c r="B13" s="1"/>
      <c r="C13" s="1"/>
      <c r="D13" s="27" t="s">
        <v>38</v>
      </c>
      <c r="E13" s="24"/>
      <c r="F13" s="96">
        <v>0.23799999999999999</v>
      </c>
      <c r="G13" s="52"/>
      <c r="H13" s="1"/>
      <c r="I13" s="52">
        <v>3727605981</v>
      </c>
      <c r="J13" s="24">
        <f>30.6+44.6</f>
        <v>75.2</v>
      </c>
      <c r="K13" s="40">
        <f t="shared" si="0"/>
        <v>0.20827406920480956</v>
      </c>
      <c r="L13" s="42">
        <f>I13/F13/10^9</f>
        <v>15.662210004201681</v>
      </c>
      <c r="M13" s="28">
        <f t="shared" si="1"/>
        <v>0.20827406920480956</v>
      </c>
      <c r="N13" s="111"/>
      <c r="O13" s="2">
        <f t="shared" si="3"/>
        <v>9.665809768637533E-2</v>
      </c>
      <c r="P13" s="83">
        <f t="shared" si="2"/>
        <v>9.6658097686375335</v>
      </c>
      <c r="Q13" s="112"/>
      <c r="R13" s="112"/>
      <c r="S13" s="112"/>
      <c r="T13" s="112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</row>
    <row r="14" spans="1:30" ht="32" x14ac:dyDescent="0.2">
      <c r="B14" s="37"/>
      <c r="C14" s="8"/>
      <c r="D14" s="37"/>
      <c r="E14" s="37"/>
      <c r="F14" s="97"/>
      <c r="G14" s="118" t="s">
        <v>39</v>
      </c>
      <c r="I14" s="83">
        <f>H3/10^9</f>
        <v>631.66999999999996</v>
      </c>
      <c r="J14" s="83" t="s">
        <v>40</v>
      </c>
      <c r="M14" s="8"/>
      <c r="N14" s="112"/>
      <c r="Q14" s="112"/>
      <c r="R14" s="112"/>
      <c r="S14" s="112"/>
      <c r="T14" s="112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</row>
    <row r="15" spans="1:30" x14ac:dyDescent="0.2">
      <c r="B15" s="8"/>
      <c r="C15" s="33"/>
      <c r="D15" s="33"/>
      <c r="E15" s="8"/>
      <c r="F15" s="97" t="s">
        <v>19</v>
      </c>
      <c r="G15" s="97">
        <f>ABS(E3-F3)/AVERAGE(E3,F3)*100</f>
        <v>38.353586459299045</v>
      </c>
      <c r="I15" s="83">
        <f>H4/10^9</f>
        <v>18547.65264</v>
      </c>
      <c r="J15" s="83">
        <f>J3*F3</f>
        <v>125.86960000000001</v>
      </c>
      <c r="M15" s="1" t="s">
        <v>41</v>
      </c>
      <c r="N15" s="2">
        <v>778</v>
      </c>
      <c r="O15" s="83" t="s">
        <v>42</v>
      </c>
      <c r="P15" s="108">
        <f>N16/N15</f>
        <v>19.280205655526991</v>
      </c>
      <c r="Q15" s="112"/>
      <c r="R15" s="112"/>
      <c r="S15" s="112"/>
      <c r="T15" s="112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</row>
    <row r="16" spans="1:30" x14ac:dyDescent="0.2">
      <c r="B16" s="8"/>
      <c r="C16" s="8"/>
      <c r="D16" s="8"/>
      <c r="E16" s="8"/>
      <c r="F16" s="97" t="s">
        <v>21</v>
      </c>
      <c r="G16" s="97">
        <f t="shared" ref="G16:G23" si="4">ABS(E4-F4)/AVERAGE(E4,F4)*100</f>
        <v>9.777777777777791</v>
      </c>
      <c r="I16" s="83">
        <f t="shared" ref="I16:I24" si="5">H5/10^9</f>
        <v>7.5497584000000006E-2</v>
      </c>
      <c r="J16" s="117">
        <f t="shared" ref="J16:J24" si="6">J4*F4</f>
        <v>4145.8220000000001</v>
      </c>
      <c r="M16" s="1" t="s">
        <v>43</v>
      </c>
      <c r="N16" s="1">
        <v>15000</v>
      </c>
      <c r="Q16" s="112"/>
      <c r="R16" s="112"/>
      <c r="S16" s="112"/>
      <c r="T16" s="112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</row>
    <row r="17" spans="1:30" x14ac:dyDescent="0.2">
      <c r="B17" s="8"/>
      <c r="C17" s="8"/>
      <c r="D17" s="8"/>
      <c r="E17" s="8"/>
      <c r="F17" s="97" t="s">
        <v>23</v>
      </c>
      <c r="G17" s="97">
        <f>ABS(E5-F5)/AVERAGE(E5,F5)*100</f>
        <v>5.3658043654001641</v>
      </c>
      <c r="I17" s="83">
        <f t="shared" si="5"/>
        <v>1.6252928E-2</v>
      </c>
      <c r="J17" s="117">
        <f t="shared" si="6"/>
        <v>0.13736752590000001</v>
      </c>
      <c r="M17" s="1" t="s">
        <v>44</v>
      </c>
      <c r="N17" s="1">
        <f>7660</f>
        <v>7660</v>
      </c>
      <c r="Q17" s="112"/>
      <c r="R17" s="112"/>
      <c r="S17" s="112"/>
      <c r="T17" s="112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</row>
    <row r="18" spans="1:30" x14ac:dyDescent="0.2">
      <c r="B18" s="8"/>
      <c r="C18" s="33"/>
      <c r="D18" s="33"/>
      <c r="E18" s="8"/>
      <c r="F18" s="97" t="s">
        <v>25</v>
      </c>
      <c r="G18" s="97">
        <f t="shared" si="4"/>
        <v>20.789383079282619</v>
      </c>
      <c r="I18" s="83">
        <f t="shared" si="5"/>
        <v>0.50390040000000003</v>
      </c>
      <c r="J18" s="83">
        <f t="shared" si="6"/>
        <v>7.2040930599999983E-2</v>
      </c>
      <c r="Q18" s="112"/>
      <c r="R18" s="112"/>
      <c r="S18" s="112"/>
      <c r="T18" s="112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</row>
    <row r="19" spans="1:30" x14ac:dyDescent="0.2">
      <c r="B19" s="8"/>
      <c r="C19" s="33"/>
      <c r="D19" s="33"/>
      <c r="E19" s="8"/>
      <c r="F19" s="97" t="s">
        <v>27</v>
      </c>
      <c r="G19" s="97">
        <f t="shared" si="4"/>
        <v>179.6084307920934</v>
      </c>
      <c r="I19" s="83">
        <f t="shared" si="5"/>
        <v>81.401020415999994</v>
      </c>
      <c r="J19" s="83">
        <f>J7*F7</f>
        <v>0.46257447487000003</v>
      </c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</row>
    <row r="20" spans="1:30" x14ac:dyDescent="0.2">
      <c r="B20" s="8"/>
      <c r="C20" s="8"/>
      <c r="D20" s="8"/>
      <c r="E20" s="8"/>
      <c r="F20" s="97" t="s">
        <v>29</v>
      </c>
      <c r="G20" s="97">
        <f t="shared" si="4"/>
        <v>11.680656687715771</v>
      </c>
      <c r="I20" s="83">
        <f>I9/10^9</f>
        <v>20.342517730000001</v>
      </c>
      <c r="J20" s="117">
        <f t="shared" si="6"/>
        <v>111.2548564284</v>
      </c>
    </row>
    <row r="21" spans="1:30" x14ac:dyDescent="0.2">
      <c r="B21" s="8"/>
      <c r="C21" s="33"/>
      <c r="D21" s="33"/>
      <c r="E21" s="8"/>
      <c r="F21" s="97" t="s">
        <v>31</v>
      </c>
      <c r="G21" s="97">
        <f t="shared" si="4"/>
        <v>188.21053142382277</v>
      </c>
      <c r="I21" s="83">
        <f t="shared" si="5"/>
        <v>6297.7459424879999</v>
      </c>
      <c r="J21" s="83">
        <f t="shared" si="6"/>
        <v>0.20751088349999999</v>
      </c>
    </row>
    <row r="22" spans="1:30" x14ac:dyDescent="0.2">
      <c r="B22" s="8"/>
      <c r="C22" s="8"/>
      <c r="D22" s="8"/>
      <c r="E22" s="8"/>
      <c r="F22" s="97" t="s">
        <v>33</v>
      </c>
      <c r="G22" s="97">
        <f t="shared" si="4"/>
        <v>2.5418906101802148</v>
      </c>
      <c r="I22" s="83">
        <f t="shared" si="5"/>
        <v>3.5651584000000001</v>
      </c>
      <c r="J22" s="117">
        <f t="shared" si="6"/>
        <v>2156.21533</v>
      </c>
    </row>
    <row r="23" spans="1:30" x14ac:dyDescent="0.2">
      <c r="A23" s="8"/>
      <c r="B23" s="8"/>
      <c r="C23" s="8"/>
      <c r="D23" s="8"/>
      <c r="E23" s="8"/>
      <c r="F23" s="97" t="s">
        <v>35</v>
      </c>
      <c r="G23" s="97">
        <f t="shared" si="4"/>
        <v>2.3469608479342372</v>
      </c>
      <c r="I23" s="83">
        <f t="shared" si="5"/>
        <v>1.8682907200000001</v>
      </c>
      <c r="J23" s="117">
        <f t="shared" si="6"/>
        <v>2.3060476879999996</v>
      </c>
    </row>
    <row r="24" spans="1:30" x14ac:dyDescent="0.2">
      <c r="A24" s="8"/>
      <c r="B24" s="8"/>
      <c r="C24" s="33"/>
      <c r="D24" s="33"/>
      <c r="E24" s="8"/>
      <c r="F24" s="97" t="s">
        <v>36</v>
      </c>
      <c r="G24" s="97">
        <f>ABS(E12-F12)/AVERAGE(E12,F12)*100</f>
        <v>47.435897435897445</v>
      </c>
      <c r="I24" s="83">
        <f t="shared" si="5"/>
        <v>0</v>
      </c>
      <c r="J24" s="119">
        <f t="shared" si="6"/>
        <v>17.897600000000001</v>
      </c>
    </row>
    <row r="25" spans="1:30" x14ac:dyDescent="0.2">
      <c r="A25" s="8"/>
      <c r="B25" s="8"/>
      <c r="C25" s="33"/>
      <c r="D25" s="33"/>
      <c r="E25" s="8"/>
      <c r="F25" s="33"/>
      <c r="G25" s="99"/>
      <c r="H25" s="8"/>
    </row>
    <row r="26" spans="1:30" x14ac:dyDescent="0.2">
      <c r="A26" s="8"/>
      <c r="B26" s="8"/>
      <c r="C26" s="33"/>
      <c r="D26" s="33"/>
      <c r="E26" s="8"/>
      <c r="F26" s="8"/>
      <c r="G26" s="8"/>
      <c r="H26" s="8"/>
    </row>
    <row r="27" spans="1:30" x14ac:dyDescent="0.2">
      <c r="A27" s="8"/>
      <c r="B27" s="8"/>
      <c r="C27" s="8"/>
      <c r="D27" s="8"/>
      <c r="E27" s="8"/>
      <c r="F27" s="8"/>
      <c r="G27" s="8"/>
      <c r="H27" s="8"/>
    </row>
    <row r="28" spans="1:30" x14ac:dyDescent="0.2">
      <c r="A28" s="8"/>
      <c r="B28" s="8"/>
      <c r="C28" s="8"/>
      <c r="D28" s="8"/>
      <c r="E28" s="8"/>
      <c r="F28" s="8"/>
      <c r="G28" s="8"/>
      <c r="H28" s="8"/>
    </row>
    <row r="29" spans="1:30" x14ac:dyDescent="0.2">
      <c r="A29" s="94"/>
      <c r="B29" s="94"/>
      <c r="C29" s="94"/>
      <c r="D29" s="98"/>
      <c r="E29" s="8"/>
      <c r="F29" s="8"/>
      <c r="G29" s="94"/>
      <c r="H29" s="8"/>
    </row>
    <row r="30" spans="1:30" x14ac:dyDescent="0.2">
      <c r="A30" s="94"/>
      <c r="B30" s="95"/>
      <c r="C30" s="95"/>
      <c r="D30" s="94"/>
      <c r="E30" s="8"/>
      <c r="F30" s="8"/>
      <c r="G30" s="94"/>
      <c r="H30" s="8"/>
    </row>
    <row r="31" spans="1:30" x14ac:dyDescent="0.2">
      <c r="A31" s="94"/>
      <c r="B31" s="95"/>
      <c r="C31" s="95"/>
      <c r="D31" s="94"/>
      <c r="E31" s="8"/>
      <c r="F31" s="8"/>
      <c r="G31" s="94"/>
      <c r="H31" s="8"/>
    </row>
    <row r="32" spans="1:30" x14ac:dyDescent="0.2">
      <c r="A32" s="94"/>
      <c r="B32" s="95"/>
      <c r="C32" s="95"/>
      <c r="D32" s="94"/>
      <c r="E32" s="8"/>
      <c r="F32" s="8"/>
      <c r="G32" s="94"/>
      <c r="H32" s="8"/>
    </row>
    <row r="33" spans="1:8" x14ac:dyDescent="0.2">
      <c r="A33" s="94"/>
      <c r="B33" s="95"/>
      <c r="C33" s="95"/>
      <c r="D33" s="94"/>
      <c r="E33" s="8"/>
      <c r="F33" s="8"/>
      <c r="G33" s="94"/>
      <c r="H33" s="8"/>
    </row>
    <row r="34" spans="1:8" x14ac:dyDescent="0.2">
      <c r="A34" s="94"/>
      <c r="B34" s="95"/>
      <c r="C34" s="95"/>
      <c r="D34" s="94"/>
      <c r="E34" s="8"/>
      <c r="F34" s="8"/>
      <c r="G34" s="94"/>
      <c r="H34" s="8"/>
    </row>
    <row r="35" spans="1:8" x14ac:dyDescent="0.2">
      <c r="A35" s="94"/>
      <c r="B35" s="95"/>
      <c r="C35" s="95"/>
      <c r="D35" s="94"/>
      <c r="E35" s="8"/>
      <c r="G35" s="26"/>
    </row>
    <row r="36" spans="1:8" x14ac:dyDescent="0.2">
      <c r="A36" s="94"/>
      <c r="B36" s="95"/>
      <c r="C36" s="95"/>
      <c r="D36" s="94"/>
      <c r="E36" s="8"/>
      <c r="G36" s="26"/>
    </row>
    <row r="37" spans="1:8" x14ac:dyDescent="0.2">
      <c r="A37" s="94"/>
      <c r="B37" s="95"/>
      <c r="C37" s="95"/>
      <c r="D37" s="94"/>
      <c r="E37" s="8"/>
      <c r="G37" s="26"/>
    </row>
    <row r="38" spans="1:8" x14ac:dyDescent="0.2">
      <c r="A38" s="94"/>
      <c r="B38" s="95"/>
      <c r="C38" s="95"/>
      <c r="D38" s="94"/>
      <c r="E38" s="8"/>
      <c r="G38" s="26"/>
    </row>
    <row r="39" spans="1:8" x14ac:dyDescent="0.2">
      <c r="A39" s="94"/>
      <c r="B39" s="95"/>
      <c r="C39" s="95"/>
      <c r="D39" s="94"/>
      <c r="E39" s="8"/>
      <c r="G39" s="26"/>
    </row>
    <row r="40" spans="1:8" x14ac:dyDescent="0.2">
      <c r="A40" s="8"/>
      <c r="B40" s="8"/>
      <c r="C40" s="8"/>
      <c r="D40" s="8"/>
      <c r="E40" s="8"/>
    </row>
    <row r="41" spans="1:8" x14ac:dyDescent="0.2">
      <c r="A41" s="8"/>
      <c r="B41" s="8"/>
      <c r="C41" s="8"/>
    </row>
    <row r="45" spans="1:8" x14ac:dyDescent="0.2">
      <c r="B45" s="26"/>
    </row>
  </sheetData>
  <mergeCells count="2">
    <mergeCell ref="B1:C1"/>
    <mergeCell ref="D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D15" sqref="D15:E25"/>
    </sheetView>
  </sheetViews>
  <sheetFormatPr baseColWidth="10" defaultColWidth="8.83203125" defaultRowHeight="15" x14ac:dyDescent="0.2"/>
  <cols>
    <col min="1" max="1" width="18.5" customWidth="1"/>
    <col min="2" max="2" width="15.5" bestFit="1" customWidth="1"/>
    <col min="3" max="3" width="15.5" customWidth="1"/>
    <col min="4" max="4" width="21.83203125" customWidth="1"/>
    <col min="5" max="5" width="16.83203125" customWidth="1"/>
    <col min="9" max="9" width="16.5" customWidth="1"/>
  </cols>
  <sheetData>
    <row r="1" spans="1:12" x14ac:dyDescent="0.2">
      <c r="A1" s="8" t="s">
        <v>45</v>
      </c>
      <c r="B1" s="80" t="s">
        <v>2</v>
      </c>
      <c r="C1" s="78"/>
      <c r="D1" s="78"/>
      <c r="E1" s="81"/>
    </row>
    <row r="2" spans="1:12" x14ac:dyDescent="0.2">
      <c r="A2" s="9" t="s">
        <v>3</v>
      </c>
      <c r="B2" s="10" t="s">
        <v>6</v>
      </c>
      <c r="C2" s="22" t="s">
        <v>46</v>
      </c>
      <c r="D2" s="11" t="s">
        <v>13</v>
      </c>
      <c r="E2" s="56" t="s">
        <v>14</v>
      </c>
      <c r="F2" s="1" t="s">
        <v>47</v>
      </c>
      <c r="H2" s="2" t="s">
        <v>48</v>
      </c>
      <c r="I2" s="83" t="s">
        <v>17</v>
      </c>
      <c r="J2" s="86"/>
      <c r="K2" s="8"/>
      <c r="L2" s="8"/>
    </row>
    <row r="3" spans="1:12" x14ac:dyDescent="0.2">
      <c r="A3" s="4" t="s">
        <v>19</v>
      </c>
      <c r="B3" s="12" t="s">
        <v>20</v>
      </c>
      <c r="C3" s="23">
        <f>27.971+8.613</f>
        <v>36.584000000000003</v>
      </c>
      <c r="D3" s="17">
        <f t="shared" ref="D3:D14" si="0">E3/C3</f>
        <v>5.9156735184780231</v>
      </c>
      <c r="E3" s="57">
        <v>216.41900000000001</v>
      </c>
      <c r="F3" s="1">
        <v>2.8959999999999999</v>
      </c>
      <c r="H3" s="2">
        <f t="shared" ref="H3:H14" si="1">E3/MIN($I$19,$I$18*D3)</f>
        <v>0.54602985074626875</v>
      </c>
      <c r="I3" s="83">
        <f>H3*100</f>
        <v>54.602985074626872</v>
      </c>
      <c r="J3" s="8"/>
      <c r="K3" s="8"/>
      <c r="L3" s="8"/>
    </row>
    <row r="4" spans="1:12" x14ac:dyDescent="0.2">
      <c r="A4" s="88" t="s">
        <v>21</v>
      </c>
      <c r="B4" s="89" t="s">
        <v>22</v>
      </c>
      <c r="C4" s="90">
        <f>(21.701 +10.878)*197.778/F4</f>
        <v>32.638329319955311</v>
      </c>
      <c r="D4" s="91">
        <f t="shared" si="0"/>
        <v>2.870172237860491</v>
      </c>
      <c r="E4" s="92">
        <f>92.277*200.415/F4</f>
        <v>93.67762670428381</v>
      </c>
      <c r="F4" s="93">
        <v>197.41848300000001</v>
      </c>
      <c r="H4" s="2">
        <f t="shared" si="1"/>
        <v>0.48713924358142258</v>
      </c>
      <c r="I4" s="83">
        <f t="shared" ref="I4:I13" si="2">H4*100</f>
        <v>48.713924358142258</v>
      </c>
      <c r="J4" s="8"/>
      <c r="K4" s="8"/>
      <c r="L4" s="8"/>
    </row>
    <row r="5" spans="1:12" x14ac:dyDescent="0.2">
      <c r="A5" s="88" t="s">
        <v>23</v>
      </c>
      <c r="B5" s="89" t="s">
        <v>24</v>
      </c>
      <c r="C5" s="90">
        <f>10.637+9.809</f>
        <v>20.445999999999998</v>
      </c>
      <c r="D5" s="91">
        <f t="shared" si="0"/>
        <v>0.48425119827839191</v>
      </c>
      <c r="E5" s="92">
        <v>9.9009999999999998</v>
      </c>
      <c r="F5" s="93">
        <f>6.97/1000</f>
        <v>6.9699999999999996E-3</v>
      </c>
      <c r="H5" s="2">
        <f t="shared" si="1"/>
        <v>0.30516417910447763</v>
      </c>
      <c r="I5" s="83">
        <f t="shared" si="2"/>
        <v>30.516417910447764</v>
      </c>
      <c r="J5" s="8"/>
      <c r="K5" s="8"/>
      <c r="L5" s="8"/>
    </row>
    <row r="6" spans="1:12" x14ac:dyDescent="0.2">
      <c r="A6" s="2" t="s">
        <v>25</v>
      </c>
      <c r="B6" s="6" t="s">
        <v>26</v>
      </c>
      <c r="C6" s="5">
        <f>5.672+4.953</f>
        <v>10.625</v>
      </c>
      <c r="D6" s="18">
        <f t="shared" si="0"/>
        <v>0.26287058823529413</v>
      </c>
      <c r="E6" s="42">
        <v>2.7930000000000001</v>
      </c>
      <c r="F6" s="1">
        <f>6.89/1000</f>
        <v>6.8899999999999994E-3</v>
      </c>
      <c r="H6" s="2">
        <f t="shared" si="1"/>
        <v>0.15858208955223879</v>
      </c>
      <c r="I6" s="83">
        <f t="shared" si="2"/>
        <v>15.85820895522388</v>
      </c>
      <c r="J6" s="8"/>
      <c r="K6" s="8"/>
      <c r="L6" s="8"/>
    </row>
    <row r="7" spans="1:12" x14ac:dyDescent="0.2">
      <c r="A7" s="2" t="s">
        <v>27</v>
      </c>
      <c r="B7" s="6" t="s">
        <v>28</v>
      </c>
      <c r="C7" s="5">
        <f>20.705+0.13</f>
        <v>20.834999999999997</v>
      </c>
      <c r="D7" s="18">
        <f t="shared" si="0"/>
        <v>2.0319174466042718</v>
      </c>
      <c r="E7" s="42">
        <v>42.335000000000001</v>
      </c>
      <c r="F7" s="1">
        <v>0.51600000000000001</v>
      </c>
      <c r="H7" s="2">
        <f t="shared" si="1"/>
        <v>0.31097014925373134</v>
      </c>
      <c r="I7" s="83">
        <f t="shared" si="2"/>
        <v>31.097014925373134</v>
      </c>
      <c r="J7" s="8"/>
      <c r="K7" s="8"/>
      <c r="L7" s="8"/>
    </row>
    <row r="8" spans="1:12" x14ac:dyDescent="0.2">
      <c r="A8" s="88" t="s">
        <v>29</v>
      </c>
      <c r="B8" s="89" t="s">
        <v>30</v>
      </c>
      <c r="C8" s="90">
        <f>13.674+0.255</f>
        <v>13.929</v>
      </c>
      <c r="D8" s="91">
        <f t="shared" si="0"/>
        <v>1.481226218680451</v>
      </c>
      <c r="E8" s="92">
        <v>20.632000000000001</v>
      </c>
      <c r="F8" s="93">
        <v>8.4603599999999997</v>
      </c>
      <c r="H8" s="32">
        <f t="shared" si="1"/>
        <v>0.20789552238805969</v>
      </c>
      <c r="I8" s="87">
        <f>H8*100</f>
        <v>20.789552238805971</v>
      </c>
      <c r="J8" s="8"/>
      <c r="K8" s="8"/>
      <c r="L8" s="8"/>
    </row>
    <row r="9" spans="1:12" x14ac:dyDescent="0.2">
      <c r="A9" s="2" t="s">
        <v>31</v>
      </c>
      <c r="B9" s="6" t="s">
        <v>32</v>
      </c>
      <c r="C9" s="5">
        <f>1.905+0.064</f>
        <v>1.9690000000000001</v>
      </c>
      <c r="D9" s="18">
        <f t="shared" si="0"/>
        <v>38.831894362620616</v>
      </c>
      <c r="E9" s="42">
        <v>76.459999999999994</v>
      </c>
      <c r="F9" s="1">
        <v>3.13</v>
      </c>
      <c r="H9" s="83">
        <f t="shared" si="1"/>
        <v>6.4252100840336127E-2</v>
      </c>
      <c r="I9" s="83">
        <f t="shared" si="2"/>
        <v>6.4252100840336128</v>
      </c>
      <c r="J9" s="8"/>
      <c r="K9" s="8"/>
      <c r="L9" s="8"/>
    </row>
    <row r="10" spans="1:12" x14ac:dyDescent="0.2">
      <c r="A10" s="88" t="s">
        <v>33</v>
      </c>
      <c r="B10" s="89" t="s">
        <v>34</v>
      </c>
      <c r="C10" s="90">
        <f>18.488+8.527</f>
        <v>27.015000000000001</v>
      </c>
      <c r="D10" s="91">
        <f t="shared" si="0"/>
        <v>0.80103646122524519</v>
      </c>
      <c r="E10" s="92">
        <v>21.64</v>
      </c>
      <c r="F10" s="93">
        <v>222.27</v>
      </c>
      <c r="H10" s="83">
        <f t="shared" si="1"/>
        <v>0.40320895522388067</v>
      </c>
      <c r="I10" s="83">
        <f t="shared" si="2"/>
        <v>40.320895522388071</v>
      </c>
      <c r="J10" s="8"/>
      <c r="K10" s="8"/>
      <c r="L10" s="8"/>
    </row>
    <row r="11" spans="1:12" x14ac:dyDescent="0.2">
      <c r="A11" s="88" t="s">
        <v>35</v>
      </c>
      <c r="B11" s="89" t="s">
        <v>35</v>
      </c>
      <c r="C11" s="90">
        <f>43.173+21.168</f>
        <v>64.341000000000008</v>
      </c>
      <c r="D11" s="91">
        <f t="shared" si="0"/>
        <v>1.5364740320605912</v>
      </c>
      <c r="E11" s="92">
        <f>37748736/381847</f>
        <v>98.858275696810509</v>
      </c>
      <c r="F11" s="93">
        <f>381847/10^9</f>
        <v>3.8184699999999999E-4</v>
      </c>
      <c r="H11" s="83">
        <f t="shared" si="1"/>
        <v>0.96031343283582105</v>
      </c>
      <c r="I11" s="83">
        <f t="shared" si="2"/>
        <v>96.031343283582103</v>
      </c>
      <c r="J11" s="8"/>
      <c r="K11" s="8"/>
      <c r="L11" s="8"/>
    </row>
    <row r="12" spans="1:12" x14ac:dyDescent="0.2">
      <c r="A12" s="2" t="s">
        <v>36</v>
      </c>
      <c r="B12" s="13" t="s">
        <v>37</v>
      </c>
      <c r="C12" s="24">
        <f>5.468+3.205</f>
        <v>8.673</v>
      </c>
      <c r="D12" s="19">
        <f t="shared" si="0"/>
        <v>5.9227487605211575</v>
      </c>
      <c r="E12" s="58">
        <v>51.368000000000002</v>
      </c>
      <c r="F12" s="1">
        <v>3.556</v>
      </c>
      <c r="H12" s="83">
        <f t="shared" si="1"/>
        <v>0.12944776119402987</v>
      </c>
      <c r="I12" s="83">
        <f t="shared" si="2"/>
        <v>12.944776119402986</v>
      </c>
      <c r="J12" s="8"/>
      <c r="K12" s="8"/>
      <c r="L12" s="8"/>
    </row>
    <row r="13" spans="1:12" x14ac:dyDescent="0.2">
      <c r="A13" s="2" t="s">
        <v>36</v>
      </c>
      <c r="B13" s="7" t="s">
        <v>38</v>
      </c>
      <c r="C13" s="25">
        <f>5.468+3.205</f>
        <v>8.673</v>
      </c>
      <c r="D13" s="20">
        <f t="shared" si="0"/>
        <v>33.350513086590574</v>
      </c>
      <c r="E13" s="59">
        <v>289.24900000000002</v>
      </c>
      <c r="F13" s="1"/>
      <c r="H13" s="83">
        <f t="shared" si="1"/>
        <v>0.24306638655462187</v>
      </c>
      <c r="I13" s="83">
        <f t="shared" si="2"/>
        <v>24.306638655462187</v>
      </c>
      <c r="J13" s="8"/>
      <c r="K13" s="8"/>
      <c r="L13" s="8"/>
    </row>
    <row r="14" spans="1:12" x14ac:dyDescent="0.2">
      <c r="D14" s="26"/>
      <c r="H14" s="8"/>
      <c r="I14" s="8"/>
      <c r="J14" s="8"/>
      <c r="K14" s="8"/>
      <c r="L14" s="8"/>
    </row>
    <row r="15" spans="1:12" x14ac:dyDescent="0.2">
      <c r="D15" s="83" t="s">
        <v>40</v>
      </c>
      <c r="E15" s="83" t="s">
        <v>49</v>
      </c>
      <c r="H15" s="8"/>
      <c r="I15" s="8"/>
      <c r="J15" s="8"/>
      <c r="K15" s="8"/>
      <c r="L15" s="8"/>
    </row>
    <row r="16" spans="1:12" x14ac:dyDescent="0.2">
      <c r="D16" s="83">
        <f>C3*F3</f>
        <v>105.947264</v>
      </c>
      <c r="E16" s="83">
        <f>F3*E3</f>
        <v>626.74942399999998</v>
      </c>
    </row>
    <row r="17" spans="4:12" x14ac:dyDescent="0.2">
      <c r="D17" s="117">
        <f t="shared" ref="D17:D25" si="3">C4*F4</f>
        <v>6443.4094619999996</v>
      </c>
      <c r="E17" s="83">
        <f>F4*E4</f>
        <v>18493.694954999999</v>
      </c>
    </row>
    <row r="18" spans="4:12" x14ac:dyDescent="0.2">
      <c r="D18" s="117">
        <f t="shared" si="3"/>
        <v>0.14250861999999997</v>
      </c>
      <c r="E18" s="83">
        <f t="shared" ref="E18:E25" si="4">F5*E5</f>
        <v>6.900996999999999E-2</v>
      </c>
      <c r="H18" s="1" t="s">
        <v>41</v>
      </c>
      <c r="I18" s="1">
        <v>67</v>
      </c>
      <c r="K18" s="83" t="s">
        <v>42</v>
      </c>
      <c r="L18" s="83">
        <f>I19/I18</f>
        <v>17.761194029850746</v>
      </c>
    </row>
    <row r="19" spans="4:12" x14ac:dyDescent="0.2">
      <c r="D19" s="83">
        <f t="shared" si="3"/>
        <v>7.320625E-2</v>
      </c>
      <c r="E19" s="83">
        <f t="shared" si="4"/>
        <v>1.924377E-2</v>
      </c>
      <c r="H19" s="1" t="s">
        <v>43</v>
      </c>
      <c r="I19" s="1">
        <v>1190</v>
      </c>
    </row>
    <row r="20" spans="4:12" x14ac:dyDescent="0.2">
      <c r="D20" s="83">
        <f t="shared" si="3"/>
        <v>10.750859999999999</v>
      </c>
      <c r="E20" s="83">
        <f>F7*E7</f>
        <v>21.844860000000001</v>
      </c>
      <c r="H20" s="1" t="s">
        <v>44</v>
      </c>
      <c r="I20" s="1">
        <v>330</v>
      </c>
    </row>
    <row r="21" spans="4:12" x14ac:dyDescent="0.2">
      <c r="D21" s="117">
        <f t="shared" si="3"/>
        <v>117.84435444</v>
      </c>
      <c r="E21" s="83">
        <f>F8*E8</f>
        <v>174.55414752000001</v>
      </c>
    </row>
    <row r="22" spans="4:12" x14ac:dyDescent="0.2">
      <c r="D22" s="83">
        <f t="shared" si="3"/>
        <v>6.1629699999999996</v>
      </c>
      <c r="E22" s="83">
        <f>F9*E9</f>
        <v>239.31979999999996</v>
      </c>
    </row>
    <row r="23" spans="4:12" x14ac:dyDescent="0.2">
      <c r="D23" s="117">
        <f t="shared" si="3"/>
        <v>6004.6240500000004</v>
      </c>
      <c r="E23" s="83">
        <f>F10*E10</f>
        <v>4809.9228000000003</v>
      </c>
    </row>
    <row r="24" spans="4:12" x14ac:dyDescent="0.2">
      <c r="D24" s="117">
        <f t="shared" si="3"/>
        <v>2.4568417827000002E-2</v>
      </c>
      <c r="E24" s="83">
        <f>3774873600/10^9</f>
        <v>3.7748735999999998</v>
      </c>
    </row>
    <row r="25" spans="4:12" x14ac:dyDescent="0.2">
      <c r="D25" s="83">
        <f t="shared" si="3"/>
        <v>30.841187999999999</v>
      </c>
      <c r="E25" s="83">
        <f t="shared" si="4"/>
        <v>182.66460800000002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E14" sqref="E14:F25"/>
    </sheetView>
  </sheetViews>
  <sheetFormatPr baseColWidth="10" defaultColWidth="8.83203125" defaultRowHeight="15" x14ac:dyDescent="0.2"/>
  <cols>
    <col min="1" max="1" width="22" customWidth="1"/>
    <col min="2" max="2" width="16.5" bestFit="1" customWidth="1"/>
    <col min="3" max="5" width="16.5" customWidth="1"/>
    <col min="6" max="6" width="16.83203125" bestFit="1" customWidth="1"/>
    <col min="7" max="7" width="23" bestFit="1" customWidth="1"/>
    <col min="8" max="8" width="16.1640625" bestFit="1" customWidth="1"/>
  </cols>
  <sheetData>
    <row r="1" spans="1:13" x14ac:dyDescent="0.2">
      <c r="A1" t="s">
        <v>50</v>
      </c>
      <c r="B1" s="80" t="s">
        <v>2</v>
      </c>
      <c r="C1" s="78"/>
      <c r="D1" s="78"/>
      <c r="E1" s="78"/>
      <c r="F1" s="78"/>
      <c r="G1" s="78"/>
      <c r="H1" s="81"/>
    </row>
    <row r="2" spans="1:13" ht="32" x14ac:dyDescent="0.2">
      <c r="A2" s="15"/>
      <c r="B2" s="13" t="s">
        <v>6</v>
      </c>
      <c r="C2" s="24" t="s">
        <v>51</v>
      </c>
      <c r="D2" s="24" t="s">
        <v>52</v>
      </c>
      <c r="E2" s="24" t="s">
        <v>53</v>
      </c>
      <c r="F2" s="24" t="s">
        <v>46</v>
      </c>
      <c r="G2" s="52" t="s">
        <v>13</v>
      </c>
      <c r="H2" s="53" t="s">
        <v>14</v>
      </c>
      <c r="J2" s="31" t="s">
        <v>16</v>
      </c>
      <c r="K2" s="31" t="s">
        <v>17</v>
      </c>
      <c r="L2" s="54" t="s">
        <v>18</v>
      </c>
    </row>
    <row r="3" spans="1:13" x14ac:dyDescent="0.2">
      <c r="A3" s="4" t="s">
        <v>19</v>
      </c>
      <c r="B3" s="48" t="s">
        <v>20</v>
      </c>
      <c r="C3" s="49">
        <v>1.9159999999999999</v>
      </c>
      <c r="D3" s="82">
        <f>(27.971+8.613)*2896000000</f>
        <v>105947264000.00002</v>
      </c>
      <c r="E3" s="49">
        <v>658881312005</v>
      </c>
      <c r="F3" s="49">
        <f>D3/C3*10^-9</f>
        <v>55.296066805845527</v>
      </c>
      <c r="G3" s="50">
        <f>E3/D3</f>
        <v>6.2189554230017672</v>
      </c>
      <c r="H3" s="51">
        <f>E3/C3*10^-9</f>
        <v>343.88377453288109</v>
      </c>
      <c r="J3" s="1">
        <f t="shared" ref="J3:J13" si="0">H3/MIN(G3*$H$17,$H$18)</f>
        <v>0.25839283554133424</v>
      </c>
      <c r="K3" s="1">
        <f>J3*100</f>
        <v>25.839283554133424</v>
      </c>
      <c r="L3" s="1" t="str">
        <f>IF(M3,"compute","BW")</f>
        <v>BW</v>
      </c>
      <c r="M3" t="b">
        <f>$H$18=MIN($H$18,G3*$H$17)</f>
        <v>0</v>
      </c>
    </row>
    <row r="4" spans="1:13" x14ac:dyDescent="0.2">
      <c r="A4" s="60" t="s">
        <v>21</v>
      </c>
      <c r="B4" s="61" t="s">
        <v>22</v>
      </c>
      <c r="C4" s="62">
        <v>70.430000000000007</v>
      </c>
      <c r="D4" s="63">
        <v>5409527187392</v>
      </c>
      <c r="E4" s="62">
        <v>18547652640004</v>
      </c>
      <c r="F4" s="62">
        <f>D4/C4*10^-9</f>
        <v>76.807144503649013</v>
      </c>
      <c r="G4" s="64">
        <f t="shared" ref="G4:G11" si="1">E4/D4</f>
        <v>3.4287012519750459</v>
      </c>
      <c r="H4" s="65">
        <f t="shared" ref="H4:H13" si="2">E4/C4*10^-9</f>
        <v>263.34875252028962</v>
      </c>
      <c r="J4" s="1">
        <f t="shared" si="0"/>
        <v>0.3589118902039673</v>
      </c>
      <c r="K4" s="1">
        <f t="shared" ref="K4:K13" si="3">J4*100</f>
        <v>35.89118902039673</v>
      </c>
      <c r="L4" s="1" t="str">
        <f t="shared" ref="L4:L12" si="4">IF(M4,"compute","BW")</f>
        <v>BW</v>
      </c>
      <c r="M4" t="b">
        <f t="shared" ref="M4:M12" si="5">$H$18=MIN($H$18,G4*$H$17)</f>
        <v>0</v>
      </c>
    </row>
    <row r="5" spans="1:13" x14ac:dyDescent="0.2">
      <c r="A5" s="60" t="s">
        <v>23</v>
      </c>
      <c r="B5" s="61" t="s">
        <v>24</v>
      </c>
      <c r="C5" s="63"/>
      <c r="D5" s="63"/>
      <c r="E5" s="63">
        <v>75497584</v>
      </c>
      <c r="F5" s="62"/>
      <c r="G5" s="64"/>
      <c r="H5" s="65"/>
      <c r="J5" s="1" t="e">
        <f t="shared" si="0"/>
        <v>#DIV/0!</v>
      </c>
      <c r="K5" s="1" t="e">
        <f t="shared" si="3"/>
        <v>#DIV/0!</v>
      </c>
      <c r="L5" s="1" t="str">
        <f t="shared" si="4"/>
        <v>BW</v>
      </c>
      <c r="M5" t="b">
        <f t="shared" si="5"/>
        <v>0</v>
      </c>
    </row>
    <row r="6" spans="1:13" x14ac:dyDescent="0.2">
      <c r="A6" s="2" t="s">
        <v>25</v>
      </c>
      <c r="B6" s="6" t="s">
        <v>26</v>
      </c>
      <c r="C6" s="5"/>
      <c r="D6" s="5"/>
      <c r="E6" s="5">
        <v>24641536</v>
      </c>
      <c r="F6" s="23"/>
      <c r="G6" s="17"/>
      <c r="H6" s="21"/>
      <c r="J6" s="1" t="e">
        <f t="shared" si="0"/>
        <v>#DIV/0!</v>
      </c>
      <c r="K6" s="1" t="e">
        <f t="shared" si="3"/>
        <v>#DIV/0!</v>
      </c>
      <c r="L6" s="1" t="str">
        <f t="shared" si="4"/>
        <v>BW</v>
      </c>
      <c r="M6" t="b">
        <f t="shared" si="5"/>
        <v>0</v>
      </c>
    </row>
    <row r="7" spans="1:13" x14ac:dyDescent="0.2">
      <c r="A7" s="2" t="s">
        <v>27</v>
      </c>
      <c r="B7" s="6" t="s">
        <v>28</v>
      </c>
      <c r="C7" s="5">
        <f>34*10^-3</f>
        <v>3.4000000000000002E-2</v>
      </c>
      <c r="D7" s="5">
        <v>5975134400</v>
      </c>
      <c r="E7" s="5">
        <v>10035029000</v>
      </c>
      <c r="F7" s="23">
        <f t="shared" ref="F7:F13" si="6">D7/C7*10^-9</f>
        <v>175.73924705882354</v>
      </c>
      <c r="G7" s="17">
        <f t="shared" si="1"/>
        <v>1.6794649840847096</v>
      </c>
      <c r="H7" s="21">
        <f t="shared" si="2"/>
        <v>295.1479117647059</v>
      </c>
      <c r="J7" s="1">
        <f t="shared" si="0"/>
        <v>0.82121143485431547</v>
      </c>
      <c r="K7" s="1">
        <f t="shared" si="3"/>
        <v>82.121143485431546</v>
      </c>
      <c r="L7" s="1" t="str">
        <f t="shared" si="4"/>
        <v>BW</v>
      </c>
      <c r="M7" t="b">
        <f t="shared" si="5"/>
        <v>0</v>
      </c>
    </row>
    <row r="8" spans="1:13" x14ac:dyDescent="0.2">
      <c r="A8" s="60" t="s">
        <v>29</v>
      </c>
      <c r="B8" s="61" t="s">
        <v>30</v>
      </c>
      <c r="C8" s="63">
        <v>1.9690000000000001</v>
      </c>
      <c r="D8" s="70">
        <v>42050067712</v>
      </c>
      <c r="E8" s="70">
        <v>81470365841</v>
      </c>
      <c r="F8" s="62">
        <f t="shared" si="6"/>
        <v>21.356052672422553</v>
      </c>
      <c r="G8" s="64">
        <f t="shared" si="1"/>
        <v>1.9374609905265496</v>
      </c>
      <c r="H8" s="65">
        <f t="shared" si="2"/>
        <v>41.376518964448962</v>
      </c>
      <c r="J8" s="1">
        <f t="shared" si="0"/>
        <v>9.9794638656180143E-2</v>
      </c>
      <c r="K8" s="1">
        <f t="shared" si="3"/>
        <v>9.9794638656180137</v>
      </c>
      <c r="L8" s="1" t="str">
        <f t="shared" si="4"/>
        <v>BW</v>
      </c>
      <c r="M8" t="b">
        <f t="shared" si="5"/>
        <v>0</v>
      </c>
    </row>
    <row r="9" spans="1:13" x14ac:dyDescent="0.2">
      <c r="A9" s="2" t="s">
        <v>31</v>
      </c>
      <c r="B9" s="6" t="s">
        <v>32</v>
      </c>
      <c r="C9" s="73">
        <v>1.67</v>
      </c>
      <c r="D9" s="27">
        <v>2615349056</v>
      </c>
      <c r="E9" s="27">
        <v>16281</v>
      </c>
      <c r="F9" s="23">
        <f t="shared" si="6"/>
        <v>1.5660772790419162</v>
      </c>
      <c r="G9" s="17">
        <f t="shared" si="1"/>
        <v>6.2251728742092618E-6</v>
      </c>
      <c r="H9" s="21">
        <f t="shared" si="2"/>
        <v>9.7491017964071862E-6</v>
      </c>
      <c r="J9" s="1">
        <f t="shared" si="0"/>
        <v>7.3181181263640947E-3</v>
      </c>
      <c r="K9" s="1">
        <f t="shared" si="3"/>
        <v>0.73181181263640949</v>
      </c>
      <c r="L9" s="1" t="str">
        <f t="shared" si="4"/>
        <v>BW</v>
      </c>
      <c r="M9" t="b">
        <f t="shared" si="5"/>
        <v>0</v>
      </c>
    </row>
    <row r="10" spans="1:13" x14ac:dyDescent="0.2">
      <c r="A10" s="60" t="s">
        <v>33</v>
      </c>
      <c r="B10" s="61" t="s">
        <v>34</v>
      </c>
      <c r="C10" s="69">
        <f>0.068156463*1001</f>
        <v>68.224619462999996</v>
      </c>
      <c r="D10" s="66">
        <v>11411040990848</v>
      </c>
      <c r="E10" s="67">
        <v>3148873729506</v>
      </c>
      <c r="F10" s="62">
        <f t="shared" si="6"/>
        <v>167.25693863395617</v>
      </c>
      <c r="G10" s="64">
        <f t="shared" si="1"/>
        <v>0.27594973429956932</v>
      </c>
      <c r="H10" s="65">
        <f>E10/C10*10^-9</f>
        <v>46.154507775799573</v>
      </c>
      <c r="J10" s="1">
        <f t="shared" si="0"/>
        <v>0.78157447959792603</v>
      </c>
      <c r="K10" s="1">
        <f t="shared" si="3"/>
        <v>78.157447959792606</v>
      </c>
      <c r="L10" s="1" t="str">
        <f t="shared" si="4"/>
        <v>BW</v>
      </c>
      <c r="M10" t="b">
        <f t="shared" si="5"/>
        <v>0</v>
      </c>
    </row>
    <row r="11" spans="1:13" x14ac:dyDescent="0.2">
      <c r="A11" s="60" t="s">
        <v>35</v>
      </c>
      <c r="B11" s="61" t="s">
        <v>35</v>
      </c>
      <c r="C11" s="69">
        <f>279170*100*10^-9</f>
        <v>2.7917000000000001E-2</v>
      </c>
      <c r="D11" s="67">
        <v>984462400</v>
      </c>
      <c r="E11" s="67">
        <f>35651584*100</f>
        <v>3565158400</v>
      </c>
      <c r="F11" s="62">
        <f t="shared" si="6"/>
        <v>35.263903714582511</v>
      </c>
      <c r="G11" s="64">
        <f t="shared" si="1"/>
        <v>3.6214266791702761</v>
      </c>
      <c r="H11" s="65">
        <f t="shared" si="2"/>
        <v>127.70564172368091</v>
      </c>
      <c r="J11" s="1">
        <f t="shared" si="0"/>
        <v>0.16478459679711455</v>
      </c>
      <c r="K11" s="1">
        <f t="shared" si="3"/>
        <v>16.478459679711456</v>
      </c>
      <c r="L11" s="1" t="str">
        <f t="shared" si="4"/>
        <v>BW</v>
      </c>
      <c r="M11" t="b">
        <f t="shared" si="5"/>
        <v>0</v>
      </c>
    </row>
    <row r="12" spans="1:13" x14ac:dyDescent="0.2">
      <c r="A12" s="2" t="s">
        <v>36</v>
      </c>
      <c r="B12" s="13" t="s">
        <v>37</v>
      </c>
      <c r="C12" s="24">
        <v>2.1259999999999999</v>
      </c>
      <c r="D12" s="71">
        <v>7191474048</v>
      </c>
      <c r="E12" s="71">
        <v>220849212771</v>
      </c>
      <c r="F12" s="23">
        <f t="shared" si="6"/>
        <v>3.3826312549388526</v>
      </c>
      <c r="G12" s="17">
        <f t="shared" ref="G12:G13" si="7">E12/D12</f>
        <v>30.709867170058097</v>
      </c>
      <c r="H12" s="21">
        <f t="shared" si="2"/>
        <v>103.88015652445908</v>
      </c>
      <c r="J12" s="1">
        <f t="shared" si="0"/>
        <v>1.5806688107190898E-2</v>
      </c>
      <c r="K12" s="1">
        <f t="shared" si="3"/>
        <v>1.5806688107190898</v>
      </c>
      <c r="L12" s="1" t="str">
        <f t="shared" si="4"/>
        <v>BW</v>
      </c>
      <c r="M12" t="b">
        <f t="shared" si="5"/>
        <v>0</v>
      </c>
    </row>
    <row r="13" spans="1:13" x14ac:dyDescent="0.2">
      <c r="A13" s="2" t="s">
        <v>36</v>
      </c>
      <c r="B13" s="7" t="s">
        <v>38</v>
      </c>
      <c r="C13" s="25"/>
      <c r="D13" s="25"/>
      <c r="E13" s="24"/>
      <c r="F13" s="71" t="e">
        <f t="shared" si="6"/>
        <v>#DIV/0!</v>
      </c>
      <c r="G13" s="46" t="e">
        <f t="shared" si="7"/>
        <v>#DIV/0!</v>
      </c>
      <c r="H13" s="47" t="e">
        <f t="shared" si="2"/>
        <v>#DIV/0!</v>
      </c>
      <c r="J13" s="1" t="e">
        <f t="shared" si="0"/>
        <v>#DIV/0!</v>
      </c>
      <c r="K13" s="1" t="e">
        <f t="shared" si="3"/>
        <v>#DIV/0!</v>
      </c>
    </row>
    <row r="14" spans="1:13" ht="32" x14ac:dyDescent="0.2">
      <c r="E14" s="85" t="s">
        <v>54</v>
      </c>
      <c r="F14" s="85" t="s">
        <v>40</v>
      </c>
    </row>
    <row r="15" spans="1:13" x14ac:dyDescent="0.2">
      <c r="E15" s="85">
        <f>E3/10^9</f>
        <v>658.88131200500004</v>
      </c>
      <c r="F15" s="85">
        <f>D3/10^9</f>
        <v>105.94726400000002</v>
      </c>
    </row>
    <row r="16" spans="1:13" x14ac:dyDescent="0.2">
      <c r="E16" s="85">
        <f t="shared" ref="E16:E24" si="8">E4/10^9</f>
        <v>18547.652640003998</v>
      </c>
      <c r="F16" s="116">
        <f t="shared" ref="F16:F25" si="9">D4/10^9</f>
        <v>5409.5271873920001</v>
      </c>
    </row>
    <row r="17" spans="5:10" x14ac:dyDescent="0.2">
      <c r="E17" s="85">
        <f>E5/10^9</f>
        <v>7.5497584000000006E-2</v>
      </c>
      <c r="F17" s="116">
        <f t="shared" si="9"/>
        <v>0</v>
      </c>
      <c r="G17" s="45" t="s">
        <v>41</v>
      </c>
      <c r="H17" s="2">
        <v>214</v>
      </c>
      <c r="I17" s="1" t="s">
        <v>42</v>
      </c>
      <c r="J17" s="1">
        <f>H18/H17</f>
        <v>34.065420560747661</v>
      </c>
    </row>
    <row r="18" spans="5:10" x14ac:dyDescent="0.2">
      <c r="E18" s="85">
        <f t="shared" si="8"/>
        <v>2.4641535999999999E-2</v>
      </c>
      <c r="F18" s="85">
        <f t="shared" si="9"/>
        <v>0</v>
      </c>
      <c r="G18" s="45" t="s">
        <v>43</v>
      </c>
      <c r="H18" s="1">
        <v>7290</v>
      </c>
    </row>
    <row r="19" spans="5:10" x14ac:dyDescent="0.2">
      <c r="E19" s="85">
        <f t="shared" si="8"/>
        <v>10.035029</v>
      </c>
      <c r="F19" s="85">
        <f t="shared" si="9"/>
        <v>5.9751344</v>
      </c>
      <c r="G19" s="45" t="s">
        <v>44</v>
      </c>
      <c r="H19" s="1">
        <v>3720</v>
      </c>
    </row>
    <row r="20" spans="5:10" x14ac:dyDescent="0.2">
      <c r="E20" s="85">
        <f t="shared" si="8"/>
        <v>81.470365841000003</v>
      </c>
      <c r="F20" s="116">
        <f t="shared" si="9"/>
        <v>42.050067712000001</v>
      </c>
    </row>
    <row r="21" spans="5:10" x14ac:dyDescent="0.2">
      <c r="E21" s="85">
        <f t="shared" si="8"/>
        <v>1.6280999999999999E-5</v>
      </c>
      <c r="F21" s="85">
        <f t="shared" si="9"/>
        <v>2.6153490559999999</v>
      </c>
    </row>
    <row r="22" spans="5:10" x14ac:dyDescent="0.2">
      <c r="E22" s="85">
        <f t="shared" si="8"/>
        <v>3148.873729506</v>
      </c>
      <c r="F22" s="116">
        <f t="shared" si="9"/>
        <v>11411.040990848</v>
      </c>
    </row>
    <row r="23" spans="5:10" x14ac:dyDescent="0.2">
      <c r="E23" s="85">
        <f t="shared" si="8"/>
        <v>3.5651584000000001</v>
      </c>
      <c r="F23" s="116">
        <f t="shared" si="9"/>
        <v>0.98446239999999996</v>
      </c>
    </row>
    <row r="24" spans="5:10" x14ac:dyDescent="0.2">
      <c r="E24" s="85">
        <f t="shared" si="8"/>
        <v>220.849212771</v>
      </c>
      <c r="F24" s="85">
        <f t="shared" si="9"/>
        <v>7.1914740479999999</v>
      </c>
    </row>
    <row r="25" spans="5:10" x14ac:dyDescent="0.2">
      <c r="E25" s="85">
        <f>E13/10^9</f>
        <v>0</v>
      </c>
      <c r="F25" s="85">
        <f t="shared" si="9"/>
        <v>0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3F47-0971-4770-AABB-F5C2DB8A7483}">
  <dimension ref="A2:F2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24.5" customWidth="1"/>
    <col min="2" max="2" width="18.5" customWidth="1"/>
    <col min="6" max="6" width="16" customWidth="1"/>
  </cols>
  <sheetData>
    <row r="2" spans="1:6" ht="32" x14ac:dyDescent="0.2">
      <c r="B2" s="83" t="s">
        <v>3</v>
      </c>
      <c r="C2" s="83" t="s">
        <v>55</v>
      </c>
      <c r="D2" s="83" t="s">
        <v>56</v>
      </c>
      <c r="E2" s="83" t="s">
        <v>57</v>
      </c>
      <c r="F2" s="85" t="s">
        <v>62</v>
      </c>
    </row>
    <row r="3" spans="1:6" x14ac:dyDescent="0.2">
      <c r="B3" s="83" t="s">
        <v>19</v>
      </c>
      <c r="C3" s="83">
        <f>'V100'!P3</f>
        <v>37.624678663239081</v>
      </c>
      <c r="D3" s="83">
        <f>'Gen9'!I3</f>
        <v>54.602985074626872</v>
      </c>
      <c r="E3" s="83">
        <f>SKX!K3</f>
        <v>25.839283554133424</v>
      </c>
      <c r="F3" s="83">
        <f>3/(1/C3+1/D3+1/E3)</f>
        <v>35.888137865402534</v>
      </c>
    </row>
    <row r="4" spans="1:6" x14ac:dyDescent="0.2">
      <c r="B4" s="83" t="s">
        <v>21</v>
      </c>
      <c r="C4" s="83">
        <f>'V100'!P4</f>
        <v>49.802056555269928</v>
      </c>
      <c r="D4" s="83">
        <f>'Gen9'!I4</f>
        <v>48.713924358142258</v>
      </c>
      <c r="E4" s="83">
        <f>SKX!K4</f>
        <v>35.89118902039673</v>
      </c>
      <c r="F4" s="83">
        <f t="shared" ref="F4:F15" si="0">3/(1/C4+1/D4+1/E4)</f>
        <v>43.815132568145579</v>
      </c>
    </row>
    <row r="5" spans="1:6" x14ac:dyDescent="0.2">
      <c r="B5" s="83" t="s">
        <v>23</v>
      </c>
      <c r="C5" s="83">
        <f>'V100'!P5</f>
        <v>91.669665809768645</v>
      </c>
      <c r="D5" s="83">
        <f>'Gen9'!I5</f>
        <v>30.516417910447764</v>
      </c>
      <c r="E5" s="83" t="e">
        <f>SKX!K5</f>
        <v>#DIV/0!</v>
      </c>
      <c r="F5" s="83" t="e">
        <f t="shared" si="0"/>
        <v>#DIV/0!</v>
      </c>
    </row>
    <row r="6" spans="1:6" x14ac:dyDescent="0.2">
      <c r="B6" s="83" t="s">
        <v>25</v>
      </c>
      <c r="C6" s="83">
        <f>'V100'!P6</f>
        <v>64.69023136246787</v>
      </c>
      <c r="D6" s="83">
        <f>'Gen9'!I6</f>
        <v>15.85820895522388</v>
      </c>
      <c r="E6" s="83" t="e">
        <f>SKX!K6</f>
        <v>#DIV/0!</v>
      </c>
      <c r="F6" s="83" t="e">
        <f t="shared" si="0"/>
        <v>#DIV/0!</v>
      </c>
    </row>
    <row r="7" spans="1:6" x14ac:dyDescent="0.2">
      <c r="B7" s="83" t="s">
        <v>27</v>
      </c>
      <c r="C7" s="83">
        <f>'V100'!P7</f>
        <v>72.580077120822622</v>
      </c>
      <c r="D7" s="83">
        <f>'Gen9'!I7</f>
        <v>31.097014925373134</v>
      </c>
      <c r="E7" s="83">
        <f>SKX!K7</f>
        <v>82.121143485431546</v>
      </c>
      <c r="F7" s="83">
        <f t="shared" si="0"/>
        <v>51.624054054667745</v>
      </c>
    </row>
    <row r="8" spans="1:6" x14ac:dyDescent="0.2">
      <c r="B8" s="83" t="s">
        <v>29</v>
      </c>
      <c r="C8" s="83">
        <f>'V100'!P8</f>
        <v>92.9043701799486</v>
      </c>
      <c r="D8" s="83">
        <f>'Gen9'!I8</f>
        <v>20.789552238805971</v>
      </c>
      <c r="E8" s="83">
        <f>SKX!K8</f>
        <v>9.9794638656180137</v>
      </c>
      <c r="F8" s="83">
        <f t="shared" si="0"/>
        <v>18.859547530583541</v>
      </c>
    </row>
    <row r="9" spans="1:6" x14ac:dyDescent="0.2">
      <c r="B9" s="83" t="s">
        <v>31</v>
      </c>
      <c r="C9" s="83">
        <f>'V100'!P9</f>
        <v>18.606954087489424</v>
      </c>
      <c r="D9" s="83">
        <f>'Gen9'!I9</f>
        <v>6.4252100840336128</v>
      </c>
      <c r="E9" s="83">
        <f>SKX!K9</f>
        <v>0.73181181263640949</v>
      </c>
      <c r="F9" s="83">
        <f t="shared" si="0"/>
        <v>1.9037323156565775</v>
      </c>
    </row>
    <row r="10" spans="1:6" x14ac:dyDescent="0.2">
      <c r="B10" s="83" t="s">
        <v>33</v>
      </c>
      <c r="C10" s="83">
        <f>'V100'!P10</f>
        <v>35.500000000000007</v>
      </c>
      <c r="D10" s="83">
        <f>'Gen9'!I10</f>
        <v>40.320895522388071</v>
      </c>
      <c r="E10" s="83">
        <f>SKX!K10</f>
        <v>78.157447959792606</v>
      </c>
      <c r="F10" s="83">
        <f t="shared" si="0"/>
        <v>45.617152300957841</v>
      </c>
    </row>
    <row r="11" spans="1:6" x14ac:dyDescent="0.2">
      <c r="B11" s="83" t="s">
        <v>35</v>
      </c>
      <c r="C11" s="83">
        <f>'V100'!P11</f>
        <v>72.407455012853447</v>
      </c>
      <c r="D11" s="83">
        <f>'Gen9'!I11</f>
        <v>96.031343283582103</v>
      </c>
      <c r="E11" s="83">
        <f>SKX!K11</f>
        <v>16.478459679711456</v>
      </c>
      <c r="F11" s="83">
        <f t="shared" si="0"/>
        <v>35.33182581495447</v>
      </c>
    </row>
    <row r="12" spans="1:6" x14ac:dyDescent="0.2">
      <c r="B12" s="83" t="s">
        <v>36</v>
      </c>
      <c r="C12" s="83">
        <f>'V100'!P12</f>
        <v>9.6658097686375335</v>
      </c>
      <c r="D12" s="83">
        <f>'Gen9'!I12</f>
        <v>12.944776119402986</v>
      </c>
      <c r="E12" s="83">
        <f>SKX!K12</f>
        <v>1.5806688107190898</v>
      </c>
      <c r="F12" s="83">
        <f t="shared" si="0"/>
        <v>3.6884386587398077</v>
      </c>
    </row>
    <row r="13" spans="1:6" x14ac:dyDescent="0.2">
      <c r="B13" s="83" t="s">
        <v>36</v>
      </c>
      <c r="C13" s="83">
        <f>'V100'!P13</f>
        <v>9.6658097686375335</v>
      </c>
      <c r="D13" s="83">
        <f>'Gen9'!I13</f>
        <v>24.306638655462187</v>
      </c>
      <c r="E13" s="83" t="e">
        <f>SKX!K13</f>
        <v>#DIV/0!</v>
      </c>
      <c r="F13" s="83" t="e">
        <f t="shared" si="0"/>
        <v>#DIV/0!</v>
      </c>
    </row>
    <row r="15" spans="1:6" x14ac:dyDescent="0.2">
      <c r="A15" t="s">
        <v>63</v>
      </c>
      <c r="B15" s="83" t="s">
        <v>58</v>
      </c>
      <c r="C15" s="83" t="s">
        <v>55</v>
      </c>
      <c r="D15" s="83" t="s">
        <v>56</v>
      </c>
      <c r="E15" s="83" t="s">
        <v>57</v>
      </c>
      <c r="F15" s="83" t="e">
        <f t="shared" si="0"/>
        <v>#VALUE!</v>
      </c>
    </row>
    <row r="16" spans="1:6" x14ac:dyDescent="0.2">
      <c r="B16" s="83" t="s">
        <v>21</v>
      </c>
      <c r="C16" s="83">
        <f t="shared" ref="C16:E17" si="1">C4</f>
        <v>49.802056555269928</v>
      </c>
      <c r="D16" s="83">
        <f t="shared" si="1"/>
        <v>48.713924358142258</v>
      </c>
      <c r="E16" s="83">
        <f t="shared" si="1"/>
        <v>35.89118902039673</v>
      </c>
      <c r="F16" s="83">
        <f>3/(1/C16+1/D16+1/E16)</f>
        <v>43.815132568145579</v>
      </c>
    </row>
    <row r="17" spans="2:6" x14ac:dyDescent="0.2">
      <c r="B17" s="83" t="s">
        <v>23</v>
      </c>
      <c r="C17" s="83">
        <f t="shared" si="1"/>
        <v>91.669665809768645</v>
      </c>
      <c r="D17" s="83">
        <f t="shared" si="1"/>
        <v>30.516417910447764</v>
      </c>
      <c r="E17" s="83" t="e">
        <f t="shared" si="1"/>
        <v>#DIV/0!</v>
      </c>
      <c r="F17" s="83">
        <f>2/(1/C17+1/D17)</f>
        <v>45.7896635424961</v>
      </c>
    </row>
    <row r="18" spans="2:6" x14ac:dyDescent="0.2">
      <c r="B18" s="83" t="s">
        <v>29</v>
      </c>
      <c r="C18" s="83">
        <f>C8</f>
        <v>92.9043701799486</v>
      </c>
      <c r="D18" s="83">
        <f t="shared" ref="D18" si="2">D8</f>
        <v>20.789552238805971</v>
      </c>
      <c r="E18" s="83">
        <f>E8</f>
        <v>9.9794638656180137</v>
      </c>
      <c r="F18" s="83">
        <f t="shared" ref="F18:F20" si="3">3/(1/C18+1/D18+1/E18)</f>
        <v>18.859547530583541</v>
      </c>
    </row>
    <row r="19" spans="2:6" x14ac:dyDescent="0.2">
      <c r="B19" s="83" t="s">
        <v>33</v>
      </c>
      <c r="C19" s="83">
        <f t="shared" ref="C19:E20" si="4">C10</f>
        <v>35.500000000000007</v>
      </c>
      <c r="D19" s="83">
        <f t="shared" si="4"/>
        <v>40.320895522388071</v>
      </c>
      <c r="E19" s="83">
        <f t="shared" si="4"/>
        <v>78.157447959792606</v>
      </c>
      <c r="F19" s="83">
        <f t="shared" si="3"/>
        <v>45.617152300957841</v>
      </c>
    </row>
    <row r="20" spans="2:6" x14ac:dyDescent="0.2">
      <c r="B20" s="83" t="s">
        <v>35</v>
      </c>
      <c r="C20" s="83">
        <f t="shared" si="4"/>
        <v>72.407455012853447</v>
      </c>
      <c r="D20" s="83">
        <f t="shared" si="4"/>
        <v>96.031343283582103</v>
      </c>
      <c r="E20" s="83">
        <f t="shared" si="4"/>
        <v>16.478459679711456</v>
      </c>
      <c r="F20" s="83">
        <f t="shared" si="3"/>
        <v>35.33182581495447</v>
      </c>
    </row>
    <row r="21" spans="2:6" x14ac:dyDescent="0.2">
      <c r="B21" s="8"/>
      <c r="C21" s="8"/>
      <c r="D21" s="8"/>
    </row>
    <row r="22" spans="2:6" x14ac:dyDescent="0.2">
      <c r="B22" s="8"/>
      <c r="C22" s="8"/>
      <c r="D22" s="8"/>
    </row>
    <row r="23" spans="2:6" x14ac:dyDescent="0.2">
      <c r="B23" s="8"/>
      <c r="C23" s="8"/>
      <c r="D23" s="8"/>
    </row>
    <row r="24" spans="2:6" x14ac:dyDescent="0.2">
      <c r="B24" s="8"/>
      <c r="C24" s="94"/>
      <c r="D24" s="8"/>
    </row>
    <row r="25" spans="2:6" x14ac:dyDescent="0.2">
      <c r="B25" s="8"/>
      <c r="C25" s="94"/>
      <c r="D25" s="8"/>
    </row>
    <row r="26" spans="2:6" x14ac:dyDescent="0.2">
      <c r="B26" s="8"/>
      <c r="C26" s="94"/>
      <c r="D26" s="8"/>
    </row>
    <row r="27" spans="2:6" x14ac:dyDescent="0.2">
      <c r="B27" s="8"/>
      <c r="C27" s="94"/>
      <c r="D27" s="8"/>
    </row>
    <row r="28" spans="2:6" x14ac:dyDescent="0.2">
      <c r="B28" s="8"/>
      <c r="C28" s="94"/>
      <c r="D28" s="8"/>
    </row>
    <row r="29" spans="2:6" x14ac:dyDescent="0.2">
      <c r="B2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4D90-C7AD-4A31-AE2F-D45AC43F7C96}">
  <dimension ref="A1:D20"/>
  <sheetViews>
    <sheetView workbookViewId="0">
      <selection activeCell="G27" sqref="G27"/>
    </sheetView>
  </sheetViews>
  <sheetFormatPr baseColWidth="10" defaultColWidth="8.83203125" defaultRowHeight="15" x14ac:dyDescent="0.2"/>
  <cols>
    <col min="1" max="1" width="27.6640625" customWidth="1"/>
    <col min="2" max="2" width="12.1640625" bestFit="1" customWidth="1"/>
    <col min="3" max="4" width="9.6640625" bestFit="1" customWidth="1"/>
  </cols>
  <sheetData>
    <row r="1" spans="1:4" x14ac:dyDescent="0.2">
      <c r="A1" s="83" t="s">
        <v>3</v>
      </c>
      <c r="B1" s="83" t="s">
        <v>55</v>
      </c>
      <c r="C1" s="83" t="s">
        <v>56</v>
      </c>
      <c r="D1" s="83" t="s">
        <v>57</v>
      </c>
    </row>
    <row r="2" spans="1:4" x14ac:dyDescent="0.2">
      <c r="A2" s="83" t="s">
        <v>19</v>
      </c>
      <c r="B2" s="84">
        <f>'V100'!I14</f>
        <v>631.66999999999996</v>
      </c>
      <c r="C2" s="84">
        <f>'Gen9'!E16</f>
        <v>626.74942399999998</v>
      </c>
      <c r="D2" s="84">
        <f>SKX!E15</f>
        <v>658.88131200500004</v>
      </c>
    </row>
    <row r="3" spans="1:4" x14ac:dyDescent="0.2">
      <c r="A3" s="83" t="s">
        <v>21</v>
      </c>
      <c r="B3" s="84">
        <f>'V100'!I15</f>
        <v>18547.65264</v>
      </c>
      <c r="C3" s="84">
        <f>'Gen9'!E17</f>
        <v>18493.694954999999</v>
      </c>
      <c r="D3" s="84">
        <f>SKX!E16</f>
        <v>18547.652640003998</v>
      </c>
    </row>
    <row r="4" spans="1:4" x14ac:dyDescent="0.2">
      <c r="A4" s="83" t="s">
        <v>23</v>
      </c>
      <c r="B4" s="84"/>
      <c r="C4" s="84"/>
      <c r="D4" s="84"/>
    </row>
    <row r="5" spans="1:4" x14ac:dyDescent="0.2">
      <c r="A5" s="83" t="s">
        <v>23</v>
      </c>
      <c r="B5" s="84">
        <f>'V100'!I16</f>
        <v>7.5497584000000006E-2</v>
      </c>
      <c r="C5" s="84">
        <f>'Gen9'!E18</f>
        <v>6.900996999999999E-2</v>
      </c>
      <c r="D5" s="84">
        <f>SKX!E17</f>
        <v>7.5497584000000006E-2</v>
      </c>
    </row>
    <row r="6" spans="1:4" x14ac:dyDescent="0.2">
      <c r="A6" s="83" t="s">
        <v>25</v>
      </c>
      <c r="B6" s="84">
        <f>'V100'!I17</f>
        <v>1.6252928E-2</v>
      </c>
      <c r="C6" s="84">
        <f>'Gen9'!E19</f>
        <v>1.924377E-2</v>
      </c>
      <c r="D6" s="84">
        <f>SKX!E18</f>
        <v>2.4641535999999999E-2</v>
      </c>
    </row>
    <row r="7" spans="1:4" x14ac:dyDescent="0.2">
      <c r="A7" s="83" t="s">
        <v>27</v>
      </c>
      <c r="B7" s="84">
        <f>'V100'!I18</f>
        <v>0.50390040000000003</v>
      </c>
      <c r="C7" s="84">
        <f>'Gen9'!E20</f>
        <v>21.844860000000001</v>
      </c>
      <c r="D7" s="84">
        <f>SKX!E19</f>
        <v>10.035029</v>
      </c>
    </row>
    <row r="8" spans="1:4" x14ac:dyDescent="0.2">
      <c r="A8" s="83" t="s">
        <v>29</v>
      </c>
      <c r="B8" s="84">
        <f>'V100'!I19</f>
        <v>81.401020415999994</v>
      </c>
      <c r="C8" s="84">
        <f>'Gen9'!E21</f>
        <v>174.55414752000001</v>
      </c>
      <c r="D8" s="84">
        <f>SKX!E20</f>
        <v>81.470365841000003</v>
      </c>
    </row>
    <row r="9" spans="1:4" x14ac:dyDescent="0.2">
      <c r="A9" s="83" t="s">
        <v>59</v>
      </c>
      <c r="B9" s="84">
        <f>'V100'!I20</f>
        <v>20.342517730000001</v>
      </c>
      <c r="C9" s="84">
        <f>'Gen9'!E22</f>
        <v>239.31979999999996</v>
      </c>
      <c r="D9" s="84">
        <f>SKX!E21</f>
        <v>1.6280999999999999E-5</v>
      </c>
    </row>
    <row r="10" spans="1:4" x14ac:dyDescent="0.2">
      <c r="A10" s="83" t="s">
        <v>33</v>
      </c>
      <c r="B10" s="84">
        <f>'V100'!I21</f>
        <v>6297.7459424879999</v>
      </c>
      <c r="C10" s="84">
        <f>'Gen9'!E23</f>
        <v>4809.9228000000003</v>
      </c>
      <c r="D10" s="84">
        <f>SKX!E22</f>
        <v>3148.873729506</v>
      </c>
    </row>
    <row r="11" spans="1:4" x14ac:dyDescent="0.2">
      <c r="A11" s="83" t="s">
        <v>35</v>
      </c>
      <c r="B11" s="84">
        <f>'V100'!I22</f>
        <v>3.5651584000000001</v>
      </c>
      <c r="C11" s="84">
        <f>'Gen9'!E24</f>
        <v>3.7748735999999998</v>
      </c>
      <c r="D11" s="84">
        <f>SKX!E23</f>
        <v>3.5651584000000001</v>
      </c>
    </row>
    <row r="12" spans="1:4" x14ac:dyDescent="0.2">
      <c r="A12" s="83" t="s">
        <v>36</v>
      </c>
      <c r="B12" s="84">
        <f>'V100'!I23</f>
        <v>1.8682907200000001</v>
      </c>
      <c r="C12" s="84">
        <f>'Gen9'!E25</f>
        <v>182.66460800000002</v>
      </c>
      <c r="D12" s="84">
        <f>SKX!E24</f>
        <v>220.849212771</v>
      </c>
    </row>
    <row r="13" spans="1:4" x14ac:dyDescent="0.2">
      <c r="A13" s="8"/>
      <c r="B13" s="8"/>
      <c r="C13" s="8"/>
    </row>
    <row r="14" spans="1:4" x14ac:dyDescent="0.2">
      <c r="A14" s="8"/>
      <c r="B14" s="8"/>
      <c r="C14" s="8"/>
    </row>
    <row r="15" spans="1:4" x14ac:dyDescent="0.2">
      <c r="A15" s="8"/>
      <c r="B15" s="8"/>
      <c r="C15" s="8"/>
    </row>
    <row r="16" spans="1:4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C093-D57E-4DE4-BD39-4B48CAD036E8}">
  <dimension ref="A3:F22"/>
  <sheetViews>
    <sheetView workbookViewId="0">
      <selection activeCell="A17" sqref="A17"/>
    </sheetView>
  </sheetViews>
  <sheetFormatPr baseColWidth="10" defaultColWidth="8.83203125" defaultRowHeight="15" x14ac:dyDescent="0.2"/>
  <cols>
    <col min="3" max="3" width="19.33203125" customWidth="1"/>
  </cols>
  <sheetData>
    <row r="3" spans="3:6" x14ac:dyDescent="0.2">
      <c r="C3" s="83" t="s">
        <v>3</v>
      </c>
      <c r="D3" s="83" t="s">
        <v>55</v>
      </c>
      <c r="E3" s="83" t="s">
        <v>56</v>
      </c>
      <c r="F3" s="83" t="s">
        <v>57</v>
      </c>
    </row>
    <row r="4" spans="3:6" x14ac:dyDescent="0.2">
      <c r="C4" s="83" t="s">
        <v>19</v>
      </c>
      <c r="D4" s="83">
        <f>'V100'!K3</f>
        <v>5.0184476632959818</v>
      </c>
      <c r="E4" s="83">
        <f>'Gen9'!D3</f>
        <v>5.9156735184780231</v>
      </c>
      <c r="F4" s="83">
        <f>SKX!G3</f>
        <v>6.2189554230017672</v>
      </c>
    </row>
    <row r="5" spans="3:6" x14ac:dyDescent="0.2">
      <c r="C5" s="83" t="s">
        <v>21</v>
      </c>
      <c r="D5" s="83">
        <f>'V100'!K4</f>
        <v>4.4738178918438845</v>
      </c>
      <c r="E5" s="83">
        <f>'Gen9'!D4</f>
        <v>2.870172237860491</v>
      </c>
      <c r="F5" s="83">
        <f>SKX!G4</f>
        <v>3.4287012519750459</v>
      </c>
    </row>
    <row r="6" spans="3:6" x14ac:dyDescent="0.2">
      <c r="C6" s="83" t="s">
        <v>23</v>
      </c>
      <c r="D6" s="83">
        <f>'V100'!K5</f>
        <v>0.54960285195032399</v>
      </c>
      <c r="E6" s="83">
        <f>'Gen9'!D5</f>
        <v>0.48425119827839191</v>
      </c>
      <c r="F6" s="83">
        <f>SKX!G5</f>
        <v>0</v>
      </c>
    </row>
    <row r="7" spans="3:6" x14ac:dyDescent="0.2">
      <c r="C7" s="83" t="s">
        <v>25</v>
      </c>
      <c r="D7" s="83">
        <f>'V100'!K6</f>
        <v>0.22560685799913865</v>
      </c>
      <c r="E7" s="83">
        <f>'Gen9'!D6</f>
        <v>0.26287058823529413</v>
      </c>
      <c r="F7" s="83">
        <f>SKX!G6</f>
        <v>0</v>
      </c>
    </row>
    <row r="8" spans="3:6" x14ac:dyDescent="0.2">
      <c r="C8" s="83" t="s">
        <v>27</v>
      </c>
      <c r="D8" s="83">
        <f>'V100'!K7</f>
        <v>1.0893389656695045</v>
      </c>
      <c r="E8" s="83">
        <f>'Gen9'!D7</f>
        <v>2.0319174466042718</v>
      </c>
      <c r="F8" s="83">
        <f>SKX!G7</f>
        <v>1.6794649840847096</v>
      </c>
    </row>
    <row r="9" spans="3:6" x14ac:dyDescent="0.2">
      <c r="C9" s="83" t="s">
        <v>29</v>
      </c>
      <c r="D9" s="83">
        <f>'V100'!K8</f>
        <v>0.73166262605702104</v>
      </c>
      <c r="E9" s="83">
        <f>'Gen9'!D8</f>
        <v>1.481226218680451</v>
      </c>
      <c r="F9" s="83">
        <f>SKX!G8</f>
        <v>1.9374609905265496</v>
      </c>
    </row>
    <row r="10" spans="3:6" x14ac:dyDescent="0.2">
      <c r="C10" s="83" t="s">
        <v>31</v>
      </c>
      <c r="D10" s="83">
        <f>'V100'!K9</f>
        <v>98.03108823446361</v>
      </c>
      <c r="E10" s="83">
        <f>'Gen9'!D9</f>
        <v>38.831894362620616</v>
      </c>
      <c r="F10" s="83">
        <f>SKX!G9</f>
        <v>6.2251728742092618E-6</v>
      </c>
    </row>
    <row r="11" spans="3:6" x14ac:dyDescent="0.2">
      <c r="C11" s="83" t="s">
        <v>33</v>
      </c>
      <c r="D11" s="83">
        <f>'V100'!K10</f>
        <v>2.9207407325538304</v>
      </c>
      <c r="E11" s="83">
        <f>'Gen9'!D10</f>
        <v>0.80103646122524519</v>
      </c>
      <c r="F11" s="83">
        <f>SKX!G10</f>
        <v>0.27594973429956932</v>
      </c>
    </row>
    <row r="12" spans="3:6" x14ac:dyDescent="0.2">
      <c r="C12" s="83" t="s">
        <v>35</v>
      </c>
      <c r="D12" s="83">
        <f>'V100'!K11</f>
        <v>1.5460037615666171</v>
      </c>
      <c r="E12" s="83">
        <f>'Gen9'!D11</f>
        <v>1.5364740320605912</v>
      </c>
      <c r="F12" s="83">
        <f>SKX!G11</f>
        <v>3.6214266791702761</v>
      </c>
    </row>
    <row r="13" spans="3:6" x14ac:dyDescent="0.2">
      <c r="C13" s="83" t="s">
        <v>36</v>
      </c>
      <c r="D13" s="83">
        <f>'V100'!K12</f>
        <v>0.10438777936706597</v>
      </c>
      <c r="E13" s="83">
        <f>'Gen9'!D12</f>
        <v>5.9227487605211575</v>
      </c>
      <c r="F13" s="83" t="e">
        <f>SKX!#REF!</f>
        <v>#REF!</v>
      </c>
    </row>
    <row r="14" spans="3:6" x14ac:dyDescent="0.2">
      <c r="C14" s="83" t="s">
        <v>36</v>
      </c>
      <c r="D14" s="83">
        <f>'V100'!K13</f>
        <v>0.20827406920480956</v>
      </c>
      <c r="E14" s="83">
        <f>'Gen9'!D13</f>
        <v>33.350513086590574</v>
      </c>
      <c r="F14" s="83">
        <f>SKX!G12</f>
        <v>30.709867170058097</v>
      </c>
    </row>
    <row r="17" spans="1:6" x14ac:dyDescent="0.2">
      <c r="A17" t="s">
        <v>63</v>
      </c>
      <c r="C17" s="83" t="s">
        <v>3</v>
      </c>
      <c r="D17" s="83" t="str">
        <f>D3</f>
        <v>V100</v>
      </c>
      <c r="E17" s="83" t="str">
        <f t="shared" ref="E17:F17" si="0">E3</f>
        <v>Gen9</v>
      </c>
      <c r="F17" s="83" t="str">
        <f t="shared" si="0"/>
        <v>SKX</v>
      </c>
    </row>
    <row r="18" spans="1:6" x14ac:dyDescent="0.2">
      <c r="C18" s="83" t="s">
        <v>21</v>
      </c>
      <c r="D18" s="83">
        <f>D5</f>
        <v>4.4738178918438845</v>
      </c>
      <c r="E18" s="83">
        <f t="shared" ref="E18:F18" si="1">E5</f>
        <v>2.870172237860491</v>
      </c>
      <c r="F18" s="83">
        <f t="shared" si="1"/>
        <v>3.4287012519750459</v>
      </c>
    </row>
    <row r="19" spans="1:6" x14ac:dyDescent="0.2">
      <c r="C19" s="83" t="s">
        <v>23</v>
      </c>
      <c r="D19" s="83">
        <f>D6</f>
        <v>0.54960285195032399</v>
      </c>
      <c r="E19" s="83">
        <f t="shared" ref="E19:F19" si="2">E6</f>
        <v>0.48425119827839191</v>
      </c>
      <c r="F19" s="83">
        <f t="shared" si="2"/>
        <v>0</v>
      </c>
    </row>
    <row r="20" spans="1:6" x14ac:dyDescent="0.2">
      <c r="C20" s="83" t="s">
        <v>29</v>
      </c>
      <c r="D20" s="83">
        <f>D9</f>
        <v>0.73166262605702104</v>
      </c>
      <c r="E20" s="83">
        <f t="shared" ref="E20:F20" si="3">E9</f>
        <v>1.481226218680451</v>
      </c>
      <c r="F20" s="83">
        <f t="shared" si="3"/>
        <v>1.9374609905265496</v>
      </c>
    </row>
    <row r="21" spans="1:6" x14ac:dyDescent="0.2">
      <c r="C21" s="83" t="s">
        <v>33</v>
      </c>
      <c r="D21" s="83">
        <f>D11</f>
        <v>2.9207407325538304</v>
      </c>
      <c r="E21" s="83">
        <f>E11</f>
        <v>0.80103646122524519</v>
      </c>
      <c r="F21" s="83">
        <f t="shared" ref="F21" si="4">F11</f>
        <v>0.27594973429956932</v>
      </c>
    </row>
    <row r="22" spans="1:6" x14ac:dyDescent="0.2">
      <c r="C22" s="83" t="s">
        <v>35</v>
      </c>
      <c r="D22" s="83">
        <f>D12</f>
        <v>1.5460037615666171</v>
      </c>
      <c r="E22" s="83">
        <f t="shared" ref="E22:F22" si="5">E12</f>
        <v>1.5364740320605912</v>
      </c>
      <c r="F22" s="83">
        <f t="shared" si="5"/>
        <v>3.6214266791702761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2B67-D0CA-4ED0-A938-1E4C0C6116B0}">
  <dimension ref="A4:D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8.83203125" customWidth="1"/>
  </cols>
  <sheetData>
    <row r="4" spans="1:4" x14ac:dyDescent="0.2">
      <c r="A4" s="83" t="s">
        <v>60</v>
      </c>
      <c r="B4" s="83" t="s">
        <v>61</v>
      </c>
      <c r="C4" s="83" t="s">
        <v>56</v>
      </c>
      <c r="D4" s="83" t="s">
        <v>55</v>
      </c>
    </row>
    <row r="5" spans="1:4" x14ac:dyDescent="0.2">
      <c r="A5" s="83" t="s">
        <v>21</v>
      </c>
      <c r="B5" s="84">
        <f>SKX!F4</f>
        <v>76.807144503649013</v>
      </c>
      <c r="C5" s="84">
        <f>'Gen9'!C4</f>
        <v>32.638329319955311</v>
      </c>
      <c r="D5" s="84">
        <f>'V100'!J4</f>
        <v>387.46000000000004</v>
      </c>
    </row>
    <row r="6" spans="1:4" x14ac:dyDescent="0.2">
      <c r="A6" s="83" t="s">
        <v>23</v>
      </c>
      <c r="B6" s="84">
        <f>SKX!F5</f>
        <v>0</v>
      </c>
      <c r="C6" s="84">
        <f>'Gen9'!C5</f>
        <v>20.445999999999998</v>
      </c>
      <c r="D6" s="84">
        <f>'V100'!J5</f>
        <v>713.19</v>
      </c>
    </row>
    <row r="7" spans="1:4" x14ac:dyDescent="0.2">
      <c r="A7" s="83" t="s">
        <v>29</v>
      </c>
      <c r="B7" s="84">
        <f>SKX!F8</f>
        <v>21.356052672422553</v>
      </c>
      <c r="C7" s="84">
        <f>'Gen9'!C8</f>
        <v>13.929</v>
      </c>
      <c r="D7" s="84">
        <f>'V100'!J8</f>
        <v>722.79600000000005</v>
      </c>
    </row>
    <row r="8" spans="1:4" x14ac:dyDescent="0.2">
      <c r="A8" s="83" t="s">
        <v>33</v>
      </c>
      <c r="B8" s="84">
        <f>SKX!F10</f>
        <v>167.25693863395617</v>
      </c>
      <c r="C8" s="84">
        <f>'Gen9'!C10</f>
        <v>27.015000000000001</v>
      </c>
      <c r="D8" s="84">
        <f>'V100'!J10</f>
        <v>276.19</v>
      </c>
    </row>
    <row r="9" spans="1:4" x14ac:dyDescent="0.2">
      <c r="A9" s="83" t="s">
        <v>35</v>
      </c>
      <c r="B9" s="84">
        <f>SKX!F11</f>
        <v>35.263903714582511</v>
      </c>
      <c r="C9" s="84">
        <f>'Gen9'!C11</f>
        <v>64.341000000000008</v>
      </c>
      <c r="D9" s="84">
        <f>'V100'!J11</f>
        <v>563.32999999999993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V100</vt:lpstr>
      <vt:lpstr>Gen9</vt:lpstr>
      <vt:lpstr>SKX</vt:lpstr>
      <vt:lpstr>compare-efficiency</vt:lpstr>
      <vt:lpstr>compare-flops</vt:lpstr>
      <vt:lpstr>compare-CI</vt:lpstr>
      <vt:lpstr>compare-BW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2019-09-06T02:38:22Z</dcterms:modified>
  <cp:category/>
  <cp:contentStatus/>
</cp:coreProperties>
</file>