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drawings/drawing4.xml" ContentType="application/vnd.openxmlformats-officedocument.drawingml.chartshapes+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13_ncr:1_{D54FF8F3-7212-4782-9DD4-98309D811EC9}" xr6:coauthVersionLast="47" xr6:coauthVersionMax="47" xr10:uidLastSave="{00000000-0000-0000-0000-000000000000}"/>
  <bookViews>
    <workbookView xWindow="-120" yWindow="-120" windowWidth="29040" windowHeight="15720" activeTab="2" xr2:uid="{A67A5B8D-6FB1-4B23-930F-678BDD4D11E7}"/>
  </bookViews>
  <sheets>
    <sheet name="LAMBDA_functions" sheetId="1" r:id="rId1"/>
    <sheet name="Life Expectancy Data" sheetId="2" r:id="rId2"/>
    <sheet name="Univariate" sheetId="3" r:id="rId3"/>
    <sheet name="Regression Instructions" sheetId="4" r:id="rId4"/>
    <sheet name="Diagnostic Guide" sheetId="5" r:id="rId5"/>
    <sheet name="Version History" sheetId="6" r:id="rId6"/>
    <sheet name="Regression" sheetId="7"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6">LifeExpectancyData[[Adult Mortality]:[Schooling]]</definedName>
    <definedName name="Allow_Intercept" localSheetId="6">Regression!$B$2</definedName>
    <definedName name="alpha" localSheetId="6">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um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6">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6">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udf.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udf.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num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6">OFFSET(Regression!$X$2,1,0,MAX(IFERROR(Regression!$M$8,1),1),1)</definedName>
    <definedName name="RegChartCookDist" localSheetId="6">OFFSET(Regression!$AD$2,1,0,MAX(IFERROR(Regression!$M$8,1),1),1)</definedName>
    <definedName name="RegChartFitY" localSheetId="6">OFFSET(Regression!$Y$2,1,0,MAX(IFERROR(Regression!$M$8,1),1),1)</definedName>
    <definedName name="RegChartLeverage" localSheetId="6">OFFSET(Regression!$AB$2,1,0,MAX(IFERROR(Regression!$M$8,1),1),1)</definedName>
    <definedName name="RegChartPRESSResid" localSheetId="6">OFFSET(Regression!$AH$2,1,0,MAX(IFERROR(Regression!$M$8,1),1),1)</definedName>
    <definedName name="RegChartQQX" localSheetId="6">OFFSET(Regression!$AE$2,1,0,MAX(IFERROR(Regression!$M$8,1),1),1)</definedName>
    <definedName name="RegChartQQY" localSheetId="6">OFFSET(Regression!$AF$2,1,0,MAX(IFERROR(Regression!$M$8,1),1),1)</definedName>
    <definedName name="RegChartResid" localSheetId="6">OFFSET(Regression!$Z$2,1,0,MAX(IFERROR(Regression!$M$8,1),1),1)</definedName>
    <definedName name="RegChartScaleLoc" localSheetId="6">OFFSET(Regression!$AG$2,1,0,MAX(IFERROR(Regression!$M$8,1),1),1)</definedName>
    <definedName name="RegChartStudResid" localSheetId="6">OFFSET(Regression!$AC$2,1,0,MAX(IFERROR(Regression!$M$8,1),1),1)</definedName>
    <definedName name="Regression_Sample_Include" localSheetId="6">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2">_xlfn.ANCHORARRAY(Univariate!$A$4)</definedName>
    <definedName name="UV_FD_Counts" localSheetId="2">OFFSET(Univariate!$N$5,0,0,num_histogram_bins(Univariate!UV_Data,Univariate!$N$2,Univariate!UV_Include),1)</definedName>
    <definedName name="UV_FD_Edges" localSheetId="2">OFFSET(Univariate!$M$5,0,0,num_histogram_bins(Univariate!UV_Data,Univariate!$N$2,Univariate!UV_Include),1)</definedName>
    <definedName name="UV_Include" localSheetId="2">_xlfn.ANCHORARRAY(Univariate!$B$4)</definedName>
    <definedName name="UV_n" localSheetId="2">IFERROR(COUNT(_xlfn._xlws.FILTER(_xlfn.ANCHORARRAY(Univariate!$A$4),Univariate!UV_Include)),0)</definedName>
    <definedName name="UV_Scott_Counts" localSheetId="2">OFFSET(Univariate!$K$5,0,0,num_histogram_bins(Univariate!UV_Data,Univariate!$K$2,Univariate!UV_Include),1)</definedName>
    <definedName name="UV_Scott_Edges" localSheetId="2">OFFSET(Univariate!$J$5,0,0,num_histogram_bins(Univariate!UV_Data,Univariate!$K$2,Univariate!UV_Include),1)</definedName>
    <definedName name="UV_Sturges_Counts" localSheetId="2">OFFSET(Univariate!$H$5,0,0,num_histogram_bins(Univariate!UV_Data,Univariate!$H$2,Univariate!UV_Include),1)</definedName>
    <definedName name="UV_Sturges_Edges" localSheetId="2">OFFSET(Univariate!$G$5,0,0,num_histogram_bins(Univariate!UV_Data,Univariate!$H$2,Univariate!UV_Include),1)</definedName>
    <definedName name="UV_WB_S1" localSheetId="2">Univariate!$AD$10:$AW$29</definedName>
    <definedName name="UV_WB_S2" localSheetId="2">Univariate!$AZ$10:$BS$29</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6">_xlfn.LAMBDA(IFERROR(TRANSPOSE(_xlfn._xlws.FILTER(TRANSPOSE(Regression!All_Xs),_xlfn.TAKE(Regression!Ind_Var_Include,COLUMNS(Regression!All_Xs)))),_xlfn.TAKE(Regression!All_Xs,,1)))</definedName>
    <definedName name="y" localSheetId="6">LifeExpectancyData[Life expectancy]</definedName>
    <definedName name="Y_Ranked">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18" i="3" l="1" a="1"/>
  <c r="D18" i="3" s="1"/>
  <c r="H3" i="3" a="1"/>
  <c r="H3" i="3" s="1"/>
  <c r="D17" i="3" a="1"/>
  <c r="D17" i="3" s="1"/>
  <c r="G5" i="3" a="1"/>
  <c r="G5" i="3" s="1"/>
  <c r="B4" i="3" a="1"/>
  <c r="B4" i="3" s="1"/>
  <c r="E15" i="3" a="1"/>
  <c r="E15" i="3" s="1"/>
  <c r="S10" i="3"/>
  <c r="AZ9" i="3" a="1"/>
  <c r="AZ9" i="3"/>
  <c r="AD9" i="3" a="1"/>
  <c r="AD9" i="3"/>
  <c r="AZ8" i="3" a="1"/>
  <c r="AZ8" i="3"/>
  <c r="AY8" i="3" a="1"/>
  <c r="AY8" i="3"/>
  <c r="AD8" i="3" a="1"/>
  <c r="AD8" i="3"/>
  <c r="AC8" i="3" a="1"/>
  <c r="AC8" i="3"/>
  <c r="AZ7" i="3" a="1"/>
  <c r="AZ7" i="3"/>
  <c r="AD7" i="3" a="1"/>
  <c r="AD7" i="3"/>
  <c r="AZ6" i="3"/>
  <c r="AD6" i="3"/>
  <c r="BA4" i="3"/>
  <c r="AZ4" i="3"/>
  <c r="A4" i="3" a="1"/>
  <c r="A4" i="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V25" i="7" s="1" a="1"/>
  <c r="V25" i="7" s="1"/>
  <c r="W18" i="2"/>
  <c r="W17" i="2"/>
  <c r="W16" i="2"/>
  <c r="W15" i="2"/>
  <c r="W14" i="2"/>
  <c r="W13" i="2"/>
  <c r="W12" i="2"/>
  <c r="W11" i="2"/>
  <c r="V28" i="7" s="1" a="1"/>
  <c r="V28" i="7" s="1"/>
  <c r="W10" i="2"/>
  <c r="W9" i="2"/>
  <c r="W8" i="2"/>
  <c r="V22" i="7" s="1" a="1"/>
  <c r="V22" i="7" s="1"/>
  <c r="W7" i="2"/>
  <c r="W6" i="2"/>
  <c r="W5" i="2"/>
  <c r="V26" i="7" s="1" a="1"/>
  <c r="V26" i="7" s="1"/>
  <c r="W4" i="2"/>
  <c r="W3" i="2"/>
  <c r="W2" i="2"/>
  <c r="V30" i="7" s="1" a="1"/>
  <c r="V30" i="7" s="1"/>
  <c r="V29" i="7" a="1"/>
  <c r="V29" i="7" s="1"/>
  <c r="S21" i="7" a="1"/>
  <c r="S21" i="7" s="1"/>
  <c r="R21" i="7" a="1"/>
  <c r="R21" i="7" s="1"/>
  <c r="Q21" i="7" a="1"/>
  <c r="Q21" i="7" s="1"/>
  <c r="P21" i="7" a="1"/>
  <c r="P21" i="7" s="1"/>
  <c r="O21" i="7" a="1"/>
  <c r="O21" i="7" s="1"/>
  <c r="N21" i="7" a="1"/>
  <c r="N21" i="7" s="1"/>
  <c r="M21" i="7" a="1"/>
  <c r="M21" i="7" s="1"/>
  <c r="L21" i="7" a="1"/>
  <c r="L21" i="7" s="1"/>
  <c r="V18" i="7" a="1"/>
  <c r="V18" i="7" s="1"/>
  <c r="V17" i="7" a="1"/>
  <c r="V17" i="7" s="1"/>
  <c r="N17" i="7" a="1"/>
  <c r="N17" i="7" s="1"/>
  <c r="M17" i="7" a="1"/>
  <c r="M17" i="7" s="1"/>
  <c r="V16" i="7" a="1"/>
  <c r="V16" i="7" s="1"/>
  <c r="O16" i="7" a="1"/>
  <c r="O16" i="7" s="1"/>
  <c r="N16" i="7" a="1"/>
  <c r="N16" i="7" s="1"/>
  <c r="M16" i="7" a="1"/>
  <c r="M16" i="7" s="1"/>
  <c r="Q15" i="7" a="1"/>
  <c r="Q15" i="7" s="1"/>
  <c r="P15" i="7" a="1"/>
  <c r="P15" i="7" s="1"/>
  <c r="O15" i="7" a="1"/>
  <c r="O15" i="7" s="1"/>
  <c r="N15" i="7" a="1"/>
  <c r="N15" i="7" s="1"/>
  <c r="M15" i="7" a="1"/>
  <c r="M15" i="7" s="1"/>
  <c r="V14" i="7" a="1"/>
  <c r="V14" i="7" s="1"/>
  <c r="V13" i="7" a="1"/>
  <c r="V13" i="7" s="1"/>
  <c r="U13" i="7" a="1"/>
  <c r="U13" i="7" s="1"/>
  <c r="V12" i="7"/>
  <c r="P10" i="7" a="1"/>
  <c r="P10" i="7" s="1"/>
  <c r="P9" i="7" a="1"/>
  <c r="P9" i="7"/>
  <c r="P8" i="7" a="1"/>
  <c r="P8" i="7"/>
  <c r="P7" i="7" a="1"/>
  <c r="P7" i="7"/>
  <c r="M7" i="7" a="1"/>
  <c r="M7" i="7"/>
  <c r="P6" i="7" a="1"/>
  <c r="P6" i="7"/>
  <c r="M6" i="7" a="1"/>
  <c r="M6" i="7"/>
  <c r="P5" i="7" a="1"/>
  <c r="P5" i="7"/>
  <c r="M5" i="7" a="1"/>
  <c r="M5" i="7" s="1"/>
  <c r="P4" i="7" a="1"/>
  <c r="P4" i="7" s="1"/>
  <c r="M4" i="7" a="1"/>
  <c r="M4" i="7"/>
  <c r="AH3" i="7" a="1"/>
  <c r="AH3" i="7" s="1"/>
  <c r="AG3" i="7" a="1"/>
  <c r="AG3" i="7" s="1"/>
  <c r="AF3" i="7" a="1"/>
  <c r="AF3" i="7" s="1"/>
  <c r="AE3" i="7" a="1"/>
  <c r="AE3" i="7" s="1"/>
  <c r="AD3" i="7" a="1"/>
  <c r="AD3" i="7" s="1"/>
  <c r="AC3" i="7" a="1"/>
  <c r="AC3" i="7" s="1"/>
  <c r="AB3" i="7" a="1"/>
  <c r="AB3" i="7" s="1"/>
  <c r="AA3" i="7" a="1"/>
  <c r="AA3" i="7" s="1"/>
  <c r="Z3" i="7" a="1"/>
  <c r="Z3" i="7" s="1"/>
  <c r="Y3" i="7" a="1"/>
  <c r="Y3" i="7" s="1"/>
  <c r="X3" i="7" a="1"/>
  <c r="X3" i="7" s="1"/>
  <c r="J3" i="7" a="1"/>
  <c r="J3" i="7" s="1"/>
  <c r="I3" i="7" a="1"/>
  <c r="I3" i="7" s="1"/>
  <c r="H3" i="7" a="1"/>
  <c r="H3" i="7" s="1"/>
  <c r="G3" i="7" a="1"/>
  <c r="G3" i="7" s="1"/>
  <c r="F3" i="7" a="1"/>
  <c r="F3" i="7" s="1"/>
  <c r="E3" i="7" a="1"/>
  <c r="E3" i="7" s="1"/>
  <c r="D3" i="7" a="1"/>
  <c r="D3" i="7" s="1"/>
  <c r="A3" i="7" a="1"/>
  <c r="A3" i="7" s="1"/>
  <c r="AC9" i="3" l="1" a="1"/>
  <c r="AC9" i="3" s="1"/>
  <c r="E6" i="3"/>
  <c r="E8" i="3"/>
  <c r="S8" i="3"/>
  <c r="AY9" i="3" a="1"/>
  <c r="AY9" i="3" s="1"/>
  <c r="S6" i="3" a="1"/>
  <c r="S6" i="3" s="1"/>
  <c r="U8" i="3"/>
  <c r="K3" i="3" a="1"/>
  <c r="K3" i="3" s="1"/>
  <c r="W8" i="3"/>
  <c r="X8" i="3" s="1" a="1"/>
  <c r="X8" i="3" s="1"/>
  <c r="N3" i="3" a="1"/>
  <c r="N3" i="3" s="1"/>
  <c r="U6" i="3" a="1"/>
  <c r="U6" i="3" s="1"/>
  <c r="E10" i="3"/>
  <c r="X6" i="3" a="1"/>
  <c r="X6" i="3" s="1"/>
  <c r="AA6" i="3" s="1" a="1"/>
  <c r="AA6" i="3" s="1"/>
  <c r="E4" i="3"/>
  <c r="X10" i="3" a="1"/>
  <c r="X10" i="3" s="1"/>
  <c r="AA10" i="3" s="1" a="1"/>
  <c r="AA10" i="3" s="1"/>
  <c r="E5" i="3"/>
  <c r="S7" i="3"/>
  <c r="J5" i="3" a="1"/>
  <c r="J5" i="3" s="1"/>
  <c r="E11" i="3"/>
  <c r="M5" i="3" a="1"/>
  <c r="E9" i="3"/>
  <c r="E12" i="3" a="1"/>
  <c r="E12" i="3" s="1"/>
  <c r="S5" i="3"/>
  <c r="S9" i="3"/>
  <c r="X9" i="3" s="1" a="1"/>
  <c r="X9" i="3" s="1"/>
  <c r="E13" i="3" a="1"/>
  <c r="E13" i="3" s="1"/>
  <c r="U5" i="3"/>
  <c r="U9" i="3"/>
  <c r="E14" i="3"/>
  <c r="X5" i="3" a="1"/>
  <c r="X5" i="3" s="1"/>
  <c r="AA5" i="3" s="1" a="1"/>
  <c r="AA5" i="3" s="1"/>
  <c r="W9" i="3"/>
  <c r="E7" i="3"/>
  <c r="X7" i="3" a="1"/>
  <c r="X7" i="3" s="1"/>
  <c r="AA7" i="3" s="1" a="1"/>
  <c r="AA7" i="3" s="1"/>
  <c r="AE5" i="3"/>
  <c r="AC10" i="3" s="1" a="1"/>
  <c r="V19" i="7" a="1"/>
  <c r="V19" i="7" s="1"/>
  <c r="V21" i="7" a="1"/>
  <c r="V21" i="7" s="1"/>
  <c r="V15" i="7" a="1"/>
  <c r="V15" i="7" s="1"/>
  <c r="V3" i="7" s="1" a="1"/>
  <c r="V3" i="7" s="1"/>
  <c r="V20" i="7" a="1"/>
  <c r="V20" i="7" s="1"/>
  <c r="V23" i="7" a="1"/>
  <c r="V23" i="7" s="1"/>
  <c r="V24" i="7" a="1"/>
  <c r="V24" i="7" s="1"/>
  <c r="V27" i="7" a="1"/>
  <c r="V27" i="7" s="1"/>
  <c r="M8" i="7" a="1"/>
  <c r="M8" i="7" s="1"/>
  <c r="Z7" i="3" l="1" a="1"/>
  <c r="Z7" i="3" s="1"/>
  <c r="Z10" i="3" a="1"/>
  <c r="Z10" i="3" s="1"/>
  <c r="AA8" i="3" a="1"/>
  <c r="AA8" i="3" s="1"/>
  <c r="Z8" i="3" a="1"/>
  <c r="Z8" i="3" s="1"/>
  <c r="Z9" i="3" a="1"/>
  <c r="Z9" i="3" s="1"/>
  <c r="AA9" i="3" a="1"/>
  <c r="AA9" i="3" s="1"/>
  <c r="H5" i="3" a="1"/>
  <c r="H5" i="3" s="1"/>
  <c r="N5" i="3" a="1"/>
  <c r="N5" i="3" s="1"/>
  <c r="M5" i="3"/>
  <c r="AC10" i="3"/>
  <c r="AF7" i="3" s="1" a="1"/>
  <c r="AF7" i="3" s="1"/>
  <c r="K5" i="3" a="1"/>
  <c r="K5" i="3" s="1"/>
  <c r="Z6" i="3" a="1"/>
  <c r="Z6" i="3" s="1"/>
  <c r="Z5" i="3" a="1"/>
  <c r="Z5" i="3" s="1"/>
  <c r="AZ5" i="3" l="1"/>
  <c r="AY10" i="3" s="1" a="1"/>
  <c r="BA5" i="3"/>
  <c r="AY10" i="3" l="1"/>
  <c r="BB7" i="3" a="1"/>
  <c r="BB7" i="3" s="1"/>
  <c r="U1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E2" authorId="0" shapeId="0" xr:uid="{7E3248A6-4F17-4FE2-83F6-68DEBC0FD513}">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7C776365-8956-47BD-9C2F-BA4697F378FB}">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CFF9B57F-D972-425C-BE59-C18C242BCC03}">
      <text>
        <r>
          <rPr>
            <b/>
            <sz val="9"/>
            <color indexed="81"/>
            <rFont val="Tahoma"/>
            <family val="2"/>
          </rPr>
          <t>Shows whether the data have a longer tail on one side. Positive means a longer right tail; negative means a longer left tail.</t>
        </r>
      </text>
    </comment>
    <comment ref="H2" authorId="0" shapeId="0" xr:uid="{E6C9FA6A-DFB8-456F-9529-BE689BCC8A0E}">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01D8470F-BBC1-4A88-BA9D-05C9A1F6F6EE}">
      <text>
        <r>
          <rPr>
            <b/>
            <sz val="9"/>
            <color indexed="81"/>
            <rFont val="Tahoma"/>
            <family val="2"/>
          </rPr>
          <t>A measure of collinearity with the other predictors. A value of 1 means no overlap; above 5 warrants review, above 10 indicates a problem.</t>
        </r>
      </text>
    </comment>
    <comment ref="J2" authorId="0" shapeId="0" xr:uid="{678DD08B-F03E-4330-910D-A81E2F595B3A}">
      <text>
        <r>
          <rPr>
            <b/>
            <sz val="9"/>
            <color indexed="81"/>
            <rFont val="Tahoma"/>
            <family val="2"/>
          </rPr>
          <t>The fraction of a predictor's variation not explained by the other predictors. Values below 0.2 warrant review; below 0.1 indicate strong collinearity.</t>
        </r>
      </text>
    </comment>
    <comment ref="X2" authorId="0" shapeId="0" xr:uid="{64C45B3B-C679-47C6-9918-033B75DDFD1B}">
      <text>
        <r>
          <rPr>
            <b/>
            <sz val="9"/>
            <color indexed="81"/>
            <rFont val="Tahoma"/>
            <family val="2"/>
          </rPr>
          <t>The actual observed outcome values.</t>
        </r>
      </text>
    </comment>
    <comment ref="Y2" authorId="0" shapeId="0" xr:uid="{38BB22C0-37ED-4CEF-B445-AE0471F6BC70}">
      <text>
        <r>
          <rPr>
            <b/>
            <sz val="9"/>
            <color indexed="81"/>
            <rFont val="Tahoma"/>
            <family val="2"/>
          </rPr>
          <t>The fitted outcome values produced by the model.</t>
        </r>
      </text>
    </comment>
    <comment ref="Z2" authorId="0" shapeId="0" xr:uid="{89325978-7051-4CDB-BC78-AA8717C9F084}">
      <text>
        <r>
          <rPr>
            <b/>
            <sz val="9"/>
            <color indexed="81"/>
            <rFont val="Tahoma"/>
            <family val="2"/>
          </rPr>
          <t>Actual Y minus predicted Y. Positive means the row came in above the model's prediction; negative means below.</t>
        </r>
      </text>
    </comment>
    <comment ref="AA2" authorId="0" shapeId="0" xr:uid="{4712E4D8-FDA0-4CE4-BAF1-8F88CEB6581C}">
      <text>
        <r>
          <rPr>
            <b/>
            <sz val="9"/>
            <color indexed="81"/>
            <rFont val="Tahoma"/>
            <family val="2"/>
          </rPr>
          <t>The prediction error for a row when that row is left out of the fitting step.</t>
        </r>
      </text>
    </comment>
    <comment ref="AB2" authorId="0" shapeId="0" xr:uid="{0FCAE5F1-D8A5-428B-9D2B-D29A66F9A1BF}">
      <text>
        <r>
          <rPr>
            <b/>
            <sz val="9"/>
            <color indexed="81"/>
            <rFont val="Tahoma"/>
            <family val="2"/>
          </rPr>
          <t>Leverage. It shows how unusual a row's predictor values are relative to the rest of the data.</t>
        </r>
      </text>
    </comment>
    <comment ref="AC2" authorId="0" shapeId="0" xr:uid="{C02F4560-C0DD-4F7D-A86D-6C952F643C5D}">
      <text>
        <r>
          <rPr>
            <b/>
            <sz val="9"/>
            <color indexed="81"/>
            <rFont val="Tahoma"/>
            <family val="2"/>
          </rPr>
          <t>Residuals scaled to account for overall error size and leverage, making outliers easier to compare fairly.</t>
        </r>
      </text>
    </comment>
    <comment ref="AD2" authorId="0" shapeId="0" xr:uid="{258B7FB2-0CEB-4908-ABBC-E9CDCB056B84}">
      <text>
        <r>
          <rPr>
            <b/>
            <sz val="9"/>
            <color indexed="81"/>
            <rFont val="Tahoma"/>
            <family val="2"/>
          </rPr>
          <t>How much a single row can pull the fitted coefficients and predictions around.</t>
        </r>
      </text>
    </comment>
    <comment ref="AE2" authorId="0" shapeId="0" xr:uid="{0AC99C28-12ED-4DDB-B8F0-941A87C0BB68}">
      <text>
        <r>
          <rPr>
            <b/>
            <sz val="9"/>
            <color indexed="81"/>
            <rFont val="Tahoma"/>
            <family val="2"/>
          </rPr>
          <t>Expected bell-curve quantiles used for the Q-Q comparison.</t>
        </r>
      </text>
    </comment>
    <comment ref="AF2" authorId="0" shapeId="0" xr:uid="{5126DB27-1461-4C52-9D92-350B3748DEE5}">
      <text>
        <r>
          <rPr>
            <b/>
            <sz val="9"/>
            <color indexed="81"/>
            <rFont val="Tahoma"/>
            <family val="2"/>
          </rPr>
          <t>Studentized residuals sorted from smallest to largest for the Q-Q plot.</t>
        </r>
      </text>
    </comment>
    <comment ref="AG2" authorId="0" shapeId="0" xr:uid="{E971D22E-A025-4210-B0CB-0B059B268608}">
      <text>
        <r>
          <rPr>
            <b/>
            <sz val="9"/>
            <color indexed="81"/>
            <rFont val="Tahoma"/>
            <family val="2"/>
          </rPr>
          <t>The square root of the absolute studentized residual. A flat pattern suggests stable error spread.</t>
        </r>
      </text>
    </comment>
    <comment ref="AH2" authorId="0" shapeId="0" xr:uid="{D6B35D38-8149-4885-BADB-83FD31D7AB83}">
      <text>
        <r>
          <rPr>
            <b/>
            <sz val="9"/>
            <color indexed="81"/>
            <rFont val="Tahoma"/>
            <family val="2"/>
          </rPr>
          <t>A leverage-adjusted residual used to show how much a row affects out-of-sample prediction error.</t>
        </r>
      </text>
    </comment>
    <comment ref="U3" authorId="0" shapeId="0" xr:uid="{01DA0453-645F-4A35-BE94-6E25272D2E8B}">
      <text>
        <r>
          <rPr>
            <b/>
            <sz val="9"/>
            <color indexed="81"/>
            <rFont val="Tahoma"/>
            <family val="2"/>
          </rPr>
          <t>The model's single best predicted Y value for the inputs you entered.</t>
        </r>
      </text>
    </comment>
    <comment ref="L4" authorId="0" shapeId="0" xr:uid="{A5A4D680-9E21-480D-A192-4A89CCC4C206}">
      <text>
        <r>
          <rPr>
            <b/>
            <sz val="9"/>
            <color indexed="81"/>
            <rFont val="Tahoma"/>
            <family val="2"/>
          </rPr>
          <t>How closely the model's predicted Y values track the actual Y values overall.</t>
        </r>
      </text>
    </comment>
    <comment ref="O4" authorId="0" shapeId="0" xr:uid="{2037C0B4-28AC-412D-BBEA-B7A8C3736D86}">
      <text>
        <r>
          <rPr>
            <b/>
            <sz val="9"/>
            <color indexed="81"/>
            <rFont val="Tahoma"/>
            <family val="2"/>
          </rPr>
          <t>A leave-one-out prediction error score. Lower is better because it means the model predicts unseen rows more accurately.</t>
        </r>
      </text>
    </comment>
    <comment ref="U4" authorId="0" shapeId="0" xr:uid="{B5B57FD3-9DA9-47F7-9B11-A218E8B1D1DA}">
      <text>
        <r>
          <rPr>
            <b/>
            <sz val="9"/>
            <color indexed="81"/>
            <rFont val="Tahoma"/>
            <family val="2"/>
          </rPr>
          <t>The standard error for a new prediction. It reflects both model uncertainty and ordinary row-to-row noise.</t>
        </r>
      </text>
    </comment>
    <comment ref="L5" authorId="0" shapeId="0" xr:uid="{F24D2AAF-E916-4C5F-9775-1DCB58D49C0F}">
      <text>
        <r>
          <rPr>
            <b/>
            <sz val="9"/>
            <color indexed="81"/>
            <rFont val="Tahoma"/>
            <family val="2"/>
          </rPr>
          <t>The share of the outcome's variation explained by the model.</t>
        </r>
      </text>
    </comment>
    <comment ref="O5" authorId="0" shapeId="0" xr:uid="{8FADA72D-5EB4-4C1C-A1F1-B8357B040BC9}">
      <text>
        <r>
          <rPr>
            <b/>
            <sz val="9"/>
            <color indexed="81"/>
            <rFont val="Tahoma"/>
            <family val="2"/>
          </rPr>
          <t>An out-of-sample version of R Square based on leave-one-out prediction. Negative values mean the model predicts worse than just using the average Y.</t>
        </r>
      </text>
    </comment>
    <comment ref="U5" authorId="0" shapeId="0" xr:uid="{9B524FB9-9D50-471A-99F9-FE63AED95F5D}">
      <text>
        <r>
          <rPr>
            <b/>
            <sz val="9"/>
            <color indexed="81"/>
            <rFont val="Tahoma"/>
            <family val="2"/>
          </rPr>
          <t>The t-distribution cutoff at the chosen confidence level. Multiply by SE Prediction to get the prediction interval half-width.</t>
        </r>
      </text>
    </comment>
    <comment ref="L6" authorId="0" shapeId="0" xr:uid="{8892522C-AAB9-4D74-BD52-7172CB970C60}">
      <text>
        <r>
          <rPr>
            <b/>
            <sz val="9"/>
            <color indexed="81"/>
            <rFont val="Tahoma"/>
            <family val="2"/>
          </rPr>
          <t>R Square with a penalty for adding predictors that do not help enough.</t>
        </r>
      </text>
    </comment>
    <comment ref="O6" authorId="0" shapeId="0" xr:uid="{0CA42345-960E-45A6-B0B7-9C5265D55E25}">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2E2CE781-793A-4810-892F-BA6F51CFF09C}">
      <text>
        <r>
          <rPr>
            <b/>
            <sz val="9"/>
            <color indexed="81"/>
            <rFont val="Tahoma"/>
            <family val="2"/>
          </rPr>
          <t>The lower bound of the 95% confidence interval.</t>
        </r>
      </text>
    </comment>
    <comment ref="L7" authorId="0" shapeId="0" xr:uid="{C5074722-2368-4F8C-A11E-9C68F1E70C9F}">
      <text>
        <r>
          <rPr>
            <b/>
            <sz val="9"/>
            <color indexed="81"/>
            <rFont val="Tahoma"/>
            <family val="2"/>
          </rPr>
          <t>The typical size of the model's prediction errors, measured in the same units as Y.</t>
        </r>
      </text>
    </comment>
    <comment ref="O7" authorId="0" shapeId="0" xr:uid="{FA599B32-C753-4CEE-B62F-BA23F068D9A1}">
      <text>
        <r>
          <rPr>
            <b/>
            <sz val="9"/>
            <color indexed="81"/>
            <rFont val="Tahoma"/>
            <family val="2"/>
          </rPr>
          <t>A model-comparison score that balances fit against complexity. Lower is better when comparing models on the same data.</t>
        </r>
      </text>
    </comment>
    <comment ref="U7" authorId="0" shapeId="0" xr:uid="{84C0446A-5B9C-408A-8115-F82F6498D579}">
      <text>
        <r>
          <rPr>
            <b/>
            <sz val="9"/>
            <color indexed="81"/>
            <rFont val="Tahoma"/>
            <family val="2"/>
          </rPr>
          <t>The upper bound of the 95% confidence interval.</t>
        </r>
      </text>
    </comment>
    <comment ref="L8" authorId="0" shapeId="0" xr:uid="{DE041336-CC82-4EDF-AF65-0AB06F52ABE3}">
      <text>
        <r>
          <rPr>
            <b/>
            <sz val="9"/>
            <color indexed="81"/>
            <rFont val="Tahoma"/>
            <family val="2"/>
          </rPr>
          <t>The number of rows actually used in the regression after filtering.</t>
        </r>
      </text>
    </comment>
    <comment ref="O8" authorId="0" shapeId="0" xr:uid="{16318245-6C83-4B23-A453-874E438E63CE}">
      <text>
        <r>
          <rPr>
            <b/>
            <sz val="9"/>
            <color indexed="81"/>
            <rFont val="Tahoma"/>
            <family val="2"/>
          </rPr>
          <t>Another model-comparison score like AIC, but it penalizes extra predictors more strongly.</t>
        </r>
      </text>
    </comment>
    <comment ref="U8" authorId="0" shapeId="0" xr:uid="{2775F4C1-32B1-4294-BC3E-EA6940909250}">
      <text>
        <r>
          <rPr>
            <b/>
            <sz val="9"/>
            <color indexed="81"/>
            <rFont val="Tahoma"/>
            <family val="2"/>
          </rPr>
          <t>The probability level associated with the interval. With alpha 0.05, this is 95%.</t>
        </r>
      </text>
    </comment>
    <comment ref="O9" authorId="0" shapeId="0" xr:uid="{21AB8A6A-E6A8-4163-83FA-DF3002ACC322}">
      <text>
        <r>
          <rPr>
            <b/>
            <sz val="9"/>
            <color indexed="81"/>
            <rFont val="Tahoma"/>
            <family val="2"/>
          </rPr>
          <t>AIC with an extra correction for small samples.</t>
        </r>
      </text>
    </comment>
    <comment ref="O10" authorId="0" shapeId="0" xr:uid="{FCC0C90D-E452-48AA-80E5-E0CF6287969E}">
      <text>
        <r>
          <rPr>
            <b/>
            <sz val="9"/>
            <color indexed="81"/>
            <rFont val="Tahoma"/>
            <family val="2"/>
          </rPr>
          <t>A numeric check of how close the residuals are to a normal bell shape. Values closer to 1 are better.</t>
        </r>
      </text>
    </comment>
    <comment ref="L12" authorId="0" shapeId="0" xr:uid="{4EC23EA6-2750-4EC2-A91D-C067B9855C84}">
      <text>
        <r>
          <rPr>
            <b/>
            <sz val="9"/>
            <color indexed="81"/>
            <rFont val="Tahoma"/>
            <family val="2"/>
          </rPr>
          <t>The cutoff for statistical significance. At 0.05, results with p-values below 0.05 are treated as statistically significant.</t>
        </r>
      </text>
    </comment>
    <comment ref="M14" authorId="0" shapeId="0" xr:uid="{F8596808-28E2-4E19-AD3A-59F3656F211B}">
      <text>
        <r>
          <rPr>
            <b/>
            <sz val="9"/>
            <color indexed="81"/>
            <rFont val="Tahoma"/>
            <family val="2"/>
          </rPr>
          <t>The number of independent data points available to estimate each part of the model — total rows minus one for each estimated parameter.</t>
        </r>
      </text>
    </comment>
    <comment ref="N14" authorId="0" shapeId="0" xr:uid="{77901766-8280-4D00-B795-338296FE3723}">
      <text>
        <r>
          <rPr>
            <b/>
            <sz val="9"/>
            <color indexed="81"/>
            <rFont val="Tahoma"/>
            <family val="2"/>
          </rPr>
          <t>The total variation attributed to that source — regression, residual, or total. The raw material from which MS and F are calculated.</t>
        </r>
      </text>
    </comment>
    <comment ref="O14" authorId="0" shapeId="0" xr:uid="{CB92BF0A-1D31-44B6-895C-5D528F6D6AA6}">
      <text>
        <r>
          <rPr>
            <b/>
            <sz val="9"/>
            <color indexed="81"/>
            <rFont val="Tahoma"/>
            <family val="2"/>
          </rPr>
          <t>Sum of squares averaged over its degrees of freedom — a per-unit measure of variation for that source.</t>
        </r>
      </text>
    </comment>
    <comment ref="P14" authorId="0" shapeId="0" xr:uid="{61CD3CFF-79B0-4545-A90B-EA233681BD66}">
      <text>
        <r>
          <rPr>
            <b/>
            <sz val="9"/>
            <color indexed="81"/>
            <rFont val="Tahoma"/>
            <family val="2"/>
          </rPr>
          <t>The model-vs-noise ratio used in the overall regression significance test.</t>
        </r>
      </text>
    </comment>
    <comment ref="Q14" authorId="0" shapeId="0" xr:uid="{7B61A3E4-A168-4D0D-A832-B4A23DE447D3}">
      <text>
        <r>
          <rPr>
            <b/>
            <sz val="9"/>
            <color indexed="81"/>
            <rFont val="Tahoma"/>
            <family val="2"/>
          </rPr>
          <t>The p-value for the overall F test. Small values mean the model as a whole is unlikely to be pure noise.</t>
        </r>
      </text>
    </comment>
    <comment ref="L15" authorId="0" shapeId="0" xr:uid="{9427CE97-DBAF-4CE8-82B5-0412A4E4E02F}">
      <text>
        <r>
          <rPr>
            <b/>
            <sz val="9"/>
            <color indexed="81"/>
            <rFont val="Tahoma"/>
            <family val="2"/>
          </rPr>
          <t>The variation explained by the predictors taken together.</t>
        </r>
      </text>
    </comment>
    <comment ref="L16" authorId="0" shapeId="0" xr:uid="{8E555ADD-A5D4-49D9-B0C5-7DAA4F95B028}">
      <text>
        <r>
          <rPr>
            <b/>
            <sz val="9"/>
            <color indexed="81"/>
            <rFont val="Tahoma"/>
            <family val="2"/>
          </rPr>
          <t>The variation the model does not explain.</t>
        </r>
      </text>
    </comment>
    <comment ref="L17" authorId="0" shapeId="0" xr:uid="{4C99C2ED-E185-43C1-9E2E-B42A82AE2473}">
      <text>
        <r>
          <rPr>
            <b/>
            <sz val="9"/>
            <color indexed="81"/>
            <rFont val="Tahoma"/>
            <family val="2"/>
          </rPr>
          <t>All variation in the outcome before splitting it into explained and unexplained parts.</t>
        </r>
      </text>
    </comment>
    <comment ref="M20" authorId="0" shapeId="0" xr:uid="{E292C991-51FC-47B1-AF68-707E338BB050}">
      <text>
        <r>
          <rPr>
            <b/>
            <sz val="9"/>
            <color indexed="81"/>
            <rFont val="Tahoma"/>
            <family val="2"/>
          </rPr>
          <t>The fitted weights used to turn predictor values into predictions.</t>
        </r>
      </text>
    </comment>
    <comment ref="N20" authorId="0" shapeId="0" xr:uid="{FADAD85D-C92C-4B45-BB9E-7864B5258E29}">
      <text>
        <r>
          <rPr>
            <b/>
            <sz val="9"/>
            <color indexed="81"/>
            <rFont val="Tahoma"/>
            <family val="2"/>
          </rPr>
          <t>How uncertain each coefficient estimate is.</t>
        </r>
      </text>
    </comment>
    <comment ref="O20" authorId="0" shapeId="0" xr:uid="{96355C7A-55B9-45ED-979C-B021D2A548B8}">
      <text>
        <r>
          <rPr>
            <b/>
            <sz val="9"/>
            <color indexed="81"/>
            <rFont val="Tahoma"/>
            <family val="2"/>
          </rPr>
          <t>How many standard errors the coefficient is away from zero.</t>
        </r>
      </text>
    </comment>
    <comment ref="P20" authorId="0" shapeId="0" xr:uid="{7C09A387-6128-4887-B939-87BBB8A6311A}">
      <text>
        <r>
          <rPr>
            <b/>
            <sz val="9"/>
            <color indexed="81"/>
            <rFont val="Tahoma"/>
            <family val="2"/>
          </rPr>
          <t>How surprising this coefficient would be if its true effect were zero. Smaller values mean stronger evidence of a real effect.</t>
        </r>
      </text>
    </comment>
    <comment ref="Q20" authorId="0" shapeId="0" xr:uid="{AC8C3701-B45C-4163-9930-ABBC02CF1FE2}">
      <text>
        <r>
          <rPr>
            <b/>
            <sz val="9"/>
            <color indexed="81"/>
            <rFont val="Tahoma"/>
            <family val="2"/>
          </rPr>
          <t>The lower bound of the 95% confidence interval.</t>
        </r>
      </text>
    </comment>
    <comment ref="R20" authorId="0" shapeId="0" xr:uid="{AED1F3A2-1503-4288-AF7B-170F86E95C24}">
      <text>
        <r>
          <rPr>
            <b/>
            <sz val="9"/>
            <color indexed="81"/>
            <rFont val="Tahoma"/>
            <family val="2"/>
          </rPr>
          <t>The upper bound of the 95% confidence interval.</t>
        </r>
      </text>
    </comment>
    <comment ref="S20" authorId="0" shapeId="0" xr:uid="{5CBE6B65-CD84-486C-9539-307B859C0964}">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<sst xmlns="http://schemas.openxmlformats.org/spreadsheetml/2006/main" count="6640" uniqueCount="848">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</sst>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55">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0" fontId="0" fillId="2" borderId="0" xfId="0" applyFill="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2" fontId="0" fillId="0" borderId="1" xfId="0" applyNumberFormat="1" applyBorder="1"/>
    <xf numFmtId="164" fontId="0" fillId="0" borderId="1" xfId="0" applyNumberFormat="1" applyBorder="1"/>
    <xf numFmtId="0" fontId="0" fillId="0" borderId="7" xfId="0" applyBorder="1"/>
    <xf numFmtId="0" fontId="1" fillId="5"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0" xfId="0" applyNumberFormat="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0" fontId="1" fillId="2" borderId="0" xfId="0" applyFont="1" applyFill="1"/>
    <xf numFmtId="0" fontId="1" fillId="2" borderId="2" xfId="0" applyFont="1" applyFill="1" applyBorder="1"/>
    <xf numFmtId="0" fontId="0" fillId="0" borderId="3" xfId="0" applyBorder="1"/>
    <xf numFmtId="0" fontId="0" fillId="0" borderId="6" xfId="0" applyBorder="1"/>
  </cellXfs>
  <cellStyles count="1">
    <cellStyle name="Normal" xfId="0" builtinId="0"/>
  </cellStyles>
  <dxfs count="33">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587899215"/>
        <c:axId val="1587900175"/>
      </c:barChart>
      <c:catAx>
        <c:axId val="1587899215"/>
        <c:scaling>
          <c:orientation val="minMax"/>
        </c:scaling>
        <c:delete val="0"/>
        <c:axPos val="b"/>
        <c:majorTickMark val="out"/>
        <c:minorTickMark val="none"/>
        <c:tickLblPos val="nextTo"/>
        <c:crossAx val="1587900175"/>
        <c:crosses val="autoZero"/>
        <c:auto val="1"/>
        <c:lblAlgn val="ctr"/>
        <c:lblOffset val="100"/>
        <c:noMultiLvlLbl val="0"/>
      </c:catAx>
      <c:valAx>
        <c:axId val="1587900175"/>
        <c:scaling>
          <c:orientation val="minMax"/>
        </c:scaling>
        <c:delete val="0"/>
        <c:axPos val="l"/>
        <c:majorGridlines/>
        <c:majorTickMark val="out"/>
        <c:minorTickMark val="none"/>
        <c:tickLblPos val="nextTo"/>
        <c:crossAx val="1587899215"/>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C485-40B9-9CB5-F136CCF3BED5}"/>
            </c:ext>
          </c:extLst>
        </c:ser>
        <c:dLbls>
          <c:showLegendKey val="0"/>
          <c:showVal val="0"/>
          <c:showCatName val="0"/>
          <c:showSerName val="0"/>
          <c:showPercent val="0"/>
          <c:showBubbleSize val="0"/>
        </c:dLbls>
        <c:axId val="1588020719"/>
        <c:axId val="1588011599"/>
      </c:scatterChart>
      <c:valAx>
        <c:axId val="158802071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588011599"/>
        <c:crosses val="autoZero"/>
        <c:crossBetween val="midCat"/>
      </c:valAx>
      <c:valAx>
        <c:axId val="158801159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5880207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B4C2-4330-B9C2-8C85C2568689}"/>
            </c:ext>
          </c:extLst>
        </c:ser>
        <c:dLbls>
          <c:showLegendKey val="0"/>
          <c:showVal val="0"/>
          <c:showCatName val="0"/>
          <c:showSerName val="0"/>
          <c:showPercent val="0"/>
          <c:showBubbleSize val="0"/>
        </c:dLbls>
        <c:axId val="1588010159"/>
        <c:axId val="1588025519"/>
      </c:scatterChart>
      <c:valAx>
        <c:axId val="1588010159"/>
        <c:scaling>
          <c:orientation val="minMax"/>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588025519"/>
        <c:crosses val="autoZero"/>
        <c:crossBetween val="midCat"/>
      </c:valAx>
      <c:valAx>
        <c:axId val="158802551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5880101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1B0C-40C3-9DC4-F67A491A8D70}"/>
            </c:ext>
          </c:extLst>
        </c:ser>
        <c:dLbls>
          <c:showLegendKey val="0"/>
          <c:showVal val="0"/>
          <c:showCatName val="0"/>
          <c:showSerName val="0"/>
          <c:showPercent val="0"/>
          <c:showBubbleSize val="0"/>
        </c:dLbls>
        <c:axId val="1588022639"/>
        <c:axId val="1588018319"/>
      </c:scatterChart>
      <c:valAx>
        <c:axId val="1588022639"/>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588018319"/>
        <c:crosses val="autoZero"/>
        <c:crossBetween val="midCat"/>
      </c:valAx>
      <c:valAx>
        <c:axId val="1588018319"/>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5880226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A406-4B9D-B618-91333B3AC159}"/>
            </c:ext>
          </c:extLst>
        </c:ser>
        <c:dLbls>
          <c:showLegendKey val="0"/>
          <c:showVal val="0"/>
          <c:showCatName val="0"/>
          <c:showSerName val="0"/>
          <c:showPercent val="0"/>
          <c:showBubbleSize val="0"/>
        </c:dLbls>
        <c:axId val="1588009679"/>
        <c:axId val="1588031759"/>
      </c:scatterChart>
      <c:valAx>
        <c:axId val="158800967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588031759"/>
        <c:crosses val="autoZero"/>
        <c:crossBetween val="midCat"/>
      </c:valAx>
      <c:valAx>
        <c:axId val="158803175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5880096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C50A-4A74-A53C-6AB4541E5166}"/>
            </c:ext>
          </c:extLst>
        </c:ser>
        <c:dLbls>
          <c:showLegendKey val="0"/>
          <c:showVal val="0"/>
          <c:showCatName val="0"/>
          <c:showSerName val="0"/>
          <c:showPercent val="0"/>
          <c:showBubbleSize val="0"/>
        </c:dLbls>
        <c:gapWidth val="150"/>
        <c:axId val="1588009199"/>
        <c:axId val="1588006319"/>
      </c:barChart>
      <c:catAx>
        <c:axId val="158800919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588006319"/>
        <c:crosses val="autoZero"/>
        <c:auto val="1"/>
        <c:lblAlgn val="ctr"/>
        <c:lblOffset val="100"/>
        <c:noMultiLvlLbl val="0"/>
      </c:catAx>
      <c:valAx>
        <c:axId val="1588006319"/>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5880091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4518-4942-B6A9-8D5998F8CB6D}"/>
            </c:ext>
          </c:extLst>
        </c:ser>
        <c:dLbls>
          <c:showLegendKey val="0"/>
          <c:showVal val="0"/>
          <c:showCatName val="0"/>
          <c:showSerName val="0"/>
          <c:showPercent val="0"/>
          <c:showBubbleSize val="0"/>
        </c:dLbls>
        <c:axId val="1588026479"/>
        <c:axId val="1588030799"/>
      </c:scatterChart>
      <c:valAx>
        <c:axId val="158802647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588030799"/>
        <c:crosses val="autoZero"/>
        <c:crossBetween val="midCat"/>
      </c:valAx>
      <c:valAx>
        <c:axId val="158803079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5880264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A157-4FBB-B9DA-3B2A023A46BB}"/>
            </c:ext>
          </c:extLst>
        </c:ser>
        <c:dLbls>
          <c:showLegendKey val="0"/>
          <c:showVal val="0"/>
          <c:showCatName val="0"/>
          <c:showSerName val="0"/>
          <c:showPercent val="0"/>
          <c:showBubbleSize val="0"/>
        </c:dLbls>
        <c:gapWidth val="150"/>
        <c:axId val="1588035119"/>
        <c:axId val="1588023599"/>
      </c:barChart>
      <c:catAx>
        <c:axId val="158803511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588023599"/>
        <c:crosses val="autoZero"/>
        <c:auto val="1"/>
        <c:lblAlgn val="ctr"/>
        <c:lblOffset val="100"/>
        <c:noMultiLvlLbl val="0"/>
      </c:catAx>
      <c:valAx>
        <c:axId val="158802359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58803511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73211A54-9DED-B3D2-596D-A1630017AE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FA56CAAA-73EB-B12D-C078-FA985516DC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DF3FA40F-10A5-53AA-1092-238B438092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E6820D6A-4412-A01B-AF12-1FEEADEADB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8BA13670-218E-284A-EE5D-A43B2833E2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80DE612D-1C84-1E19-FDA2-D4419A5099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5036B88C-5EB7-51D8-9067-50AB29729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98D30728-2A0F-66B7-E871-FA91CC2F54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0.13551</cdr:x>
      <cdr:y>0.11998</cdr:y>
    </cdr:from>
    <cdr:to>
      <cdr:x>0.95634</cdr:x>
      <cdr:y>0.85106</cdr:y>
    </cdr:to>
    <cdr:cxnSp macro="">
      <cdr:nvCxnSpPr>
        <cdr:cNvPr id="2" name="Straight Connector 1">
          <a:extLst xmlns:a="http://schemas.openxmlformats.org/drawingml/2006/main">
            <a:ext uri="{FF2B5EF4-FFF2-40B4-BE49-F238E27FC236}">
              <a16:creationId xmlns:a16="http://schemas.microsoft.com/office/drawing/2014/main" id="{DFC46FD6-334B-AE0E-E645-AE159546ED5D}"/>
            </a:ext>
          </a:extLst>
        </cdr:cNvPr>
        <cdr:cNvCxnSpPr/>
      </cdr:nvCxnSpPr>
      <cdr:spPr>
        <a:xfrm xmlns:a="http://schemas.openxmlformats.org/drawingml/2006/main" flipV="1">
          <a:off x="533496" y="472345"/>
          <a:ext cx="3231610"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c:userShapes xmlns:c="http://schemas.openxmlformats.org/drawingml/2006/chart">
  <cdr:relSizeAnchor xmlns:cdr="http://schemas.openxmlformats.org/drawingml/2006/chartDrawing">
    <cdr:from>
      <cdr:x>0.13551</cdr:x>
      <cdr:y>0.11998</cdr:y>
    </cdr:from>
    <cdr:to>
      <cdr:x>0.95634</cdr:x>
      <cdr:y>0.85106</cdr:y>
    </cdr:to>
    <cdr:cxnSp macro="">
      <cdr:nvCxnSpPr>
        <cdr:cNvPr id="2" name="Straight Connector 1">
          <a:extLst xmlns:a="http://schemas.openxmlformats.org/drawingml/2006/main">
            <a:ext uri="{FF2B5EF4-FFF2-40B4-BE49-F238E27FC236}">
              <a16:creationId xmlns:a16="http://schemas.microsoft.com/office/drawing/2014/main" id="{45B13D7D-25DC-6E54-6EF9-06DE190BC3EF}"/>
            </a:ext>
          </a:extLst>
        </cdr:cNvPr>
        <cdr:cNvCxnSpPr/>
      </cdr:nvCxnSpPr>
      <cdr:spPr>
        <a:xfrm xmlns:a="http://schemas.openxmlformats.org/drawingml/2006/main" flipV="1">
          <a:off x="533496" y="472345"/>
          <a:ext cx="3231610"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2D644E-B945-4648-8CA1-D01CE436A30A}" name="LAMBDAFunctionsCatalog" displayName="LAMBDAFunctionsCatalog" ref="A1:F79" totalsRowShown="0" headerRowDxfId="32" dataDxfId="31">
  <autoFilter ref="A1:F79" xr:uid="{9D2D644E-B945-4648-8CA1-D01CE436A30A}"/>
  <tableColumns count="6">
    <tableColumn id="1" xr3:uid="{C0FFE603-B967-47B2-9D15-4DFAA9A9918B}" name="Function Name" dataDxfId="30"/>
    <tableColumn id="2" xr3:uid="{967B494C-ECCD-471B-A0FF-9E32BB239AB4}" name="Definition" dataDxfId="29"/>
    <tableColumn id="3" xr3:uid="{12809967-C9A6-404E-B97F-99ABEF579493}" name="Arguments" dataDxfId="28"/>
    <tableColumn id="4" xr3:uid="{9072929F-5A23-405A-98BB-D93E6A491D05}" name="Yields" dataDxfId="27"/>
    <tableColumn id="5" xr3:uid="{6658CC84-2CF8-47A9-BEB7-4A0EA7752593}" name="Plain-Language Summary" dataDxfId="26"/>
    <tableColumn id="6" xr3:uid="{BCB0A88D-7DA5-4617-A07D-EC67E02CECFC}" name="Descripti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6FC52F-6B46-4C56-89BA-D7888A330600}" name="LifeExpectancyData" displayName="LifeExpectancyData" ref="A1:W2939" totalsRowShown="0">
  <autoFilter ref="A1:W2939" xr:uid="{996FC52F-6B46-4C56-89BA-D7888A330600}"/>
  <tableColumns count="23">
    <tableColumn id="1" xr3:uid="{D98527A1-1ADC-4669-B66D-BAC9600164BE}" name="Country"/>
    <tableColumn id="2" xr3:uid="{532C4A9D-94D5-4586-ABD0-7FAAB49FADCC}" name="Year"/>
    <tableColumn id="3" xr3:uid="{2C511A02-39C5-4499-BE46-A782E6087CA8}" name="Status"/>
    <tableColumn id="4" xr3:uid="{92DE223D-DD8A-4EB8-904C-211639360C22}" name="Life expectancy"/>
    <tableColumn id="5" xr3:uid="{34D1F18F-C529-473C-ABFF-03E281AF38E6}" name="Adult Mortality"/>
    <tableColumn id="6" xr3:uid="{F81B2BF0-D0F7-4854-AE1C-0E973E286140}" name="infant deaths"/>
    <tableColumn id="7" xr3:uid="{5E2ED98D-BC24-41B6-8A6F-B292F341DA2B}" name="Alcohol"/>
    <tableColumn id="8" xr3:uid="{4D684759-5D66-426B-8136-1E3D41E291EC}" name="percentage expenditure"/>
    <tableColumn id="9" xr3:uid="{C4B9FABA-89B2-494B-B5E3-EE57A08A1C7F}" name="Hepatitis B"/>
    <tableColumn id="10" xr3:uid="{CA420F14-20A3-4620-A293-A8294640A99C}" name="Measles"/>
    <tableColumn id="11" xr3:uid="{4BAD2F37-E82F-49CA-8052-E067809D4AB3}" name="BMI"/>
    <tableColumn id="12" xr3:uid="{DD32757B-7966-46FC-A349-80E6B2E40B78}" name="under-five deaths"/>
    <tableColumn id="13" xr3:uid="{B79B3DE9-D8AA-4FA0-9E84-9001494D9BB3}" name="Polio"/>
    <tableColumn id="14" xr3:uid="{337C6D6A-A85F-48E2-8B16-D58DCB14EFD0}" name="Total expenditure"/>
    <tableColumn id="15" xr3:uid="{44B96B5C-547D-4BFA-A0A9-11D89DF38F51}" name="Diphtheria"/>
    <tableColumn id="16" xr3:uid="{F21DC464-9B6B-40F9-A75F-AD4AC248BEB3}" name="HIV/AIDS"/>
    <tableColumn id="17" xr3:uid="{951097C0-BE6D-4292-9374-512E3CF08A1F}" name="GDP"/>
    <tableColumn id="18" xr3:uid="{980DAEB3-BBF5-4E5E-ABD1-6D1E4127F5E6}" name="Population"/>
    <tableColumn id="19" xr3:uid="{787FFEB2-47AD-4099-B6C9-4E9423F47C7F}" name="thinness 1-19 years"/>
    <tableColumn id="20" xr3:uid="{71563A42-F373-4AE5-97F5-7C47468C56F0}" name="thinness 5-9 years"/>
    <tableColumn id="21" xr3:uid="{A44B1D14-5C8E-4BF3-BA3E-ABCC35FDB586}" name="Income composition of resources"/>
    <tableColumn id="22" xr3:uid="{660A357C-07B3-455D-85B9-3AD6A304E1D0}" name="Schooling"/>
    <tableColumn id="23" xr3:uid="{FC0804D0-A5EA-4F51-81DB-F4B36F2D98F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4CEA3-36C6-46C7-BF0F-552C5881D34B}">
  <dimension ref="A1:F79"/>
  <sheetViews>
    <sheetView workbookViewId="0">
      <pane ySplit="1" topLeftCell="A66" activePane="bottomLeft" state="frozenSplit"/>
      <selection pane="bottomLeft" activeCell="B67" sqref="B67"/>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F7480-2209-47AC-8CC0-0A0ED0D3709E}">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83DD5-1108-4416-A4C2-9B0925DD88C2}">
  <dimension ref="A1:BS2941"/>
  <sheetViews>
    <sheetView tabSelected="1" workbookViewId="0">
      <pane xSplit="2" ySplit="3" topLeftCell="C4" activePane="bottomRight" state="frozen"/>
      <selection pane="topRight" activeCell="C1" sqref="C1"/>
      <selection pane="bottomLeft" activeCell="A4" sqref="A4"/>
      <selection pane="bottomRight" activeCell="D17" sqref="D17"/>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71" ht="20.100000000000001" customHeight="1" x14ac:dyDescent="0.3">
      <c r="A1" s="4" t="s">
        <v>649</v>
      </c>
      <c r="G1" s="51" t="s">
        <v>664</v>
      </c>
      <c r="H1" s="51"/>
      <c r="I1" s="51"/>
      <c r="J1" s="51"/>
      <c r="K1" s="51"/>
      <c r="L1" s="51"/>
      <c r="M1" s="51"/>
      <c r="N1" s="51"/>
    </row>
    <row r="2" spans="1:71" ht="18" customHeight="1" x14ac:dyDescent="0.25">
      <c r="G2" s="5" t="s">
        <v>665</v>
      </c>
      <c r="H2" s="5" t="s">
        <v>666</v>
      </c>
      <c r="J2" s="5" t="s">
        <v>665</v>
      </c>
      <c r="K2" s="5" t="s">
        <v>669</v>
      </c>
      <c r="M2" s="5" t="s">
        <v>665</v>
      </c>
      <c r="N2" s="5" t="s">
        <v>670</v>
      </c>
      <c r="Q2" s="51" t="s">
        <v>671</v>
      </c>
      <c r="R2" s="51"/>
      <c r="S2" s="51"/>
      <c r="T2" s="51"/>
      <c r="U2" s="51"/>
      <c r="V2" s="51"/>
      <c r="W2" s="51"/>
      <c r="X2" s="51"/>
      <c r="Y2" s="51"/>
      <c r="Z2" s="51"/>
      <c r="AA2" s="51"/>
    </row>
    <row r="3" spans="1:71" ht="18" customHeight="1" x14ac:dyDescent="0.25">
      <c r="A3" s="5" t="s">
        <v>650</v>
      </c>
      <c r="B3" s="5" t="s">
        <v>651</v>
      </c>
      <c r="D3" s="12" t="s">
        <v>652</v>
      </c>
      <c r="E3" s="16"/>
      <c r="G3" t="s">
        <v>668</v>
      </c>
      <c r="H3" s="9" t="e" cm="1">
        <f t="array" aca="1" ref="H3" ca="1">num_histogram_bins(UV_Data,H2,UV_Include)</f>
        <v>#NAME?</v>
      </c>
      <c r="J3" t="s">
        <v>668</v>
      </c>
      <c r="K3" s="9" t="e" cm="1">
        <f t="array" aca="1" ref="K3" ca="1">num_histogram_bins(UV_Data,K2,UV_Include)</f>
        <v>#NAME?</v>
      </c>
      <c r="M3" t="s">
        <v>668</v>
      </c>
      <c r="N3" s="9" t="e" cm="1">
        <f t="array" aca="1" ref="N3" ca="1">num_histogram_bins(UV_Data,N2,UV_Include)</f>
        <v>#NAME?</v>
      </c>
      <c r="AC3" s="52" t="s">
        <v>689</v>
      </c>
      <c r="AD3" s="53"/>
      <c r="AE3" s="53"/>
      <c r="AF3" s="53"/>
      <c r="AG3" s="53"/>
      <c r="AH3" s="53"/>
      <c r="AI3" s="53"/>
      <c r="AJ3" s="53"/>
      <c r="AK3" s="53"/>
      <c r="AL3" s="53"/>
      <c r="AM3" s="53"/>
      <c r="AN3" s="53"/>
      <c r="AO3" s="53"/>
      <c r="AP3" s="53"/>
      <c r="AQ3" s="53"/>
      <c r="AR3" s="53"/>
      <c r="AS3" s="53"/>
      <c r="AT3" s="53"/>
      <c r="AU3" s="53"/>
      <c r="AV3" s="53"/>
      <c r="AW3" s="54"/>
      <c r="AY3" s="52" t="s">
        <v>695</v>
      </c>
      <c r="AZ3" s="53"/>
      <c r="BA3" s="53"/>
      <c r="BB3" s="53"/>
      <c r="BC3" s="53"/>
      <c r="BD3" s="53"/>
      <c r="BE3" s="53"/>
      <c r="BF3" s="53"/>
      <c r="BG3" s="53"/>
      <c r="BH3" s="53"/>
      <c r="BI3" s="53"/>
      <c r="BJ3" s="53"/>
      <c r="BK3" s="53"/>
      <c r="BL3" s="53"/>
      <c r="BM3" s="53"/>
      <c r="BN3" s="53"/>
      <c r="BO3" s="53"/>
      <c r="BP3" s="53"/>
      <c r="BQ3" s="53"/>
      <c r="BR3" s="53"/>
      <c r="BS3" s="54"/>
    </row>
    <row r="4" spans="1:71" ht="18" customHeight="1" x14ac:dyDescent="0.25">
      <c r="A4" cm="1">
        <f t="array" ref="A4:A2941">IF(LifeExpectancyData[Life expectancy]="","",LifeExpectancyData[Life expectancy])</f>
        <v>65</v>
      </c>
      <c r="B4" t="b" cm="1">
        <f t="array" ref="B4:B2941">_xlfn.MAP(LifeExpectancyData[Life expectancy],Data_Completeness)</f>
        <v>1</v>
      </c>
      <c r="D4" s="10" t="s">
        <v>654</v>
      </c>
      <c r="E4" s="17">
        <f>AVERAGE(_xlfn._xlws.FILTER(UV_Data,UV_Include))</f>
        <v>69.22493169398912</v>
      </c>
      <c r="G4" s="7" t="s">
        <v>667</v>
      </c>
      <c r="H4" s="7" t="s">
        <v>662</v>
      </c>
      <c r="J4" s="7" t="s">
        <v>667</v>
      </c>
      <c r="K4" s="7" t="s">
        <v>662</v>
      </c>
      <c r="M4" s="7" t="s">
        <v>667</v>
      </c>
      <c r="N4" s="7" t="s">
        <v>662</v>
      </c>
      <c r="Q4" s="23" t="s">
        <v>672</v>
      </c>
      <c r="R4" s="24" t="s">
        <v>673</v>
      </c>
      <c r="S4" s="24" t="s">
        <v>653</v>
      </c>
      <c r="T4" s="24" t="s">
        <v>674</v>
      </c>
      <c r="U4" s="24" t="s">
        <v>653</v>
      </c>
      <c r="V4" s="24" t="s">
        <v>675</v>
      </c>
      <c r="W4" s="24" t="s">
        <v>653</v>
      </c>
      <c r="X4" s="24" t="s">
        <v>676</v>
      </c>
      <c r="Y4" s="24" t="s">
        <v>677</v>
      </c>
      <c r="Z4" s="24" t="s">
        <v>80</v>
      </c>
      <c r="AA4" s="28" t="s">
        <v>85</v>
      </c>
      <c r="AC4" s="11" t="s">
        <v>690</v>
      </c>
      <c r="AD4" s="32">
        <v>0.5</v>
      </c>
      <c r="AE4" s="32">
        <v>10</v>
      </c>
      <c r="AW4" s="35"/>
      <c r="AY4" s="11" t="s">
        <v>690</v>
      </c>
      <c r="AZ4" s="8">
        <f>MAX(0.001,$AD$7-($AE$4-$AD$4)/(20-1))</f>
        <v>1E-3</v>
      </c>
      <c r="BA4" s="8">
        <f>$AD$7+($AE$4-$AD$4)/(20-1)</f>
        <v>1</v>
      </c>
      <c r="BS4" s="35"/>
    </row>
    <row r="5" spans="1:71" x14ac:dyDescent="0.25">
      <c r="A5">
        <v>59.9</v>
      </c>
      <c r="B5" t="b">
        <v>1</v>
      </c>
      <c r="D5" s="11" t="s">
        <v>655</v>
      </c>
      <c r="E5" s="18">
        <f>MEDIAN(_xlfn._xlws.FILTER(UV_Data,UV_Include))</f>
        <v>72.099999999999994</v>
      </c>
      <c r="G5" s="22" t="e" cm="1">
        <f t="array" aca="1" ref="G5" ca="1">Bin_Edges(UV_Data,H2,UV_Include)</f>
        <v>#NAME?</v>
      </c>
      <c r="H5" s="9" cm="1">
        <f t="array" aca="1" ref="H5" ca="1">Bin_Counts(UV_Data,_xlfn.ANCHORARRAY(G5),UV_Include)</f>
        <v>0</v>
      </c>
      <c r="J5" s="22" t="e" cm="1">
        <f t="array" aca="1" ref="J5" ca="1">Bin_Edges(UV_Data,K2,UV_Include)</f>
        <v>#NAME?</v>
      </c>
      <c r="K5" s="9" cm="1">
        <f t="array" aca="1" ref="K5" ca="1">Bin_Counts(UV_Data,_xlfn.ANCHORARRAY(J5),UV_Include)</f>
        <v>0</v>
      </c>
      <c r="M5" s="22" t="e" cm="1">
        <f t="array" aca="1" ref="M5" ca="1">Bin_Edges(UV_Data,N2,UV_Include)</f>
        <v>#NAME?</v>
      </c>
      <c r="N5" s="9" cm="1">
        <f t="array" aca="1" ref="N5" ca="1">Bin_Counts(UV_Data,_xlfn.ANCHORARRAY(M5),UV_Include)</f>
        <v>0</v>
      </c>
      <c r="Q5" s="11" t="s">
        <v>678</v>
      </c>
      <c r="R5" t="s">
        <v>654</v>
      </c>
      <c r="S5" s="8">
        <f>AVERAGE(_xlfn._xlws.FILTER(UV_Data,UV_Include))</f>
        <v>69.22493169398912</v>
      </c>
      <c r="T5" t="s">
        <v>657</v>
      </c>
      <c r="U5" s="8">
        <f>_xlfn.STDEV.S(_xlfn._xlws.FILTER(UV_Data,UV_Include))</f>
        <v>9.5238674878241394</v>
      </c>
      <c r="W5" s="8"/>
      <c r="X5" s="22" cm="1">
        <f t="array" aca="1" ref="X5" ca="1">NLL_Normal(UV_Data,$S$5,$U$5,UV_Include)</f>
        <v>1000000000000000</v>
      </c>
      <c r="Y5" s="9">
        <v>2</v>
      </c>
      <c r="Z5" s="22" cm="1">
        <f t="array" aca="1" ref="Z5" ca="1">GoF_AIC($X$5,$Y$5)</f>
        <v>2000000000000004</v>
      </c>
      <c r="AA5" s="29" cm="1">
        <f t="array" aca="1" ref="AA5" ca="1">GoF_BIC($X$5,$Y$5,UV_n)</f>
        <v>2000000000000016</v>
      </c>
      <c r="AC5" s="11" t="s">
        <v>691</v>
      </c>
      <c r="AD5" s="32">
        <v>0.1</v>
      </c>
      <c r="AE5" s="32">
        <f>IFERROR(2*AVERAGE(_xlfn._xlws.FILTER(UV_Data,UV_Include)),10)</f>
        <v>138.44986338797824</v>
      </c>
      <c r="AW5" s="35"/>
      <c r="AY5" s="11" t="s">
        <v>691</v>
      </c>
      <c r="AZ5" s="8">
        <f>MAX(0.001,$AF$7-($AE$5-$AD$5)/(20-1))</f>
        <v>1E-3</v>
      </c>
      <c r="BA5" s="8">
        <f>$AF$7+($AE$5-$AD$5)/(20-1)</f>
        <v>7.3815717572620123</v>
      </c>
      <c r="BS5" s="35"/>
    </row>
    <row r="6" spans="1:71" x14ac:dyDescent="0.25">
      <c r="A6">
        <v>59.9</v>
      </c>
      <c r="B6" t="b">
        <v>1</v>
      </c>
      <c r="D6" s="11" t="s">
        <v>656</v>
      </c>
      <c r="E6" s="18">
        <f>IFERROR(_xlfn.MODE.SNGL(_xlfn._xlws.FILTER(UV_Data,UV_Include)),"N/A")</f>
        <v>73</v>
      </c>
      <c r="Q6" s="11" t="s">
        <v>679</v>
      </c>
      <c r="R6" t="s">
        <v>680</v>
      </c>
      <c r="S6" s="8" cm="1">
        <f t="array" ref="S6">AVERAGE(LN(_xlfn._xlws.FILTER(UV_Data,(UV_Include)*(ISNUMBER(UV_Data)))))</f>
        <v>4.2270447585350537</v>
      </c>
      <c r="T6" t="s">
        <v>681</v>
      </c>
      <c r="U6" s="8" cm="1">
        <f t="array" ref="U6">_xlfn.STDEV.S(LN(_xlfn._xlws.FILTER(UV_Data,(UV_Include)*(ISNUMBER(UV_Data)))))</f>
        <v>0.14706091907970009</v>
      </c>
      <c r="W6" s="8"/>
      <c r="X6" s="22" cm="1">
        <f t="array" aca="1" ref="X6" ca="1">NLL_Lognormal(UV_Data,$S$6,$U$6,UV_Include)</f>
        <v>1000000000000000</v>
      </c>
      <c r="Y6" s="9">
        <v>2</v>
      </c>
      <c r="Z6" s="22" cm="1">
        <f t="array" aca="1" ref="Z6" ca="1">GoF_AIC($X$6,$Y$6)</f>
        <v>2000000000000004</v>
      </c>
      <c r="AA6" s="29" cm="1">
        <f t="array" aca="1" ref="AA6" ca="1">GoF_BIC($X$6,$Y$6,UV_n)</f>
        <v>2000000000000016</v>
      </c>
      <c r="AC6" s="11" t="s">
        <v>692</v>
      </c>
      <c r="AD6" s="22" t="str">
        <f>IF(COUNT(UV_WB_S1)=0,"—",MIN(UV_WB_S1))</f>
        <v>—</v>
      </c>
      <c r="AW6" s="35"/>
      <c r="AY6" s="11" t="s">
        <v>692</v>
      </c>
      <c r="AZ6" s="22" t="str">
        <f>IF(COUNT(UV_WB_S2)=0,"—",MIN(UV_WB_S2))</f>
        <v>—</v>
      </c>
      <c r="BS6" s="35"/>
    </row>
    <row r="7" spans="1:71" x14ac:dyDescent="0.25">
      <c r="A7">
        <v>59.5</v>
      </c>
      <c r="B7" t="b">
        <v>1</v>
      </c>
      <c r="D7" s="11" t="s">
        <v>657</v>
      </c>
      <c r="E7" s="18">
        <f>_xlfn.STDEV.S(_xlfn._xlws.FILTER(UV_Data,UV_Include))</f>
        <v>9.5238674878241394</v>
      </c>
      <c r="Q7" s="11" t="s">
        <v>682</v>
      </c>
      <c r="R7" t="s">
        <v>683</v>
      </c>
      <c r="S7" s="8">
        <f>1/AVERAGE(_xlfn._xlws.FILTER(UV_Data,UV_Include))</f>
        <v>1.4445662502355797E-2</v>
      </c>
      <c r="U7" s="8"/>
      <c r="W7" s="8"/>
      <c r="X7" s="22" cm="1">
        <f t="array" aca="1" ref="X7" ca="1">NLL_Exponential(UV_Data,$S$7,UV_Include)</f>
        <v>1000000000000000</v>
      </c>
      <c r="Y7" s="9">
        <v>1</v>
      </c>
      <c r="Z7" s="22" cm="1">
        <f t="array" aca="1" ref="Z7" ca="1">GoF_AIC($X$7,$Y$7)</f>
        <v>2000000000000002</v>
      </c>
      <c r="AA7" s="29" cm="1">
        <f t="array" aca="1" ref="AA7" ca="1">GoF_BIC($X$7,$Y$7,UV_n)</f>
        <v>2000000000000008</v>
      </c>
      <c r="AC7" s="11" t="s">
        <v>693</v>
      </c>
      <c r="AD7" s="8" cm="1">
        <f t="array" ref="AD7">IFERROR(INDEX(_xlfn.ANCHORARRAY($AD$9),1,$AD$8),"—")</f>
        <v>0.5</v>
      </c>
      <c r="AE7" t="s">
        <v>694</v>
      </c>
      <c r="AF7" s="8" cm="1">
        <f t="array" ref="AF7">IFERROR(INDEX(_xlfn.ANCHORARRAY($AC$10),$AC$8),"—")</f>
        <v>0.1</v>
      </c>
      <c r="AW7" s="35"/>
      <c r="AY7" s="11" t="s">
        <v>693</v>
      </c>
      <c r="AZ7" s="8" cm="1">
        <f t="array" ref="AZ7">IFERROR(INDEX(_xlfn.ANCHORARRAY($AZ$9),1,$AZ$8),"—")</f>
        <v>1E-3</v>
      </c>
      <c r="BA7" t="s">
        <v>694</v>
      </c>
      <c r="BB7" s="8" cm="1">
        <f t="array" ref="BB7">IFERROR(INDEX(_xlfn.ANCHORARRAY($AY$10),$AY$8),"—")</f>
        <v>1E-3</v>
      </c>
      <c r="BS7" s="35"/>
    </row>
    <row r="8" spans="1:71" x14ac:dyDescent="0.25">
      <c r="A8">
        <v>59.2</v>
      </c>
      <c r="B8" t="b">
        <v>1</v>
      </c>
      <c r="D8" s="11" t="s">
        <v>658</v>
      </c>
      <c r="E8" s="18">
        <f>_xlfn.VAR.S(_xlfn._xlws.FILTER(UV_Data,UV_Include))</f>
        <v>90.704051925633692</v>
      </c>
      <c r="Q8" s="11" t="s">
        <v>684</v>
      </c>
      <c r="R8" t="s">
        <v>659</v>
      </c>
      <c r="S8" s="8">
        <f>_xlfn.LET(_xlpm.d,_xlfn._xlws.FILTER(UV_Data,UV_Include),MIN(_xlpm.d)-(MAX(_xlpm.d)-MIN(_xlpm.d))*0.001)</f>
        <v>36.247299999999996</v>
      </c>
      <c r="T8" t="s">
        <v>656</v>
      </c>
      <c r="U8" s="8">
        <f>IFERROR(_xlfn.MODE.SNGL(_xlfn._xlws.FILTER(UV_Data,UV_Include)),MEDIAN(_xlfn._xlws.FILTER(UV_Data,UV_Include)))</f>
        <v>73</v>
      </c>
      <c r="V8" t="s">
        <v>660</v>
      </c>
      <c r="W8" s="8">
        <f>_xlfn.LET(_xlpm.d,_xlfn._xlws.FILTER(UV_Data,UV_Include),MAX(_xlpm.d)+(MAX(_xlpm.d)-MIN(_xlpm.d))*0.001)</f>
        <v>89.052700000000002</v>
      </c>
      <c r="X8" s="22" cm="1">
        <f t="array" ref="X8">NLL_Triangular(UV_Data,$S$8,$U$8,$W$8,UV_Include)</f>
        <v>10740.37156749701</v>
      </c>
      <c r="Y8" s="9">
        <v>3</v>
      </c>
      <c r="Z8" s="22" cm="1">
        <f t="array" ref="Z8">GoF_AIC($X$8,$Y$8)</f>
        <v>21486.74313499402</v>
      </c>
      <c r="AA8" s="29" cm="1">
        <f t="array" ref="AA8">GoF_BIC($X$8,$Y$8,UV_n)</f>
        <v>21504.689359619264</v>
      </c>
      <c r="AC8" s="11" cm="1">
        <f t="array" ref="AC8">IFERROR(MIN(IF(UV_WB_S1=MIN(UV_WB_S1),ROW(UV_WB_S1)-ROW($AC$9))),1)</f>
        <v>1</v>
      </c>
      <c r="AD8" cm="1">
        <f t="array" ref="AD8">IFERROR(MIN(IF(UV_WB_S1=MIN(UV_WB_S1),COLUMN(UV_WB_S1)-COLUMN($AC$9))),1)</f>
        <v>1</v>
      </c>
      <c r="AE8">
        <v>1</v>
      </c>
      <c r="AF8">
        <v>1</v>
      </c>
      <c r="AW8" s="35"/>
      <c r="AY8" s="11" cm="1">
        <f t="array" ref="AY8">IFERROR(MIN(IF(UV_WB_S2=MIN(UV_WB_S2),ROW(UV_WB_S2)-ROW($AY$9))),1)</f>
        <v>1</v>
      </c>
      <c r="AZ8" cm="1">
        <f t="array" ref="AZ8">IFERROR(MIN(IF(UV_WB_S2=MIN(UV_WB_S2),COLUMN(UV_WB_S2)-COLUMN($AY$9))),1)</f>
        <v>1</v>
      </c>
      <c r="BA8">
        <v>1</v>
      </c>
      <c r="BB8">
        <v>1</v>
      </c>
      <c r="BS8" s="35"/>
    </row>
    <row r="9" spans="1:71" x14ac:dyDescent="0.25">
      <c r="A9">
        <v>58.8</v>
      </c>
      <c r="B9" t="b">
        <v>1</v>
      </c>
      <c r="D9" s="11" t="s">
        <v>659</v>
      </c>
      <c r="E9" s="18">
        <f>MIN(_xlfn._xlws.FILTER(UV_Data,UV_Include))</f>
        <v>36.299999999999997</v>
      </c>
      <c r="Q9" s="11" t="s">
        <v>685</v>
      </c>
      <c r="R9" t="s">
        <v>659</v>
      </c>
      <c r="S9" s="8">
        <f>_xlfn.LET(_xlpm.d,_xlfn._xlws.FILTER(UV_Data,UV_Include),MIN(_xlpm.d)-(MAX(_xlpm.d)-MIN(_xlpm.d))*0.001)</f>
        <v>36.247299999999996</v>
      </c>
      <c r="T9" t="s">
        <v>656</v>
      </c>
      <c r="U9" s="8">
        <f>IFERROR(_xlfn.MODE.SNGL(_xlfn._xlws.FILTER(UV_Data,UV_Include)),MEDIAN(_xlfn._xlws.FILTER(UV_Data,UV_Include)))</f>
        <v>73</v>
      </c>
      <c r="V9" t="s">
        <v>660</v>
      </c>
      <c r="W9" s="8">
        <f>_xlfn.LET(_xlpm.d,_xlfn._xlws.FILTER(UV_Data,UV_Include),MAX(_xlpm.d)+(MAX(_xlpm.d)-MIN(_xlpm.d))*0.001)</f>
        <v>89.052700000000002</v>
      </c>
      <c r="X9" s="22" cm="1">
        <f t="array" aca="1" ref="X9" ca="1">NLL_BetaPERT(UV_Data,$S$9,$U$9,$W$9,UV_Include)</f>
        <v>1000000000000000</v>
      </c>
      <c r="Y9" s="9">
        <v>3</v>
      </c>
      <c r="Z9" s="22" cm="1">
        <f t="array" aca="1" ref="Z9" ca="1">GoF_AIC($X$9,$Y$9)</f>
        <v>2000000000000006</v>
      </c>
      <c r="AA9" s="29" cm="1">
        <f t="array" aca="1" ref="AA9" ca="1">GoF_BIC($X$9,$Y$9,UV_n)</f>
        <v>2000000000000024</v>
      </c>
      <c r="AC9" s="33" cm="1">
        <f t="array" aca="1" ref="AC9" ca="1">NLL_Weibull(UV_Data,$AE$8,$AF$8,UV_Include)</f>
        <v>1000000000000000</v>
      </c>
      <c r="AD9" s="22" cm="1">
        <f t="array" ref="AD9:AW9">_xlfn.SEQUENCE(1,20,$AD$4,($AE$4-$AD$4)/(20-1))</f>
        <v>0.5</v>
      </c>
      <c r="AE9">
        <v>1</v>
      </c>
      <c r="AF9">
        <v>1.5</v>
      </c>
      <c r="AG9">
        <v>2</v>
      </c>
      <c r="AH9">
        <v>2.5</v>
      </c>
      <c r="AI9">
        <v>3</v>
      </c>
      <c r="AJ9">
        <v>3.5</v>
      </c>
      <c r="AK9">
        <v>4</v>
      </c>
      <c r="AL9">
        <v>4.5</v>
      </c>
      <c r="AM9">
        <v>5</v>
      </c>
      <c r="AN9">
        <v>5.5</v>
      </c>
      <c r="AO9">
        <v>6</v>
      </c>
      <c r="AP9">
        <v>6.5</v>
      </c>
      <c r="AQ9">
        <v>7</v>
      </c>
      <c r="AR9">
        <v>7.5</v>
      </c>
      <c r="AS9">
        <v>8</v>
      </c>
      <c r="AT9">
        <v>8.5</v>
      </c>
      <c r="AU9">
        <v>9</v>
      </c>
      <c r="AV9">
        <v>9.5</v>
      </c>
      <c r="AW9" s="35">
        <v>10</v>
      </c>
      <c r="AY9" s="33" cm="1">
        <f t="array" aca="1" ref="AY9" ca="1">NLL_Weibull(UV_Data,$BA$8,$BB$8,UV_Include)</f>
        <v>1000000000000000</v>
      </c>
      <c r="AZ9" s="22" cm="1">
        <f t="array" ref="AZ9:BS9">_xlfn.SEQUENCE(1,20,$AZ$4,($BA$4-$AZ$4)/(20-1))</f>
        <v>1E-3</v>
      </c>
      <c r="BA9">
        <v>5.3578947368421052E-2</v>
      </c>
      <c r="BB9">
        <v>0.1061578947368421</v>
      </c>
      <c r="BC9">
        <v>0.15873684210526315</v>
      </c>
      <c r="BD9">
        <v>0.21131578947368421</v>
      </c>
      <c r="BE9">
        <v>0.26389473684210524</v>
      </c>
      <c r="BF9">
        <v>0.3164736842105263</v>
      </c>
      <c r="BG9">
        <v>0.36905263157894735</v>
      </c>
      <c r="BH9">
        <v>0.42163157894736841</v>
      </c>
      <c r="BI9">
        <v>0.47421052631578947</v>
      </c>
      <c r="BJ9">
        <v>0.52678947368421047</v>
      </c>
      <c r="BK9">
        <v>0.57936842105263153</v>
      </c>
      <c r="BL9">
        <v>0.63194736842105259</v>
      </c>
      <c r="BM9">
        <v>0.68452631578947365</v>
      </c>
      <c r="BN9">
        <v>0.73710526315789471</v>
      </c>
      <c r="BO9">
        <v>0.78968421052631577</v>
      </c>
      <c r="BP9">
        <v>0.84226315789473682</v>
      </c>
      <c r="BQ9">
        <v>0.89484210526315788</v>
      </c>
      <c r="BR9">
        <v>0.94742105263157894</v>
      </c>
      <c r="BS9" s="35">
        <v>1</v>
      </c>
    </row>
    <row r="10" spans="1:71" x14ac:dyDescent="0.25">
      <c r="A10">
        <v>58.6</v>
      </c>
      <c r="B10" t="b">
        <v>1</v>
      </c>
      <c r="D10" s="11" t="s">
        <v>660</v>
      </c>
      <c r="E10" s="18">
        <f>MAX(_xlfn._xlws.FILTER(UV_Data,UV_Include))</f>
        <v>89</v>
      </c>
      <c r="Q10" s="14" t="s">
        <v>686</v>
      </c>
      <c r="R10" s="25" t="s">
        <v>687</v>
      </c>
      <c r="S10" s="26">
        <f>$AZ$7</f>
        <v>1E-3</v>
      </c>
      <c r="T10" s="25" t="s">
        <v>688</v>
      </c>
      <c r="U10" s="26">
        <f>$BB$7</f>
        <v>1E-3</v>
      </c>
      <c r="V10" s="25"/>
      <c r="W10" s="26"/>
      <c r="X10" s="27" cm="1">
        <f t="array" aca="1" ref="X10" ca="1">NLL_Weibull(UV_Data,$S$10,$U$10,UV_Include)</f>
        <v>1000000000000000</v>
      </c>
      <c r="Y10" s="15">
        <v>2</v>
      </c>
      <c r="Z10" s="27" cm="1">
        <f t="array" aca="1" ref="Z10" ca="1">GoF_AIC($X$10,$Y$10)</f>
        <v>2000000000000004</v>
      </c>
      <c r="AA10" s="30" cm="1">
        <f t="array" aca="1" ref="AA10" ca="1">GoF_BIC($X$10,$Y$10,UV_n)</f>
        <v>2000000000000016</v>
      </c>
      <c r="AC10" s="34" cm="1">
        <f t="array" ref="AC10:AC29">_xlfn.SEQUENCE(20,1,$AD$5,($AE$5-$AD$5)/(20-1))</f>
        <v>0.1</v>
      </c>
      <c r="AD10" s="22"/>
      <c r="AE10" s="22"/>
      <c r="AF10" s="22"/>
      <c r="AG10" s="22"/>
      <c r="AH10" s="22"/>
      <c r="AI10" s="22"/>
      <c r="AJ10" s="22"/>
      <c r="AK10" s="22"/>
      <c r="AL10" s="22"/>
      <c r="AM10" s="22"/>
      <c r="AN10" s="22"/>
      <c r="AO10" s="22"/>
      <c r="AP10" s="22"/>
      <c r="AQ10" s="22"/>
      <c r="AR10" s="22"/>
      <c r="AS10" s="22"/>
      <c r="AT10" s="22"/>
      <c r="AU10" s="22"/>
      <c r="AV10" s="22"/>
      <c r="AW10" s="29"/>
      <c r="AY10" s="34" cm="1">
        <f t="array" ref="AY10:AY29">_xlfn.SEQUENCE(20,1,$AZ$5,($BA$5-$AZ$5)/(20-1))</f>
        <v>1E-3</v>
      </c>
      <c r="AZ10" s="22"/>
      <c r="BA10" s="22"/>
      <c r="BB10" s="22"/>
      <c r="BC10" s="22"/>
      <c r="BD10" s="22"/>
      <c r="BE10" s="22"/>
      <c r="BF10" s="22"/>
      <c r="BG10" s="22"/>
      <c r="BH10" s="22"/>
      <c r="BI10" s="22"/>
      <c r="BJ10" s="22"/>
      <c r="BK10" s="22"/>
      <c r="BL10" s="22"/>
      <c r="BM10" s="22"/>
      <c r="BN10" s="22"/>
      <c r="BO10" s="22"/>
      <c r="BP10" s="22"/>
      <c r="BQ10" s="22"/>
      <c r="BR10" s="22"/>
      <c r="BS10" s="29"/>
    </row>
    <row r="11" spans="1:71" x14ac:dyDescent="0.25">
      <c r="A11">
        <v>58.1</v>
      </c>
      <c r="B11" t="b">
        <v>1</v>
      </c>
      <c r="D11" s="11" t="s">
        <v>661</v>
      </c>
      <c r="E11" s="18">
        <f>_xlfn.LET(_xlpm.d,_xlfn._xlws.FILTER(UV_Data,UV_Include),MAX(_xlpm.d)-MIN(_xlpm.d))</f>
        <v>52.7</v>
      </c>
      <c r="AC11" s="11">
        <v>7.3815717572620123</v>
      </c>
      <c r="AD11" s="22"/>
      <c r="AE11" s="22"/>
      <c r="AF11" s="22"/>
      <c r="AG11" s="22"/>
      <c r="AH11" s="22"/>
      <c r="AI11" s="22"/>
      <c r="AJ11" s="22"/>
      <c r="AK11" s="22"/>
      <c r="AL11" s="22"/>
      <c r="AM11" s="22"/>
      <c r="AN11" s="22"/>
      <c r="AO11" s="22"/>
      <c r="AP11" s="22"/>
      <c r="AQ11" s="22"/>
      <c r="AR11" s="22"/>
      <c r="AS11" s="22"/>
      <c r="AT11" s="22"/>
      <c r="AU11" s="22"/>
      <c r="AV11" s="22"/>
      <c r="AW11" s="29"/>
      <c r="AY11" s="11">
        <v>0.38945114511905327</v>
      </c>
      <c r="AZ11" s="22"/>
      <c r="BA11" s="22"/>
      <c r="BB11" s="22"/>
      <c r="BC11" s="22"/>
      <c r="BD11" s="22"/>
      <c r="BE11" s="22"/>
      <c r="BF11" s="22"/>
      <c r="BG11" s="22"/>
      <c r="BH11" s="22"/>
      <c r="BI11" s="22"/>
      <c r="BJ11" s="22"/>
      <c r="BK11" s="22"/>
      <c r="BL11" s="22"/>
      <c r="BM11" s="22"/>
      <c r="BN11" s="22"/>
      <c r="BO11" s="22"/>
      <c r="BP11" s="22"/>
      <c r="BQ11" s="22"/>
      <c r="BR11" s="22"/>
      <c r="BS11" s="29"/>
    </row>
    <row r="12" spans="1:71" x14ac:dyDescent="0.25">
      <c r="A12">
        <v>57.5</v>
      </c>
      <c r="B12" t="b">
        <v>1</v>
      </c>
      <c r="D12" s="11" t="s">
        <v>299</v>
      </c>
      <c r="E12" s="18" cm="1">
        <f t="array" ref="E12">INDEX(Skewness(UV_Data,UV_Include),1)</f>
        <v>-0.6386047358773721</v>
      </c>
      <c r="AC12" s="11">
        <v>14.663143514524025</v>
      </c>
      <c r="AD12" s="22"/>
      <c r="AE12" s="22"/>
      <c r="AF12" s="22"/>
      <c r="AG12" s="22"/>
      <c r="AH12" s="22"/>
      <c r="AI12" s="22"/>
      <c r="AJ12" s="22"/>
      <c r="AK12" s="22"/>
      <c r="AL12" s="22"/>
      <c r="AM12" s="22"/>
      <c r="AN12" s="22"/>
      <c r="AO12" s="22"/>
      <c r="AP12" s="22"/>
      <c r="AQ12" s="22"/>
      <c r="AR12" s="22"/>
      <c r="AS12" s="22"/>
      <c r="AT12" s="22"/>
      <c r="AU12" s="22"/>
      <c r="AV12" s="22"/>
      <c r="AW12" s="29"/>
      <c r="AY12" s="11">
        <v>0.77790229023810653</v>
      </c>
      <c r="AZ12" s="22"/>
      <c r="BA12" s="22"/>
      <c r="BB12" s="22"/>
      <c r="BC12" s="22"/>
      <c r="BD12" s="22"/>
      <c r="BE12" s="22"/>
      <c r="BF12" s="22"/>
      <c r="BG12" s="22"/>
      <c r="BH12" s="22"/>
      <c r="BI12" s="22"/>
      <c r="BJ12" s="22"/>
      <c r="BK12" s="22"/>
      <c r="BL12" s="22"/>
      <c r="BM12" s="22"/>
      <c r="BN12" s="22"/>
      <c r="BO12" s="22"/>
      <c r="BP12" s="22"/>
      <c r="BQ12" s="22"/>
      <c r="BR12" s="22"/>
      <c r="BS12" s="29"/>
    </row>
    <row r="13" spans="1:71" x14ac:dyDescent="0.25">
      <c r="A13">
        <v>57.3</v>
      </c>
      <c r="B13" t="b">
        <v>1</v>
      </c>
      <c r="D13" s="11" t="s">
        <v>305</v>
      </c>
      <c r="E13" s="18" cm="1">
        <f t="array" ref="E13">INDEX(Kurtosis(UV_Data,UV_Include),1)</f>
        <v>-0.23447739417962499</v>
      </c>
      <c r="AC13" s="11">
        <v>21.944715271786038</v>
      </c>
      <c r="AD13" s="22"/>
      <c r="AE13" s="22"/>
      <c r="AF13" s="22"/>
      <c r="AG13" s="22"/>
      <c r="AH13" s="22"/>
      <c r="AI13" s="22"/>
      <c r="AJ13" s="22"/>
      <c r="AK13" s="22"/>
      <c r="AL13" s="22"/>
      <c r="AM13" s="22"/>
      <c r="AN13" s="22"/>
      <c r="AO13" s="22"/>
      <c r="AP13" s="22"/>
      <c r="AQ13" s="22"/>
      <c r="AR13" s="22"/>
      <c r="AS13" s="22"/>
      <c r="AT13" s="22"/>
      <c r="AU13" s="22"/>
      <c r="AV13" s="22"/>
      <c r="AW13" s="29"/>
      <c r="AY13" s="11">
        <v>1.1663534353571599</v>
      </c>
      <c r="AZ13" s="22"/>
      <c r="BA13" s="22"/>
      <c r="BB13" s="22"/>
      <c r="BC13" s="22"/>
      <c r="BD13" s="22"/>
      <c r="BE13" s="22"/>
      <c r="BF13" s="22"/>
      <c r="BG13" s="22"/>
      <c r="BH13" s="22"/>
      <c r="BI13" s="22"/>
      <c r="BJ13" s="22"/>
      <c r="BK13" s="22"/>
      <c r="BL13" s="22"/>
      <c r="BM13" s="22"/>
      <c r="BN13" s="22"/>
      <c r="BO13" s="22"/>
      <c r="BP13" s="22"/>
      <c r="BQ13" s="22"/>
      <c r="BR13" s="22"/>
      <c r="BS13" s="29"/>
    </row>
    <row r="14" spans="1:71" x14ac:dyDescent="0.25">
      <c r="A14">
        <v>57.3</v>
      </c>
      <c r="B14" t="b">
        <v>1</v>
      </c>
      <c r="D14" s="11" t="s">
        <v>662</v>
      </c>
      <c r="E14" s="19">
        <f>COUNT(_xlfn._xlws.FILTER(UV_Data,UV_Include))</f>
        <v>2928</v>
      </c>
      <c r="AC14" s="11">
        <v>29.226287029048052</v>
      </c>
      <c r="AD14" s="22"/>
      <c r="AE14" s="22"/>
      <c r="AF14" s="22"/>
      <c r="AG14" s="22"/>
      <c r="AH14" s="22"/>
      <c r="AI14" s="22"/>
      <c r="AJ14" s="22"/>
      <c r="AK14" s="22"/>
      <c r="AL14" s="22"/>
      <c r="AM14" s="22"/>
      <c r="AN14" s="22"/>
      <c r="AO14" s="22"/>
      <c r="AP14" s="22"/>
      <c r="AQ14" s="22"/>
      <c r="AR14" s="22"/>
      <c r="AS14" s="22"/>
      <c r="AT14" s="22"/>
      <c r="AU14" s="22"/>
      <c r="AV14" s="22"/>
      <c r="AW14" s="29"/>
      <c r="AY14" s="11">
        <v>1.5548045804762132</v>
      </c>
      <c r="AZ14" s="22"/>
      <c r="BA14" s="22"/>
      <c r="BB14" s="22"/>
      <c r="BC14" s="22"/>
      <c r="BD14" s="22"/>
      <c r="BE14" s="22"/>
      <c r="BF14" s="22"/>
      <c r="BG14" s="22"/>
      <c r="BH14" s="22"/>
      <c r="BI14" s="22"/>
      <c r="BJ14" s="22"/>
      <c r="BK14" s="22"/>
      <c r="BL14" s="22"/>
      <c r="BM14" s="22"/>
      <c r="BN14" s="22"/>
      <c r="BO14" s="22"/>
      <c r="BP14" s="22"/>
      <c r="BQ14" s="22"/>
      <c r="BR14" s="22"/>
      <c r="BS14" s="29"/>
    </row>
    <row r="15" spans="1:71" x14ac:dyDescent="0.25">
      <c r="A15">
        <v>57</v>
      </c>
      <c r="B15" t="b">
        <v>1</v>
      </c>
      <c r="D15" s="14" t="s">
        <v>663</v>
      </c>
      <c r="E15" s="20" cm="1">
        <f t="array" ref="E15">Missing_Count(UV_Data)</f>
        <v>10</v>
      </c>
      <c r="AC15" s="11">
        <v>36.507858786310067</v>
      </c>
      <c r="AD15" s="22"/>
      <c r="AE15" s="22"/>
      <c r="AF15" s="22"/>
      <c r="AG15" s="22"/>
      <c r="AH15" s="22"/>
      <c r="AI15" s="22"/>
      <c r="AJ15" s="22"/>
      <c r="AK15" s="22"/>
      <c r="AL15" s="22"/>
      <c r="AM15" s="22"/>
      <c r="AN15" s="22"/>
      <c r="AO15" s="22"/>
      <c r="AP15" s="22"/>
      <c r="AQ15" s="22"/>
      <c r="AR15" s="22"/>
      <c r="AS15" s="22"/>
      <c r="AT15" s="22"/>
      <c r="AU15" s="22"/>
      <c r="AV15" s="22"/>
      <c r="AW15" s="29"/>
      <c r="AY15" s="11">
        <v>1.9432557255952665</v>
      </c>
      <c r="AZ15" s="22"/>
      <c r="BA15" s="22"/>
      <c r="BB15" s="22"/>
      <c r="BC15" s="22"/>
      <c r="BD15" s="22"/>
      <c r="BE15" s="22"/>
      <c r="BF15" s="22"/>
      <c r="BG15" s="22"/>
      <c r="BH15" s="22"/>
      <c r="BI15" s="22"/>
      <c r="BJ15" s="22"/>
      <c r="BK15" s="22"/>
      <c r="BL15" s="22"/>
      <c r="BM15" s="22"/>
      <c r="BN15" s="22"/>
      <c r="BO15" s="22"/>
      <c r="BP15" s="22"/>
      <c r="BQ15" s="22"/>
      <c r="BR15" s="22"/>
      <c r="BS15" s="29"/>
    </row>
    <row r="16" spans="1:71" x14ac:dyDescent="0.25">
      <c r="A16">
        <v>56.7</v>
      </c>
      <c r="B16" t="b">
        <v>1</v>
      </c>
      <c r="AC16" s="11">
        <v>43.789430543572081</v>
      </c>
      <c r="AD16" s="22"/>
      <c r="AE16" s="22"/>
      <c r="AF16" s="22"/>
      <c r="AG16" s="22"/>
      <c r="AH16" s="22"/>
      <c r="AI16" s="22"/>
      <c r="AJ16" s="22"/>
      <c r="AK16" s="22"/>
      <c r="AL16" s="22"/>
      <c r="AM16" s="22"/>
      <c r="AN16" s="22"/>
      <c r="AO16" s="22"/>
      <c r="AP16" s="22"/>
      <c r="AQ16" s="22"/>
      <c r="AR16" s="22"/>
      <c r="AS16" s="22"/>
      <c r="AT16" s="22"/>
      <c r="AU16" s="22"/>
      <c r="AV16" s="22"/>
      <c r="AW16" s="29"/>
      <c r="AY16" s="11">
        <v>2.3317068707143198</v>
      </c>
      <c r="AZ16" s="22"/>
      <c r="BA16" s="22"/>
      <c r="BB16" s="22"/>
      <c r="BC16" s="22"/>
      <c r="BD16" s="22"/>
      <c r="BE16" s="22"/>
      <c r="BF16" s="22"/>
      <c r="BG16" s="22"/>
      <c r="BH16" s="22"/>
      <c r="BI16" s="22"/>
      <c r="BJ16" s="22"/>
      <c r="BK16" s="22"/>
      <c r="BL16" s="22"/>
      <c r="BM16" s="22"/>
      <c r="BN16" s="22"/>
      <c r="BO16" s="22"/>
      <c r="BP16" s="22"/>
      <c r="BQ16" s="22"/>
      <c r="BR16" s="22"/>
      <c r="BS16" s="29"/>
    </row>
    <row r="17" spans="1:71" x14ac:dyDescent="0.25">
      <c r="A17">
        <v>56.2</v>
      </c>
      <c r="B17" t="b">
        <v>1</v>
      </c>
      <c r="D17" cm="1">
        <f t="array" ref="D17">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UV_Data,"Sturges",UV_Include)</f>
        <v>13</v>
      </c>
      <c r="AC17" s="11">
        <v>51.071002300834095</v>
      </c>
      <c r="AD17" s="22"/>
      <c r="AE17" s="22"/>
      <c r="AF17" s="22"/>
      <c r="AG17" s="22"/>
      <c r="AH17" s="22"/>
      <c r="AI17" s="22"/>
      <c r="AJ17" s="22"/>
      <c r="AK17" s="22"/>
      <c r="AL17" s="22"/>
      <c r="AM17" s="22"/>
      <c r="AN17" s="22"/>
      <c r="AO17" s="22"/>
      <c r="AP17" s="22"/>
      <c r="AQ17" s="22"/>
      <c r="AR17" s="22"/>
      <c r="AS17" s="22"/>
      <c r="AT17" s="22"/>
      <c r="AU17" s="22"/>
      <c r="AV17" s="22"/>
      <c r="AW17" s="29"/>
      <c r="AY17" s="11">
        <v>2.7201580158333729</v>
      </c>
      <c r="AZ17" s="22"/>
      <c r="BA17" s="22"/>
      <c r="BB17" s="22"/>
      <c r="BC17" s="22"/>
      <c r="BD17" s="22"/>
      <c r="BE17" s="22"/>
      <c r="BF17" s="22"/>
      <c r="BG17" s="22"/>
      <c r="BH17" s="22"/>
      <c r="BI17" s="22"/>
      <c r="BJ17" s="22"/>
      <c r="BK17" s="22"/>
      <c r="BL17" s="22"/>
      <c r="BM17" s="22"/>
      <c r="BN17" s="22"/>
      <c r="BO17" s="22"/>
      <c r="BP17" s="22"/>
      <c r="BQ17" s="22"/>
      <c r="BR17" s="22"/>
      <c r="BS17" s="29"/>
    </row>
    <row r="18" spans="1:71" x14ac:dyDescent="0.25">
      <c r="A18">
        <v>55.3</v>
      </c>
      <c r="B18" t="b">
        <v>1</v>
      </c>
      <c r="D18" cm="1">
        <f t="array" ref="D18">_xlfn.LAMBDA(_xlpm.data,_xlop.method,_xlop.filter,
  _xlfn.LET(
    _xlpm.filt_arg, IF(_xlfn.ISOMITTED(_xlpm.filter), ISNUMBER(_xlpm.data), _xlpm.filter),
    _xlpm.x, _xlfn._xlws.FILTER(_xlpm.data, _xlpm.filt_arg),
    _xlpm.n, COUNT(_xlpm.x),
    _xlpm.m, IF(_xlfn.ISOMITTED(_xlpm.method), "FD", _xlpm.method),
    _xlfn.SWITCH(_xlpm.m,
      "Sturges", CEILING(LOG(_xlpm.n, 2) + 1, 1),
      "Scott",   _xlfn.LET(
                   _xlpm.sd, _xlfn.STDEV.S(_xlpm.x),
                   _xlpm.range_, MAX(_xlpm.x) - MIN(_xlpm.x),
                   IF(_xlpm.sd = 0, 1, CEILING(_xlpm.range_ / (3.49 * _xlpm.sd * _xlpm.n ^ (-1/3)), 1))
                 ),
      _xlfn.LET(
        _xlpm.iqr, _xlfn.QUARTILE.EXC(_xlpm.x, 3) - _xlfn.QUARTILE.EXC(_xlpm.x, 1),
        _xlpm.range_, MAX(_xlpm.x) - MIN(_xlpm.x),
        IF(_xlpm.iqr = 0,
          CEILING(LOG(_xlpm.n, 2) + 1, 1),
          CEILING(_xlpm.range_ / (2 * _xlpm.iqr * _xlpm.n ^ (-1/3)), 1))
      )
    )
  ))(UV_Data,"Sturges",UV_Include)</f>
        <v>13</v>
      </c>
      <c r="AC18" s="11">
        <v>58.35257405809611</v>
      </c>
      <c r="AD18" s="22"/>
      <c r="AE18" s="22"/>
      <c r="AF18" s="22"/>
      <c r="AG18" s="22"/>
      <c r="AH18" s="22"/>
      <c r="AI18" s="22"/>
      <c r="AJ18" s="22"/>
      <c r="AK18" s="22"/>
      <c r="AL18" s="22"/>
      <c r="AM18" s="22"/>
      <c r="AN18" s="22"/>
      <c r="AO18" s="22"/>
      <c r="AP18" s="22"/>
      <c r="AQ18" s="22"/>
      <c r="AR18" s="22"/>
      <c r="AS18" s="22"/>
      <c r="AT18" s="22"/>
      <c r="AU18" s="22"/>
      <c r="AV18" s="22"/>
      <c r="AW18" s="29"/>
      <c r="AY18" s="11">
        <v>3.108609160952426</v>
      </c>
      <c r="AZ18" s="22"/>
      <c r="BA18" s="22"/>
      <c r="BB18" s="22"/>
      <c r="BC18" s="22"/>
      <c r="BD18" s="22"/>
      <c r="BE18" s="22"/>
      <c r="BF18" s="22"/>
      <c r="BG18" s="22"/>
      <c r="BH18" s="22"/>
      <c r="BI18" s="22"/>
      <c r="BJ18" s="22"/>
      <c r="BK18" s="22"/>
      <c r="BL18" s="22"/>
      <c r="BM18" s="22"/>
      <c r="BN18" s="22"/>
      <c r="BO18" s="22"/>
      <c r="BP18" s="22"/>
      <c r="BQ18" s="22"/>
      <c r="BR18" s="22"/>
      <c r="BS18" s="29"/>
    </row>
    <row r="19" spans="1:71" x14ac:dyDescent="0.25">
      <c r="A19">
        <v>54.8</v>
      </c>
      <c r="B19" t="b">
        <v>1</v>
      </c>
      <c r="AC19" s="11">
        <v>65.634145815358124</v>
      </c>
      <c r="AD19" s="22"/>
      <c r="AE19" s="22"/>
      <c r="AF19" s="22"/>
      <c r="AG19" s="22"/>
      <c r="AH19" s="22"/>
      <c r="AI19" s="22"/>
      <c r="AJ19" s="22"/>
      <c r="AK19" s="22"/>
      <c r="AL19" s="22"/>
      <c r="AM19" s="22"/>
      <c r="AN19" s="22"/>
      <c r="AO19" s="22"/>
      <c r="AP19" s="22"/>
      <c r="AQ19" s="22"/>
      <c r="AR19" s="22"/>
      <c r="AS19" s="22"/>
      <c r="AT19" s="22"/>
      <c r="AU19" s="22"/>
      <c r="AV19" s="22"/>
      <c r="AW19" s="29"/>
      <c r="AY19" s="11">
        <v>3.4970603060714791</v>
      </c>
      <c r="AZ19" s="22"/>
      <c r="BA19" s="22"/>
      <c r="BB19" s="22"/>
      <c r="BC19" s="22"/>
      <c r="BD19" s="22"/>
      <c r="BE19" s="22"/>
      <c r="BF19" s="22"/>
      <c r="BG19" s="22"/>
      <c r="BH19" s="22"/>
      <c r="BI19" s="22"/>
      <c r="BJ19" s="22"/>
      <c r="BK19" s="22"/>
      <c r="BL19" s="22"/>
      <c r="BM19" s="22"/>
      <c r="BN19" s="22"/>
      <c r="BO19" s="22"/>
      <c r="BP19" s="22"/>
      <c r="BQ19" s="22"/>
      <c r="BR19" s="22"/>
      <c r="BS19" s="29"/>
    </row>
    <row r="20" spans="1:71" x14ac:dyDescent="0.25">
      <c r="A20">
        <v>77.8</v>
      </c>
      <c r="B20" t="b">
        <v>1</v>
      </c>
      <c r="AC20" s="11">
        <v>72.915717572620139</v>
      </c>
      <c r="AD20" s="22"/>
      <c r="AE20" s="22"/>
      <c r="AF20" s="22"/>
      <c r="AG20" s="22"/>
      <c r="AH20" s="22"/>
      <c r="AI20" s="22"/>
      <c r="AJ20" s="22"/>
      <c r="AK20" s="22"/>
      <c r="AL20" s="22"/>
      <c r="AM20" s="22"/>
      <c r="AN20" s="22"/>
      <c r="AO20" s="22"/>
      <c r="AP20" s="22"/>
      <c r="AQ20" s="22"/>
      <c r="AR20" s="22"/>
      <c r="AS20" s="22"/>
      <c r="AT20" s="22"/>
      <c r="AU20" s="22"/>
      <c r="AV20" s="22"/>
      <c r="AW20" s="29"/>
      <c r="AY20" s="11">
        <v>3.8855114511905322</v>
      </c>
      <c r="AZ20" s="22"/>
      <c r="BA20" s="22"/>
      <c r="BB20" s="22"/>
      <c r="BC20" s="22"/>
      <c r="BD20" s="22"/>
      <c r="BE20" s="22"/>
      <c r="BF20" s="22"/>
      <c r="BG20" s="22"/>
      <c r="BH20" s="22"/>
      <c r="BI20" s="22"/>
      <c r="BJ20" s="22"/>
      <c r="BK20" s="22"/>
      <c r="BL20" s="22"/>
      <c r="BM20" s="22"/>
      <c r="BN20" s="22"/>
      <c r="BO20" s="22"/>
      <c r="BP20" s="22"/>
      <c r="BQ20" s="22"/>
      <c r="BR20" s="22"/>
      <c r="BS20" s="29"/>
    </row>
    <row r="21" spans="1:71" x14ac:dyDescent="0.25">
      <c r="A21">
        <v>77.5</v>
      </c>
      <c r="B21" t="b">
        <v>1</v>
      </c>
      <c r="AC21" s="11">
        <v>80.197289329882153</v>
      </c>
      <c r="AD21" s="22"/>
      <c r="AE21" s="22"/>
      <c r="AF21" s="22"/>
      <c r="AG21" s="22"/>
      <c r="AH21" s="22"/>
      <c r="AI21" s="22"/>
      <c r="AJ21" s="22"/>
      <c r="AK21" s="22"/>
      <c r="AL21" s="22"/>
      <c r="AM21" s="22"/>
      <c r="AN21" s="22"/>
      <c r="AO21" s="22"/>
      <c r="AP21" s="22"/>
      <c r="AQ21" s="22"/>
      <c r="AR21" s="22"/>
      <c r="AS21" s="22"/>
      <c r="AT21" s="22"/>
      <c r="AU21" s="22"/>
      <c r="AV21" s="22"/>
      <c r="AW21" s="29"/>
      <c r="AY21" s="11">
        <v>4.2739625963095857</v>
      </c>
      <c r="AZ21" s="22"/>
      <c r="BA21" s="22"/>
      <c r="BB21" s="22"/>
      <c r="BC21" s="22"/>
      <c r="BD21" s="22"/>
      <c r="BE21" s="22"/>
      <c r="BF21" s="22"/>
      <c r="BG21" s="22"/>
      <c r="BH21" s="22"/>
      <c r="BI21" s="22"/>
      <c r="BJ21" s="22"/>
      <c r="BK21" s="22"/>
      <c r="BL21" s="22"/>
      <c r="BM21" s="22"/>
      <c r="BN21" s="22"/>
      <c r="BO21" s="22"/>
      <c r="BP21" s="22"/>
      <c r="BQ21" s="22"/>
      <c r="BR21" s="22"/>
      <c r="BS21" s="29"/>
    </row>
    <row r="22" spans="1:71" x14ac:dyDescent="0.25">
      <c r="A22">
        <v>77.2</v>
      </c>
      <c r="B22" t="b">
        <v>1</v>
      </c>
      <c r="AC22" s="11">
        <v>87.478861087144168</v>
      </c>
      <c r="AD22" s="22"/>
      <c r="AE22" s="22"/>
      <c r="AF22" s="22"/>
      <c r="AG22" s="22"/>
      <c r="AH22" s="22"/>
      <c r="AI22" s="22"/>
      <c r="AJ22" s="22"/>
      <c r="AK22" s="22"/>
      <c r="AL22" s="22"/>
      <c r="AM22" s="22"/>
      <c r="AN22" s="22"/>
      <c r="AO22" s="22"/>
      <c r="AP22" s="22"/>
      <c r="AQ22" s="22"/>
      <c r="AR22" s="22"/>
      <c r="AS22" s="22"/>
      <c r="AT22" s="22"/>
      <c r="AU22" s="22"/>
      <c r="AV22" s="22"/>
      <c r="AW22" s="29"/>
      <c r="AY22" s="11">
        <v>4.6624137414286393</v>
      </c>
      <c r="AZ22" s="22"/>
      <c r="BA22" s="22"/>
      <c r="BB22" s="22"/>
      <c r="BC22" s="22"/>
      <c r="BD22" s="22"/>
      <c r="BE22" s="22"/>
      <c r="BF22" s="22"/>
      <c r="BG22" s="22"/>
      <c r="BH22" s="22"/>
      <c r="BI22" s="22"/>
      <c r="BJ22" s="22"/>
      <c r="BK22" s="22"/>
      <c r="BL22" s="22"/>
      <c r="BM22" s="22"/>
      <c r="BN22" s="22"/>
      <c r="BO22" s="22"/>
      <c r="BP22" s="22"/>
      <c r="BQ22" s="22"/>
      <c r="BR22" s="22"/>
      <c r="BS22" s="29"/>
    </row>
    <row r="23" spans="1:71" x14ac:dyDescent="0.25">
      <c r="A23">
        <v>76.900000000000006</v>
      </c>
      <c r="B23" t="b">
        <v>1</v>
      </c>
      <c r="AC23" s="11">
        <v>94.760432844406182</v>
      </c>
      <c r="AD23" s="22"/>
      <c r="AE23" s="22"/>
      <c r="AF23" s="22"/>
      <c r="AG23" s="22"/>
      <c r="AH23" s="22"/>
      <c r="AI23" s="22"/>
      <c r="AJ23" s="22"/>
      <c r="AK23" s="22"/>
      <c r="AL23" s="22"/>
      <c r="AM23" s="22"/>
      <c r="AN23" s="22"/>
      <c r="AO23" s="22"/>
      <c r="AP23" s="22"/>
      <c r="AQ23" s="22"/>
      <c r="AR23" s="22"/>
      <c r="AS23" s="22"/>
      <c r="AT23" s="22"/>
      <c r="AU23" s="22"/>
      <c r="AV23" s="22"/>
      <c r="AW23" s="29"/>
      <c r="AY23" s="11">
        <v>5.0508648865476928</v>
      </c>
      <c r="AZ23" s="22"/>
      <c r="BA23" s="22"/>
      <c r="BB23" s="22"/>
      <c r="BC23" s="22"/>
      <c r="BD23" s="22"/>
      <c r="BE23" s="22"/>
      <c r="BF23" s="22"/>
      <c r="BG23" s="22"/>
      <c r="BH23" s="22"/>
      <c r="BI23" s="22"/>
      <c r="BJ23" s="22"/>
      <c r="BK23" s="22"/>
      <c r="BL23" s="22"/>
      <c r="BM23" s="22"/>
      <c r="BN23" s="22"/>
      <c r="BO23" s="22"/>
      <c r="BP23" s="22"/>
      <c r="BQ23" s="22"/>
      <c r="BR23" s="22"/>
      <c r="BS23" s="29"/>
    </row>
    <row r="24" spans="1:71" x14ac:dyDescent="0.25">
      <c r="A24">
        <v>76.599999999999994</v>
      </c>
      <c r="B24" t="b">
        <v>1</v>
      </c>
      <c r="AC24" s="11">
        <v>102.0420046016682</v>
      </c>
      <c r="AD24" s="22"/>
      <c r="AE24" s="22"/>
      <c r="AF24" s="22"/>
      <c r="AG24" s="22"/>
      <c r="AH24" s="22"/>
      <c r="AI24" s="22"/>
      <c r="AJ24" s="22"/>
      <c r="AK24" s="22"/>
      <c r="AL24" s="22"/>
      <c r="AM24" s="22"/>
      <c r="AN24" s="22"/>
      <c r="AO24" s="22"/>
      <c r="AP24" s="22"/>
      <c r="AQ24" s="22"/>
      <c r="AR24" s="22"/>
      <c r="AS24" s="22"/>
      <c r="AT24" s="22"/>
      <c r="AU24" s="22"/>
      <c r="AV24" s="22"/>
      <c r="AW24" s="29"/>
      <c r="AY24" s="11">
        <v>5.4393160316667464</v>
      </c>
      <c r="AZ24" s="22"/>
      <c r="BA24" s="22"/>
      <c r="BB24" s="22"/>
      <c r="BC24" s="22"/>
      <c r="BD24" s="22"/>
      <c r="BE24" s="22"/>
      <c r="BF24" s="22"/>
      <c r="BG24" s="22"/>
      <c r="BH24" s="22"/>
      <c r="BI24" s="22"/>
      <c r="BJ24" s="22"/>
      <c r="BK24" s="22"/>
      <c r="BL24" s="22"/>
      <c r="BM24" s="22"/>
      <c r="BN24" s="22"/>
      <c r="BO24" s="22"/>
      <c r="BP24" s="22"/>
      <c r="BQ24" s="22"/>
      <c r="BR24" s="22"/>
      <c r="BS24" s="29"/>
    </row>
    <row r="25" spans="1:71" x14ac:dyDescent="0.25">
      <c r="A25">
        <v>76.2</v>
      </c>
      <c r="B25" t="b">
        <v>1</v>
      </c>
      <c r="AC25" s="11">
        <v>109.32357635893021</v>
      </c>
      <c r="AD25" s="22"/>
      <c r="AE25" s="22"/>
      <c r="AF25" s="22"/>
      <c r="AG25" s="22"/>
      <c r="AH25" s="22"/>
      <c r="AI25" s="22"/>
      <c r="AJ25" s="22"/>
      <c r="AK25" s="22"/>
      <c r="AL25" s="22"/>
      <c r="AM25" s="22"/>
      <c r="AN25" s="22"/>
      <c r="AO25" s="22"/>
      <c r="AP25" s="22"/>
      <c r="AQ25" s="22"/>
      <c r="AR25" s="22"/>
      <c r="AS25" s="22"/>
      <c r="AT25" s="22"/>
      <c r="AU25" s="22"/>
      <c r="AV25" s="22"/>
      <c r="AW25" s="29"/>
      <c r="AY25" s="11">
        <v>5.8277671767857999</v>
      </c>
      <c r="AZ25" s="22"/>
      <c r="BA25" s="22"/>
      <c r="BB25" s="22"/>
      <c r="BC25" s="22"/>
      <c r="BD25" s="22"/>
      <c r="BE25" s="22"/>
      <c r="BF25" s="22"/>
      <c r="BG25" s="22"/>
      <c r="BH25" s="22"/>
      <c r="BI25" s="22"/>
      <c r="BJ25" s="22"/>
      <c r="BK25" s="22"/>
      <c r="BL25" s="22"/>
      <c r="BM25" s="22"/>
      <c r="BN25" s="22"/>
      <c r="BO25" s="22"/>
      <c r="BP25" s="22"/>
      <c r="BQ25" s="22"/>
      <c r="BR25" s="22"/>
      <c r="BS25" s="29"/>
    </row>
    <row r="26" spans="1:71" x14ac:dyDescent="0.25">
      <c r="A26">
        <v>76.099999999999994</v>
      </c>
      <c r="B26" t="b">
        <v>1</v>
      </c>
      <c r="AC26" s="11">
        <v>116.60514811619223</v>
      </c>
      <c r="AD26" s="22"/>
      <c r="AE26" s="22"/>
      <c r="AF26" s="22"/>
      <c r="AG26" s="22"/>
      <c r="AH26" s="22"/>
      <c r="AI26" s="22"/>
      <c r="AJ26" s="22"/>
      <c r="AK26" s="22"/>
      <c r="AL26" s="22"/>
      <c r="AM26" s="22"/>
      <c r="AN26" s="22"/>
      <c r="AO26" s="22"/>
      <c r="AP26" s="22"/>
      <c r="AQ26" s="22"/>
      <c r="AR26" s="22"/>
      <c r="AS26" s="22"/>
      <c r="AT26" s="22"/>
      <c r="AU26" s="22"/>
      <c r="AV26" s="22"/>
      <c r="AW26" s="29"/>
      <c r="AY26" s="11">
        <v>6.2162183219048535</v>
      </c>
      <c r="AZ26" s="22"/>
      <c r="BA26" s="22"/>
      <c r="BB26" s="22"/>
      <c r="BC26" s="22"/>
      <c r="BD26" s="22"/>
      <c r="BE26" s="22"/>
      <c r="BF26" s="22"/>
      <c r="BG26" s="22"/>
      <c r="BH26" s="22"/>
      <c r="BI26" s="22"/>
      <c r="BJ26" s="22"/>
      <c r="BK26" s="22"/>
      <c r="BL26" s="22"/>
      <c r="BM26" s="22"/>
      <c r="BN26" s="22"/>
      <c r="BO26" s="22"/>
      <c r="BP26" s="22"/>
      <c r="BQ26" s="22"/>
      <c r="BR26" s="22"/>
      <c r="BS26" s="29"/>
    </row>
    <row r="27" spans="1:71" x14ac:dyDescent="0.25">
      <c r="A27">
        <v>75.3</v>
      </c>
      <c r="B27" t="b">
        <v>1</v>
      </c>
      <c r="AC27" s="11">
        <v>123.88671987345424</v>
      </c>
      <c r="AD27" s="22"/>
      <c r="AE27" s="22"/>
      <c r="AF27" s="22"/>
      <c r="AG27" s="22"/>
      <c r="AH27" s="22"/>
      <c r="AI27" s="22"/>
      <c r="AJ27" s="22"/>
      <c r="AK27" s="22"/>
      <c r="AL27" s="22"/>
      <c r="AM27" s="22"/>
      <c r="AN27" s="22"/>
      <c r="AO27" s="22"/>
      <c r="AP27" s="22"/>
      <c r="AQ27" s="22"/>
      <c r="AR27" s="22"/>
      <c r="AS27" s="22"/>
      <c r="AT27" s="22"/>
      <c r="AU27" s="22"/>
      <c r="AV27" s="22"/>
      <c r="AW27" s="29"/>
      <c r="AY27" s="11">
        <v>6.604669467023907</v>
      </c>
      <c r="AZ27" s="22"/>
      <c r="BA27" s="22"/>
      <c r="BB27" s="22"/>
      <c r="BC27" s="22"/>
      <c r="BD27" s="22"/>
      <c r="BE27" s="22"/>
      <c r="BF27" s="22"/>
      <c r="BG27" s="22"/>
      <c r="BH27" s="22"/>
      <c r="BI27" s="22"/>
      <c r="BJ27" s="22"/>
      <c r="BK27" s="22"/>
      <c r="BL27" s="22"/>
      <c r="BM27" s="22"/>
      <c r="BN27" s="22"/>
      <c r="BO27" s="22"/>
      <c r="BP27" s="22"/>
      <c r="BQ27" s="22"/>
      <c r="BR27" s="22"/>
      <c r="BS27" s="29"/>
    </row>
    <row r="28" spans="1:71" x14ac:dyDescent="0.25">
      <c r="A28">
        <v>75.900000000000006</v>
      </c>
      <c r="B28" t="b">
        <v>1</v>
      </c>
      <c r="AC28" s="11">
        <v>131.16829163071625</v>
      </c>
      <c r="AD28" s="22"/>
      <c r="AE28" s="22"/>
      <c r="AF28" s="22"/>
      <c r="AG28" s="22"/>
      <c r="AH28" s="22"/>
      <c r="AI28" s="22"/>
      <c r="AJ28" s="22"/>
      <c r="AK28" s="22"/>
      <c r="AL28" s="22"/>
      <c r="AM28" s="22"/>
      <c r="AN28" s="22"/>
      <c r="AO28" s="22"/>
      <c r="AP28" s="22"/>
      <c r="AQ28" s="22"/>
      <c r="AR28" s="22"/>
      <c r="AS28" s="22"/>
      <c r="AT28" s="22"/>
      <c r="AU28" s="22"/>
      <c r="AV28" s="22"/>
      <c r="AW28" s="29"/>
      <c r="AY28" s="11">
        <v>6.9931206121429605</v>
      </c>
      <c r="AZ28" s="22"/>
      <c r="BA28" s="22"/>
      <c r="BB28" s="22"/>
      <c r="BC28" s="22"/>
      <c r="BD28" s="22"/>
      <c r="BE28" s="22"/>
      <c r="BF28" s="22"/>
      <c r="BG28" s="22"/>
      <c r="BH28" s="22"/>
      <c r="BI28" s="22"/>
      <c r="BJ28" s="22"/>
      <c r="BK28" s="22"/>
      <c r="BL28" s="22"/>
      <c r="BM28" s="22"/>
      <c r="BN28" s="22"/>
      <c r="BO28" s="22"/>
      <c r="BP28" s="22"/>
      <c r="BQ28" s="22"/>
      <c r="BR28" s="22"/>
      <c r="BS28" s="29"/>
    </row>
    <row r="29" spans="1:71" x14ac:dyDescent="0.25">
      <c r="A29">
        <v>74.2</v>
      </c>
      <c r="B29" t="b">
        <v>1</v>
      </c>
      <c r="AC29" s="14">
        <v>138.44986338797827</v>
      </c>
      <c r="AD29" s="27"/>
      <c r="AE29" s="27"/>
      <c r="AF29" s="27"/>
      <c r="AG29" s="27"/>
      <c r="AH29" s="27"/>
      <c r="AI29" s="27"/>
      <c r="AJ29" s="27"/>
      <c r="AK29" s="27"/>
      <c r="AL29" s="27"/>
      <c r="AM29" s="27"/>
      <c r="AN29" s="27"/>
      <c r="AO29" s="27"/>
      <c r="AP29" s="27"/>
      <c r="AQ29" s="27"/>
      <c r="AR29" s="27"/>
      <c r="AS29" s="27"/>
      <c r="AT29" s="27"/>
      <c r="AU29" s="27"/>
      <c r="AV29" s="27"/>
      <c r="AW29" s="30"/>
      <c r="AY29" s="14">
        <v>7.3815717572620141</v>
      </c>
      <c r="AZ29" s="27"/>
      <c r="BA29" s="27"/>
      <c r="BB29" s="27"/>
      <c r="BC29" s="27"/>
      <c r="BD29" s="27"/>
      <c r="BE29" s="27"/>
      <c r="BF29" s="27"/>
      <c r="BG29" s="27"/>
      <c r="BH29" s="27"/>
      <c r="BI29" s="27"/>
      <c r="BJ29" s="27"/>
      <c r="BK29" s="27"/>
      <c r="BL29" s="27"/>
      <c r="BM29" s="27"/>
      <c r="BN29" s="27"/>
      <c r="BO29" s="27"/>
      <c r="BP29" s="27"/>
      <c r="BQ29" s="27"/>
      <c r="BR29" s="27"/>
      <c r="BS29" s="30"/>
    </row>
    <row r="30" spans="1:71" x14ac:dyDescent="0.25">
      <c r="A30">
        <v>73.5</v>
      </c>
      <c r="B30" t="b">
        <v>1</v>
      </c>
    </row>
    <row r="31" spans="1:71" x14ac:dyDescent="0.25">
      <c r="A31">
        <v>73</v>
      </c>
      <c r="B31" t="b">
        <v>1</v>
      </c>
    </row>
    <row r="32" spans="1:71" x14ac:dyDescent="0.25">
      <c r="A32">
        <v>72.8</v>
      </c>
      <c r="B32" t="b">
        <v>1</v>
      </c>
    </row>
    <row r="33" spans="1:2" x14ac:dyDescent="0.25">
      <c r="A33">
        <v>73.3</v>
      </c>
      <c r="B33" t="b">
        <v>1</v>
      </c>
    </row>
    <row r="34" spans="1:2" x14ac:dyDescent="0.25">
      <c r="A34">
        <v>73.599999999999994</v>
      </c>
      <c r="B34" t="b">
        <v>1</v>
      </c>
    </row>
    <row r="35" spans="1:2" x14ac:dyDescent="0.25">
      <c r="A35">
        <v>72.599999999999994</v>
      </c>
      <c r="B35" t="b">
        <v>1</v>
      </c>
    </row>
    <row r="36" spans="1:2" x14ac:dyDescent="0.25">
      <c r="A36">
        <v>75.599999999999994</v>
      </c>
      <c r="B36" t="b">
        <v>1</v>
      </c>
    </row>
    <row r="37" spans="1:2" x14ac:dyDescent="0.25">
      <c r="A37">
        <v>75.400000000000006</v>
      </c>
      <c r="B37" t="b">
        <v>1</v>
      </c>
    </row>
    <row r="38" spans="1:2" x14ac:dyDescent="0.25">
      <c r="A38">
        <v>75.3</v>
      </c>
      <c r="B38" t="b">
        <v>1</v>
      </c>
    </row>
    <row r="39" spans="1:2" x14ac:dyDescent="0.25">
      <c r="A39">
        <v>75.099999999999994</v>
      </c>
      <c r="B39" t="b">
        <v>1</v>
      </c>
    </row>
    <row r="40" spans="1:2" x14ac:dyDescent="0.25">
      <c r="A40">
        <v>74.900000000000006</v>
      </c>
      <c r="B40" t="b">
        <v>1</v>
      </c>
    </row>
    <row r="41" spans="1:2" x14ac:dyDescent="0.25">
      <c r="A41">
        <v>74.7</v>
      </c>
      <c r="B41" t="b">
        <v>1</v>
      </c>
    </row>
    <row r="42" spans="1:2" x14ac:dyDescent="0.25">
      <c r="A42">
        <v>74.400000000000006</v>
      </c>
      <c r="B42" t="b">
        <v>1</v>
      </c>
    </row>
    <row r="43" spans="1:2" x14ac:dyDescent="0.25">
      <c r="A43">
        <v>74.099999999999994</v>
      </c>
      <c r="B43" t="b">
        <v>1</v>
      </c>
    </row>
    <row r="44" spans="1:2" x14ac:dyDescent="0.25">
      <c r="A44">
        <v>73.8</v>
      </c>
      <c r="B44" t="b">
        <v>1</v>
      </c>
    </row>
    <row r="45" spans="1:2" x14ac:dyDescent="0.25">
      <c r="A45">
        <v>73.400000000000006</v>
      </c>
      <c r="B45" t="b">
        <v>1</v>
      </c>
    </row>
    <row r="46" spans="1:2" x14ac:dyDescent="0.25">
      <c r="A46">
        <v>72.900000000000006</v>
      </c>
      <c r="B46" t="b">
        <v>1</v>
      </c>
    </row>
    <row r="47" spans="1:2" x14ac:dyDescent="0.25">
      <c r="A47">
        <v>72.3</v>
      </c>
      <c r="B47" t="b">
        <v>1</v>
      </c>
    </row>
    <row r="48" spans="1:2"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t="str">
        <v/>
      </c>
      <c r="B628" t="b">
        <v>0</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t="str">
        <v/>
      </c>
      <c r="B773" t="b">
        <v>0</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t="str">
        <v/>
      </c>
      <c r="B1654" t="b">
        <v>0</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t="str">
        <v/>
      </c>
      <c r="B1719" t="b">
        <v>0</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t="str">
        <v/>
      </c>
      <c r="B1816" t="b">
        <v>0</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t="str">
        <v/>
      </c>
      <c r="B1913" t="b">
        <v>0</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t="str">
        <v/>
      </c>
      <c r="B1962" t="b">
        <v>0</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4">
    <mergeCell ref="G1:N1"/>
    <mergeCell ref="Q2:AA2"/>
    <mergeCell ref="AC3:AW3"/>
    <mergeCell ref="AY3:BS3"/>
  </mergeCells>
  <conditionalFormatting sqref="Q5:AA10">
    <cfRule type="expression" dxfId="24" priority="1" stopIfTrue="1">
      <formula>$Z5=MIN($Z$5:$Z$10)</formula>
    </cfRule>
  </conditionalFormatting>
  <conditionalFormatting sqref="AD7">
    <cfRule type="expression" dxfId="23" priority="2" stopIfTrue="1">
      <formula>OR($AD$8=1,$AD$8=20)</formula>
    </cfRule>
  </conditionalFormatting>
  <conditionalFormatting sqref="AD10:AW29">
    <cfRule type="colorScale" priority="4">
      <colorScale>
        <cfvo type="min"/>
        <cfvo type="percentile" val="50"/>
        <cfvo type="max"/>
        <color rgb="FF7BBE63"/>
        <color rgb="FF84EBFF"/>
        <color rgb="FF6B69F8"/>
      </colorScale>
    </cfRule>
  </conditionalFormatting>
  <conditionalFormatting sqref="AF7">
    <cfRule type="expression" dxfId="22" priority="3" stopIfTrue="1">
      <formula>OR($AC$8=1,$AC$8=20)</formula>
    </cfRule>
  </conditionalFormatting>
  <conditionalFormatting sqref="AZ7">
    <cfRule type="expression" dxfId="21" priority="5" stopIfTrue="1">
      <formula>OR($AZ$8=1,$AZ$8=20)</formula>
    </cfRule>
  </conditionalFormatting>
  <conditionalFormatting sqref="AZ10:BS29">
    <cfRule type="colorScale" priority="7">
      <colorScale>
        <cfvo type="min"/>
        <cfvo type="percentile" val="50"/>
        <cfvo type="max"/>
        <color rgb="FF7BBE63"/>
        <color rgb="FF84EBFF"/>
        <color rgb="FF6B69F8"/>
      </colorScale>
    </cfRule>
  </conditionalFormatting>
  <conditionalFormatting sqref="BB7">
    <cfRule type="expression" dxfId="20" priority="6" stopIfTrue="1">
      <formula>OR($AY$8=1,$AY$8=20)</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374ED-9D6B-4138-8888-17ADAC46F0E2}">
  <dimension ref="A1:A13"/>
  <sheetViews>
    <sheetView workbookViewId="0"/>
  </sheetViews>
  <sheetFormatPr defaultRowHeight="15" x14ac:dyDescent="0.25"/>
  <cols>
    <col min="1" max="1" width="110.7109375" customWidth="1"/>
  </cols>
  <sheetData>
    <row r="1" spans="1:1" x14ac:dyDescent="0.25">
      <c r="A1" s="5" t="s">
        <v>696</v>
      </c>
    </row>
    <row r="2" spans="1:1" ht="45" x14ac:dyDescent="0.25">
      <c r="A2" s="2" t="s">
        <v>697</v>
      </c>
    </row>
    <row r="3" spans="1:1" ht="30" x14ac:dyDescent="0.25">
      <c r="A3" s="2" t="s">
        <v>698</v>
      </c>
    </row>
    <row r="4" spans="1:1" ht="30" x14ac:dyDescent="0.25">
      <c r="A4" s="2" t="s">
        <v>699</v>
      </c>
    </row>
    <row r="6" spans="1:1" x14ac:dyDescent="0.25">
      <c r="A6" s="5" t="s">
        <v>700</v>
      </c>
    </row>
    <row r="7" spans="1:1" ht="30" x14ac:dyDescent="0.25">
      <c r="A7" s="2" t="s">
        <v>701</v>
      </c>
    </row>
    <row r="8" spans="1:1" x14ac:dyDescent="0.25">
      <c r="A8" s="2" t="s">
        <v>702</v>
      </c>
    </row>
    <row r="9" spans="1:1" x14ac:dyDescent="0.25">
      <c r="A9" s="5" t="s">
        <v>703</v>
      </c>
    </row>
    <row r="10" spans="1:1" ht="120" x14ac:dyDescent="0.25">
      <c r="A10" s="2" t="s">
        <v>704</v>
      </c>
    </row>
    <row r="12" spans="1:1" x14ac:dyDescent="0.25">
      <c r="A12" s="5" t="s">
        <v>705</v>
      </c>
    </row>
    <row r="13" spans="1:1" ht="105" x14ac:dyDescent="0.25">
      <c r="A13" s="2" t="s">
        <v>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4AE45-B890-4154-932F-B837D83B7AF7}">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707</v>
      </c>
      <c r="B1" s="21"/>
      <c r="C1" s="21"/>
      <c r="D1" s="21"/>
    </row>
    <row r="2" spans="1:4" ht="90" x14ac:dyDescent="0.25">
      <c r="A2" s="2" t="s">
        <v>708</v>
      </c>
    </row>
    <row r="4" spans="1:4" x14ac:dyDescent="0.25">
      <c r="A4" s="7" t="s">
        <v>709</v>
      </c>
      <c r="B4" s="6"/>
      <c r="C4" s="6"/>
      <c r="D4" s="6"/>
    </row>
    <row r="5" spans="1:4" x14ac:dyDescent="0.25">
      <c r="A5" s="7" t="s">
        <v>710</v>
      </c>
      <c r="B5" s="7" t="s">
        <v>711</v>
      </c>
      <c r="C5" s="7" t="s">
        <v>712</v>
      </c>
      <c r="D5" s="7" t="s">
        <v>713</v>
      </c>
    </row>
    <row r="6" spans="1:4" ht="45" x14ac:dyDescent="0.25">
      <c r="A6" s="2" t="s">
        <v>714</v>
      </c>
      <c r="B6" s="2" t="s">
        <v>715</v>
      </c>
      <c r="C6" s="2" t="s">
        <v>211</v>
      </c>
      <c r="D6" s="2" t="s">
        <v>716</v>
      </c>
    </row>
    <row r="7" spans="1:4" ht="60" x14ac:dyDescent="0.25">
      <c r="A7" s="2" t="s">
        <v>717</v>
      </c>
      <c r="B7" s="2" t="s">
        <v>718</v>
      </c>
      <c r="C7" s="2" t="s">
        <v>719</v>
      </c>
      <c r="D7" s="2" t="s">
        <v>720</v>
      </c>
    </row>
    <row r="8" spans="1:4" ht="45" x14ac:dyDescent="0.25">
      <c r="A8" s="2" t="s">
        <v>721</v>
      </c>
      <c r="B8" s="2" t="s">
        <v>715</v>
      </c>
      <c r="C8" s="2" t="s">
        <v>722</v>
      </c>
      <c r="D8" s="2" t="s">
        <v>723</v>
      </c>
    </row>
    <row r="10" spans="1:4" x14ac:dyDescent="0.25">
      <c r="A10" s="7" t="s">
        <v>724</v>
      </c>
      <c r="B10" s="6"/>
      <c r="C10" s="6"/>
      <c r="D10" s="6"/>
    </row>
    <row r="11" spans="1:4" x14ac:dyDescent="0.25">
      <c r="A11" s="7" t="s">
        <v>710</v>
      </c>
      <c r="B11" s="7" t="s">
        <v>711</v>
      </c>
      <c r="C11" s="7" t="s">
        <v>712</v>
      </c>
      <c r="D11" s="7" t="s">
        <v>713</v>
      </c>
    </row>
    <row r="12" spans="1:4" ht="60" x14ac:dyDescent="0.25">
      <c r="A12" s="2" t="s">
        <v>725</v>
      </c>
      <c r="B12" s="2" t="s">
        <v>715</v>
      </c>
      <c r="C12" s="2" t="s">
        <v>726</v>
      </c>
      <c r="D12" s="2" t="s">
        <v>727</v>
      </c>
    </row>
    <row r="13" spans="1:4" ht="180" x14ac:dyDescent="0.25">
      <c r="A13" s="2" t="s">
        <v>728</v>
      </c>
      <c r="B13" s="2" t="s">
        <v>729</v>
      </c>
      <c r="C13" s="2" t="s">
        <v>728</v>
      </c>
      <c r="D13" s="2" t="s">
        <v>730</v>
      </c>
    </row>
    <row r="14" spans="1:4" ht="60" x14ac:dyDescent="0.25">
      <c r="A14" s="2" t="s">
        <v>731</v>
      </c>
      <c r="B14" s="2" t="s">
        <v>732</v>
      </c>
      <c r="C14" s="2" t="s">
        <v>733</v>
      </c>
      <c r="D14" s="2" t="s">
        <v>734</v>
      </c>
    </row>
    <row r="15" spans="1:4" ht="75" x14ac:dyDescent="0.25">
      <c r="A15" s="2" t="s">
        <v>735</v>
      </c>
      <c r="B15" s="2" t="s">
        <v>729</v>
      </c>
      <c r="C15" s="2" t="s">
        <v>736</v>
      </c>
      <c r="D15" s="2" t="s">
        <v>737</v>
      </c>
    </row>
    <row r="17" spans="1:4" x14ac:dyDescent="0.25">
      <c r="A17" s="7" t="s">
        <v>738</v>
      </c>
      <c r="B17" s="6"/>
      <c r="C17" s="6"/>
      <c r="D17" s="6"/>
    </row>
    <row r="18" spans="1:4" x14ac:dyDescent="0.25">
      <c r="A18" s="7" t="s">
        <v>739</v>
      </c>
      <c r="B18" s="7" t="s">
        <v>740</v>
      </c>
      <c r="C18" s="7" t="s">
        <v>741</v>
      </c>
      <c r="D18" s="7" t="s">
        <v>742</v>
      </c>
    </row>
    <row r="19" spans="1:4" ht="30" x14ac:dyDescent="0.25">
      <c r="A19" s="2" t="s">
        <v>743</v>
      </c>
      <c r="B19" s="2" t="s">
        <v>744</v>
      </c>
      <c r="C19" s="2" t="s">
        <v>745</v>
      </c>
      <c r="D19" s="2" t="s">
        <v>746</v>
      </c>
    </row>
    <row r="20" spans="1:4" ht="30" x14ac:dyDescent="0.25">
      <c r="A20" s="2" t="s">
        <v>157</v>
      </c>
      <c r="B20" s="2" t="s">
        <v>747</v>
      </c>
      <c r="C20" s="2" t="s">
        <v>748</v>
      </c>
      <c r="D20" s="2" t="s">
        <v>749</v>
      </c>
    </row>
    <row r="21" spans="1:4" x14ac:dyDescent="0.25">
      <c r="A21" s="2" t="s">
        <v>750</v>
      </c>
      <c r="B21" s="2" t="s">
        <v>751</v>
      </c>
      <c r="C21" s="2" t="s">
        <v>752</v>
      </c>
      <c r="D21" s="2" t="s">
        <v>753</v>
      </c>
    </row>
    <row r="22" spans="1:4" ht="30" x14ac:dyDescent="0.25">
      <c r="A22" s="2" t="s">
        <v>754</v>
      </c>
      <c r="B22" s="2" t="s">
        <v>755</v>
      </c>
      <c r="C22" s="2" t="s">
        <v>756</v>
      </c>
      <c r="D22" s="2" t="s">
        <v>757</v>
      </c>
    </row>
    <row r="23" spans="1:4" x14ac:dyDescent="0.25">
      <c r="A23" s="2" t="s">
        <v>758</v>
      </c>
      <c r="B23" s="2" t="s">
        <v>759</v>
      </c>
      <c r="C23" s="2" t="s">
        <v>752</v>
      </c>
      <c r="D23" s="2" t="s">
        <v>760</v>
      </c>
    </row>
    <row r="24" spans="1:4" x14ac:dyDescent="0.25">
      <c r="A24" s="2" t="s">
        <v>761</v>
      </c>
      <c r="B24" s="2" t="s">
        <v>762</v>
      </c>
      <c r="C24" s="2" t="s">
        <v>752</v>
      </c>
      <c r="D24" s="2" t="s">
        <v>763</v>
      </c>
    </row>
    <row r="25" spans="1:4" x14ac:dyDescent="0.25">
      <c r="A25" s="2" t="s">
        <v>732</v>
      </c>
      <c r="B25" s="2" t="s">
        <v>764</v>
      </c>
      <c r="C25" s="2" t="s">
        <v>752</v>
      </c>
      <c r="D25" s="2" t="s">
        <v>765</v>
      </c>
    </row>
    <row r="26" spans="1:4" ht="30" x14ac:dyDescent="0.25">
      <c r="A26" s="2" t="s">
        <v>733</v>
      </c>
      <c r="B26" s="2" t="s">
        <v>766</v>
      </c>
      <c r="C26" s="2" t="s">
        <v>767</v>
      </c>
      <c r="D26" s="2" t="s">
        <v>768</v>
      </c>
    </row>
    <row r="27" spans="1:4" x14ac:dyDescent="0.25">
      <c r="A27" s="2" t="s">
        <v>728</v>
      </c>
      <c r="B27" s="2" t="s">
        <v>769</v>
      </c>
      <c r="C27" s="2" t="s">
        <v>770</v>
      </c>
      <c r="D27" s="2" t="s">
        <v>771</v>
      </c>
    </row>
    <row r="28" spans="1:4" ht="30" x14ac:dyDescent="0.25">
      <c r="A28" s="2" t="s">
        <v>725</v>
      </c>
      <c r="B28" s="2" t="s">
        <v>772</v>
      </c>
      <c r="C28" s="2" t="s">
        <v>773</v>
      </c>
      <c r="D28" s="2" t="s">
        <v>774</v>
      </c>
    </row>
    <row r="29" spans="1:4" x14ac:dyDescent="0.25">
      <c r="A29" s="2" t="s">
        <v>775</v>
      </c>
      <c r="B29" s="2" t="s">
        <v>776</v>
      </c>
      <c r="C29" s="2" t="s">
        <v>777</v>
      </c>
      <c r="D29" s="2" t="s">
        <v>778</v>
      </c>
    </row>
    <row r="31" spans="1:4" x14ac:dyDescent="0.25">
      <c r="A31" s="7" t="s">
        <v>779</v>
      </c>
      <c r="B31" s="6"/>
      <c r="C31" s="6"/>
    </row>
    <row r="32" spans="1:4" x14ac:dyDescent="0.25">
      <c r="A32" s="7" t="s">
        <v>780</v>
      </c>
      <c r="B32" s="7" t="s">
        <v>781</v>
      </c>
      <c r="C32" s="7" t="s">
        <v>782</v>
      </c>
    </row>
    <row r="33" spans="1:3" ht="120" x14ac:dyDescent="0.25">
      <c r="A33" s="2" t="s">
        <v>783</v>
      </c>
      <c r="B33" s="2" t="s">
        <v>784</v>
      </c>
      <c r="C33" s="2" t="s">
        <v>785</v>
      </c>
    </row>
    <row r="34" spans="1:3" ht="105" x14ac:dyDescent="0.25">
      <c r="A34" s="2" t="s">
        <v>786</v>
      </c>
      <c r="B34" s="2" t="s">
        <v>787</v>
      </c>
      <c r="C34" s="2" t="s">
        <v>788</v>
      </c>
    </row>
    <row r="35" spans="1:3" ht="120" x14ac:dyDescent="0.25">
      <c r="A35" s="2" t="s">
        <v>789</v>
      </c>
      <c r="B35" s="2" t="s">
        <v>790</v>
      </c>
      <c r="C35" s="2" t="s">
        <v>791</v>
      </c>
    </row>
    <row r="36" spans="1:3" ht="240" x14ac:dyDescent="0.25">
      <c r="A36" s="2" t="s">
        <v>792</v>
      </c>
      <c r="B36" s="2" t="s">
        <v>793</v>
      </c>
      <c r="C36" s="2" t="s">
        <v>794</v>
      </c>
    </row>
    <row r="37" spans="1:3" ht="150" x14ac:dyDescent="0.25">
      <c r="A37" s="2" t="s">
        <v>795</v>
      </c>
      <c r="B37" s="2" t="s">
        <v>796</v>
      </c>
      <c r="C37" s="2" t="s">
        <v>797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FD15C-CA19-4C99-B9F6-CBFC3C62E970}">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798</v>
      </c>
      <c r="B1" s="21"/>
      <c r="C1" s="21"/>
    </row>
    <row r="2" spans="1:3" x14ac:dyDescent="0.25">
      <c r="A2" s="36" t="s">
        <v>799</v>
      </c>
      <c r="B2" s="36" t="s">
        <v>800</v>
      </c>
      <c r="C2" s="36" t="s">
        <v>801</v>
      </c>
    </row>
    <row r="3" spans="1:3" ht="105" x14ac:dyDescent="0.25">
      <c r="A3" t="s">
        <v>802</v>
      </c>
      <c r="B3" s="37">
        <v>46189</v>
      </c>
      <c r="C3" s="2" t="s">
        <v>803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C834B-5874-43A1-9D51-AACE2E609CCD}">
  <dimension ref="A1:AH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804</v>
      </c>
      <c r="B1" s="3" t="s">
        <v>805</v>
      </c>
      <c r="D1" s="5" t="s">
        <v>807</v>
      </c>
      <c r="L1" s="5" t="s">
        <v>810</v>
      </c>
      <c r="U1" s="12" t="s">
        <v>834</v>
      </c>
      <c r="V1" s="16"/>
      <c r="X1" s="5" t="s">
        <v>844</v>
      </c>
    </row>
    <row r="2" spans="1:34" ht="60" x14ac:dyDescent="0.25">
      <c r="A2" s="2" t="s">
        <v>806</v>
      </c>
      <c r="B2" s="46" t="b">
        <v>1</v>
      </c>
      <c r="C2" s="2"/>
      <c r="D2" s="47"/>
      <c r="E2" s="47" t="s">
        <v>808</v>
      </c>
      <c r="F2" s="47" t="s">
        <v>809</v>
      </c>
      <c r="G2" s="47" t="s">
        <v>299</v>
      </c>
      <c r="H2" s="47" t="s">
        <v>305</v>
      </c>
      <c r="I2" s="47" t="s">
        <v>151</v>
      </c>
      <c r="J2" s="47" t="s">
        <v>157</v>
      </c>
      <c r="K2" s="2"/>
      <c r="L2" s="2"/>
      <c r="M2" s="2"/>
      <c r="N2" s="2"/>
      <c r="O2" s="2"/>
      <c r="P2" s="2"/>
      <c r="Q2" s="2"/>
      <c r="R2" s="2"/>
      <c r="S2" s="2"/>
      <c r="T2" s="2"/>
      <c r="U2" s="48" t="s">
        <v>835</v>
      </c>
      <c r="V2" s="49"/>
      <c r="W2" s="2"/>
      <c r="X2" s="47" t="s">
        <v>722</v>
      </c>
      <c r="Y2" s="50" t="s">
        <v>715</v>
      </c>
      <c r="Z2" s="50" t="s">
        <v>211</v>
      </c>
      <c r="AA2" s="50" t="s">
        <v>845</v>
      </c>
      <c r="AB2" s="50" t="s">
        <v>846</v>
      </c>
      <c r="AC2" s="50" t="s">
        <v>733</v>
      </c>
      <c r="AD2" s="50" t="s">
        <v>728</v>
      </c>
      <c r="AE2" s="50" t="s">
        <v>847</v>
      </c>
      <c r="AF2" s="50" t="s">
        <v>719</v>
      </c>
      <c r="AG2" s="50" t="s">
        <v>725</v>
      </c>
      <c r="AH2" s="50" t="s">
        <v>775</v>
      </c>
    </row>
    <row r="3" spans="1:34" x14ac:dyDescent="0.25">
      <c r="A3" t="str" cm="1">
        <f t="array" aca="1" ref="A3:A20" ca="1">Coefficient_Name_Col(All_Xs)</f>
        <v>Adult Mortality</v>
      </c>
      <c r="B3" s="31" t="b">
        <v>1</v>
      </c>
      <c r="D3" t="str" cm="1">
        <f t="array" aca="1" ref="D3:D20" ca="1">Coefficient_Name_Col(All_Xs,Ind_Var_Include)</f>
        <v>Adult Mortality</v>
      </c>
      <c r="E3" s="22" cm="1">
        <f t="array" ref="E3:E20">Pearson_R(x_s(),y,Regression_Sample_Include)</f>
        <v>-0.70252306230697348</v>
      </c>
      <c r="F3" s="22" cm="1">
        <f t="array" ref="F3:F20">Spearman_R(x_s(),y,Regression_Sample_Include)</f>
        <v>-0.65562080697254088</v>
      </c>
      <c r="G3" s="22" cm="1">
        <f t="array" ref="G3:G20">Skewness(x_s(),Regression_Sample_Include)</f>
        <v>1.2764291138226984</v>
      </c>
      <c r="H3" s="22" cm="1">
        <f t="array" ref="H3:H20">Kurtosis(x_s(),Regression_Sample_Include)</f>
        <v>2.4009445877439255</v>
      </c>
      <c r="I3" s="22" cm="1">
        <f t="array" ref="I3:I20">VIF(x_s(),Allow_Intercept,Regression_Sample_Include)</f>
        <v>1.7959837847979341</v>
      </c>
      <c r="J3" s="22" cm="1">
        <f t="array" ref="J3:J20">Tolerance(x_s(),Allow_Intercept,Regression_Sample_Include)</f>
        <v>0.55679790010604679</v>
      </c>
      <c r="L3" s="12" t="s">
        <v>811</v>
      </c>
      <c r="M3" s="16"/>
      <c r="O3" s="12" t="s">
        <v>816</v>
      </c>
      <c r="P3" s="16"/>
      <c r="U3" s="11" t="s">
        <v>836</v>
      </c>
      <c r="V3" s="18"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31" t="b">
        <v>1</v>
      </c>
      <c r="D4" t="str">
        <f ca="1"/>
        <v>infant deaths</v>
      </c>
      <c r="E4" s="22">
        <v>-0.16907380399959634</v>
      </c>
      <c r="F4" s="22">
        <v>-0.52145512663077931</v>
      </c>
      <c r="G4" s="22">
        <v>8.4773694116605309</v>
      </c>
      <c r="H4" s="22">
        <v>85.319968793192416</v>
      </c>
      <c r="I4" s="22">
        <v>212.1776986884056</v>
      </c>
      <c r="J4" s="22">
        <v>4.7130306633618169E-3</v>
      </c>
      <c r="L4" s="11" t="s">
        <v>812</v>
      </c>
      <c r="M4" s="18" cm="1">
        <f t="array" ref="M4">Multiple_R(x_s(),y,Allow_Intercept,Regression_Sample_Include)</f>
        <v>0.91363980575441461</v>
      </c>
      <c r="O4" s="11" t="s">
        <v>75</v>
      </c>
      <c r="P4" s="18" cm="1">
        <f t="array" ref="P4">PRESS(x_s(),y,Allow_Intercept,Regression_Sample_Include)</f>
        <v>21644.337291621447</v>
      </c>
      <c r="U4" s="11" t="s">
        <v>837</v>
      </c>
      <c r="V4" s="18">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31" t="b">
        <v>1</v>
      </c>
      <c r="D5" t="str">
        <f ca="1"/>
        <v>Alcohol</v>
      </c>
      <c r="E5" s="22">
        <v>0.4027183217273525</v>
      </c>
      <c r="F5" s="22">
        <v>0.45156709663151606</v>
      </c>
      <c r="G5" s="22">
        <v>0.66251839935723011</v>
      </c>
      <c r="H5" s="22">
        <v>-0.59110044260500194</v>
      </c>
      <c r="I5" s="22">
        <v>1.9383807427033666</v>
      </c>
      <c r="J5" s="22">
        <v>0.5158945185378534</v>
      </c>
      <c r="L5" s="11" t="s">
        <v>813</v>
      </c>
      <c r="M5" s="18" cm="1">
        <f t="array" ref="M5">R_squared(x_s(),y,Allow_Intercept,Regression_Sample_Include)</f>
        <v>0.83473769465896452</v>
      </c>
      <c r="O5" s="11" t="s">
        <v>750</v>
      </c>
      <c r="P5" s="18" cm="1">
        <f t="array" ref="P5">1-PRESS(x_s(),y,Allow_Intercept,Regression_Sample_Include)/SS_Total(y,Allow_Intercept,Regression_Sample_Include)</f>
        <v>0.830279509231025</v>
      </c>
      <c r="U5" s="11" t="s">
        <v>838</v>
      </c>
      <c r="V5" s="18">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31" t="b">
        <v>1</v>
      </c>
      <c r="D6" t="str">
        <f ca="1"/>
        <v>percentage expenditure</v>
      </c>
      <c r="E6" s="22">
        <v>0.40963082412504903</v>
      </c>
      <c r="F6" s="22">
        <v>0.57668637597311545</v>
      </c>
      <c r="G6" s="22">
        <v>4.9805739179663373</v>
      </c>
      <c r="H6" s="22">
        <v>30.992195235914028</v>
      </c>
      <c r="I6" s="22">
        <v>12.847294716102079</v>
      </c>
      <c r="J6" s="22">
        <v>7.7837398619544085E-2</v>
      </c>
      <c r="L6" s="11" t="s">
        <v>814</v>
      </c>
      <c r="M6" s="18" cm="1">
        <f t="array" ref="M6">Adjusted_R2(x_s(),y,Allow_Intercept,Regression_Sample_Include)</f>
        <v>0.83291271214599605</v>
      </c>
      <c r="O6" s="11" t="s">
        <v>817</v>
      </c>
      <c r="P6" s="18" cm="1">
        <f t="array" ref="P6">(DF_Regression(x_s())+IF(Allow_Intercept,1,0))/Observations(y,Regression_Sample_Include)</f>
        <v>1.1522134627046696E-2</v>
      </c>
      <c r="U6" s="11" t="s">
        <v>831</v>
      </c>
      <c r="V6" s="18">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31" t="b">
        <v>1</v>
      </c>
      <c r="D7" t="str">
        <f ca="1"/>
        <v>Hepatitis B</v>
      </c>
      <c r="E7" s="22">
        <v>0.19993527639757758</v>
      </c>
      <c r="F7" s="22">
        <v>0.29839199664291366</v>
      </c>
      <c r="G7" s="22">
        <v>-1.7933774066676584</v>
      </c>
      <c r="H7" s="22">
        <v>2.2314153470486389</v>
      </c>
      <c r="I7" s="22">
        <v>1.6518638507945069</v>
      </c>
      <c r="J7" s="22">
        <v>0.60537676850245492</v>
      </c>
      <c r="L7" s="11" t="s">
        <v>815</v>
      </c>
      <c r="M7" s="18" cm="1">
        <f t="array" ref="M7">SE_Regression(x_s(),y,Allow_Intercept,Regression_Sample_Include)</f>
        <v>3.5958213627434183</v>
      </c>
      <c r="O7" s="11" t="s">
        <v>80</v>
      </c>
      <c r="P7" s="18" cm="1">
        <f t="array" ref="P7">AIC(x_s(),y,Allow_Intercept,Regression_Sample_Include)</f>
        <v>4239.5791944720204</v>
      </c>
      <c r="U7" s="11" t="s">
        <v>832</v>
      </c>
      <c r="V7" s="18">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31" t="b">
        <v>1</v>
      </c>
      <c r="D8" t="str">
        <f ca="1"/>
        <v>Measles</v>
      </c>
      <c r="E8" s="22">
        <v>-6.8881222111176282E-2</v>
      </c>
      <c r="F8" s="22">
        <v>-0.24957375369248747</v>
      </c>
      <c r="G8" s="22">
        <v>7.9578377460109904</v>
      </c>
      <c r="H8" s="22">
        <v>74.67143971345466</v>
      </c>
      <c r="I8" s="22">
        <v>1.5141144309884405</v>
      </c>
      <c r="J8" s="22">
        <v>0.66045206328770178</v>
      </c>
      <c r="L8" s="14" t="s">
        <v>6</v>
      </c>
      <c r="M8" s="20" cm="1">
        <f t="array" ref="M8">Observations(y,Regression_Sample_Include)</f>
        <v>1649</v>
      </c>
      <c r="O8" s="11" t="s">
        <v>85</v>
      </c>
      <c r="P8" s="18" cm="1">
        <f t="array" ref="P8">BIC(x_s(),y,Allow_Intercept,Regression_Sample_Include)</f>
        <v>4342.3297566006531</v>
      </c>
      <c r="U8" s="14" t="s">
        <v>839</v>
      </c>
      <c r="V8" s="38">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31" t="b">
        <v>1</v>
      </c>
      <c r="D9" t="str">
        <f ca="1"/>
        <v>BMI</v>
      </c>
      <c r="E9" s="22">
        <v>0.54204158769157829</v>
      </c>
      <c r="F9" s="22">
        <v>0.5836370658786586</v>
      </c>
      <c r="G9" s="22">
        <v>-0.23360071764187307</v>
      </c>
      <c r="H9" s="22">
        <v>-1.2702262093966004</v>
      </c>
      <c r="I9" s="22">
        <v>1.7969198098458758</v>
      </c>
      <c r="J9" s="22">
        <v>0.55650786113030348</v>
      </c>
      <c r="O9" s="11" t="s">
        <v>90</v>
      </c>
      <c r="P9" s="18"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31" t="b">
        <v>1</v>
      </c>
      <c r="D10" t="str">
        <f ca="1"/>
        <v>under-five deaths</v>
      </c>
      <c r="E10" s="22">
        <v>-0.19226530105304498</v>
      </c>
      <c r="F10" s="22">
        <v>-0.5384373468110879</v>
      </c>
      <c r="G10" s="22">
        <v>8.3408629723813945</v>
      </c>
      <c r="H10" s="22">
        <v>82.187220775460347</v>
      </c>
      <c r="I10" s="22">
        <v>201.99931076514267</v>
      </c>
      <c r="J10" s="22">
        <v>4.9505119409177789E-3</v>
      </c>
      <c r="O10" s="14" t="s">
        <v>754</v>
      </c>
      <c r="P10" s="38" cm="1">
        <f t="array" ref="P10">QQ_Correlation(x_s(),y,Allow_Intercept,Regression_Sample_Include)</f>
        <v>0.99482008680564749</v>
      </c>
      <c r="U10" s="5" t="s">
        <v>840</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31" t="b">
        <v>1</v>
      </c>
      <c r="D11" t="str">
        <f ca="1"/>
        <v>Polio</v>
      </c>
      <c r="E11" s="22">
        <v>0.32729440310492808</v>
      </c>
      <c r="F11" s="22">
        <v>0.43534266254009202</v>
      </c>
      <c r="G11" s="22">
        <v>-2.3601768849724745</v>
      </c>
      <c r="H11" s="22">
        <v>5.0635507264435367</v>
      </c>
      <c r="I11" s="22">
        <v>1.7126197216980923</v>
      </c>
      <c r="J11" s="22">
        <v>0.58390078505488807</v>
      </c>
      <c r="U11" s="3" t="s">
        <v>841</v>
      </c>
      <c r="V11" s="3" t="s">
        <v>842</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31" t="b">
        <v>1</v>
      </c>
      <c r="D12" t="str">
        <f ca="1"/>
        <v>Total expenditure</v>
      </c>
      <c r="E12" s="22">
        <v>0.17471764064230411</v>
      </c>
      <c r="F12" s="22">
        <v>0.27107970455247493</v>
      </c>
      <c r="G12" s="22">
        <v>0.21336165862070411</v>
      </c>
      <c r="H12" s="22">
        <v>-1.0252562552346411E-2</v>
      </c>
      <c r="I12" s="22">
        <v>1.1185619729448348</v>
      </c>
      <c r="J12" s="22">
        <v>0.89400500301945984</v>
      </c>
      <c r="L12" s="3" t="s">
        <v>818</v>
      </c>
      <c r="M12" s="31">
        <v>0.05</v>
      </c>
      <c r="U12" t="s">
        <v>843</v>
      </c>
      <c r="V12" s="31">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31" t="b">
        <v>1</v>
      </c>
      <c r="D13" t="str">
        <f ca="1"/>
        <v>Diphtheria</v>
      </c>
      <c r="E13" s="22">
        <v>0.34133123426064216</v>
      </c>
      <c r="F13" s="22">
        <v>0.44819623351132853</v>
      </c>
      <c r="G13" s="22">
        <v>-2.4874916081791545</v>
      </c>
      <c r="H13" s="22">
        <v>5.8556393600326784</v>
      </c>
      <c r="I13" s="22">
        <v>2.0929357702033715</v>
      </c>
      <c r="J13" s="22">
        <v>0.47779774909328898</v>
      </c>
      <c r="L13" s="12" t="s">
        <v>819</v>
      </c>
      <c r="M13" s="13"/>
      <c r="N13" s="13"/>
      <c r="O13" s="13"/>
      <c r="P13" s="13"/>
      <c r="Q13" s="16"/>
      <c r="U13" t="str" cm="1">
        <f t="array" aca="1" ref="U13:U30" ca="1">Coefficient_Name_Col(All_Xs)</f>
        <v>Adult Mortality</v>
      </c>
      <c r="V13" s="32"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31" t="b">
        <v>1</v>
      </c>
      <c r="D14" t="str">
        <f ca="1"/>
        <v>HIV/AIDS</v>
      </c>
      <c r="E14" s="22">
        <v>-0.59223629259263988</v>
      </c>
      <c r="F14" s="22">
        <v>-0.72026469818695804</v>
      </c>
      <c r="G14" s="22">
        <v>4.9741755969625574</v>
      </c>
      <c r="H14" s="22">
        <v>27.751491599089142</v>
      </c>
      <c r="I14" s="22">
        <v>1.4820785003440076</v>
      </c>
      <c r="J14" s="22">
        <v>0.67472809285600488</v>
      </c>
      <c r="L14" s="40"/>
      <c r="M14" s="3" t="s">
        <v>820</v>
      </c>
      <c r="N14" s="3" t="s">
        <v>821</v>
      </c>
      <c r="O14" s="3" t="s">
        <v>822</v>
      </c>
      <c r="P14" s="3" t="s">
        <v>823</v>
      </c>
      <c r="Q14" s="43" t="s">
        <v>758</v>
      </c>
      <c r="U14" t="str">
        <f ca="1"/>
        <v>infant deaths</v>
      </c>
      <c r="V14" s="32"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31" t="b">
        <v>1</v>
      </c>
      <c r="D15" t="str">
        <f ca="1"/>
        <v>GDP</v>
      </c>
      <c r="E15" s="22">
        <v>0.44132180991356607</v>
      </c>
      <c r="F15" s="22">
        <v>0.57079636904265585</v>
      </c>
      <c r="G15" s="22">
        <v>4.5172974225641669</v>
      </c>
      <c r="H15" s="22">
        <v>28.015318265499179</v>
      </c>
      <c r="I15" s="22">
        <v>13.516874113156392</v>
      </c>
      <c r="J15" s="22">
        <v>7.3981601931667695E-2</v>
      </c>
      <c r="L15" s="11" t="s">
        <v>824</v>
      </c>
      <c r="M15" s="9" cm="1">
        <f t="array" ref="M15">DF_Regression(x_s())</f>
        <v>18</v>
      </c>
      <c r="N15" s="41" cm="1">
        <f t="array" ref="N15">SS_Regression(x_s(),y,Allow_Intercept,Regression_Sample_Include)</f>
        <v>106453.52326857558</v>
      </c>
      <c r="O15" s="41" cm="1">
        <f t="array" ref="O15">MS_Regression(x_s(),y,Allow_Intercept,Regression_Sample_Include)</f>
        <v>5914.0846260319768</v>
      </c>
      <c r="P15" s="41" cm="1">
        <f t="array" ref="P15">F_Stat(x_s(),y,Allow_Intercept,Regression_Sample_Include)</f>
        <v>457.3949003495888</v>
      </c>
      <c r="Q15" s="44" cm="1">
        <f t="array" ref="Q15">P_Value_F(x_s(),y,Allow_Intercept,Regression_Sample_Include)</f>
        <v>0</v>
      </c>
      <c r="U15" t="str">
        <f ca="1"/>
        <v>Alcohol</v>
      </c>
      <c r="V15" s="32"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31" t="b">
        <v>1</v>
      </c>
      <c r="D16" t="str">
        <f ca="1"/>
        <v>Population</v>
      </c>
      <c r="E16" s="22">
        <v>-2.2304977802841353E-2</v>
      </c>
      <c r="F16" s="22">
        <v>-7.9789533339711019E-2</v>
      </c>
      <c r="G16" s="22">
        <v>14.186299010071318</v>
      </c>
      <c r="H16" s="22">
        <v>230.16446135150653</v>
      </c>
      <c r="I16" s="22">
        <v>1.9433905318505209</v>
      </c>
      <c r="J16" s="22">
        <v>0.5145646145799565</v>
      </c>
      <c r="L16" s="11" t="s">
        <v>825</v>
      </c>
      <c r="M16" s="9" cm="1">
        <f t="array" ref="M16">DF_Residual(x_s(),y,Allow_Intercept,Regression_Sample_Include)</f>
        <v>1630</v>
      </c>
      <c r="N16" s="41" cm="1">
        <f t="array" ref="N16">SS_Residual(x_s(),y,Allow_Intercept,Regression_Sample_Include)</f>
        <v>21075.787974601953</v>
      </c>
      <c r="O16" s="41" cm="1">
        <f t="array" ref="O16">MS_Residual(x_s(),y,Allow_Intercept,Regression_Sample_Include)</f>
        <v>12.929931272761934</v>
      </c>
      <c r="Q16" s="35"/>
      <c r="U16" t="str">
        <f ca="1"/>
        <v>percentage expenditure</v>
      </c>
      <c r="V16" s="32"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31" t="b">
        <v>1</v>
      </c>
      <c r="D17" t="str">
        <f ca="1"/>
        <v>thinness 1-19 years</v>
      </c>
      <c r="E17" s="22">
        <v>-0.45783819334984405</v>
      </c>
      <c r="F17" s="22">
        <v>-0.61960046774864874</v>
      </c>
      <c r="G17" s="22">
        <v>1.8210735142413568</v>
      </c>
      <c r="H17" s="22">
        <v>4.1593458501427047</v>
      </c>
      <c r="I17" s="22">
        <v>7.6025617770389342</v>
      </c>
      <c r="J17" s="22">
        <v>0.13153461021785773</v>
      </c>
      <c r="L17" s="14" t="s">
        <v>826</v>
      </c>
      <c r="M17" s="15" cm="1">
        <f t="array" ref="M17">DF_Total(y,Allow_Intercept,Regression_Sample_Include)</f>
        <v>1648</v>
      </c>
      <c r="N17" s="42" cm="1">
        <f t="array" ref="N17">SS_Total(y,Allow_Intercept,Regression_Sample_Include)</f>
        <v>127529.31124317752</v>
      </c>
      <c r="O17" s="25"/>
      <c r="P17" s="25"/>
      <c r="Q17" s="45"/>
      <c r="U17" t="str">
        <f ca="1"/>
        <v>Hepatitis B</v>
      </c>
      <c r="V17" s="32"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31" t="b">
        <v>1</v>
      </c>
      <c r="D18" t="str">
        <f ca="1"/>
        <v>thinness 5-9 years</v>
      </c>
      <c r="E18" s="22">
        <v>-0.45750828676579908</v>
      </c>
      <c r="F18" s="22">
        <v>-0.62981654942690735</v>
      </c>
      <c r="G18" s="22">
        <v>1.8669799469852892</v>
      </c>
      <c r="H18" s="22">
        <v>4.5198333738580816</v>
      </c>
      <c r="I18" s="22">
        <v>7.5845186690958011</v>
      </c>
      <c r="J18" s="22">
        <v>0.13184752304383429</v>
      </c>
      <c r="U18" t="str">
        <f ca="1"/>
        <v>Measles</v>
      </c>
      <c r="V18" s="32"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31" t="b">
        <v>1</v>
      </c>
      <c r="D19" t="str">
        <f ca="1"/>
        <v>Income composition of resources</v>
      </c>
      <c r="E19" s="22">
        <v>0.72108259291729193</v>
      </c>
      <c r="F19" s="22">
        <v>0.84902333027593679</v>
      </c>
      <c r="G19" s="22">
        <v>-1.1552436094975105</v>
      </c>
      <c r="H19" s="22">
        <v>2.0611920694297563</v>
      </c>
      <c r="I19" s="22">
        <v>2.9714887896518474</v>
      </c>
      <c r="J19" s="22">
        <v>0.33653164147294812</v>
      </c>
      <c r="L19" s="5" t="s">
        <v>827</v>
      </c>
      <c r="U19" t="str">
        <f ca="1"/>
        <v>BMI</v>
      </c>
      <c r="V19" s="32"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31" t="b">
        <v>1</v>
      </c>
      <c r="D20" t="str">
        <f ca="1"/>
        <v>Schooling</v>
      </c>
      <c r="E20" s="22">
        <v>0.72763003232110479</v>
      </c>
      <c r="F20" s="22">
        <v>0.77476911930540282</v>
      </c>
      <c r="G20" s="22">
        <v>-0.12816419625645914</v>
      </c>
      <c r="H20" s="22">
        <v>4.5707552951051778E-2</v>
      </c>
      <c r="I20" s="22">
        <v>3.5129929693031889</v>
      </c>
      <c r="J20" s="22">
        <v>0.284657558024761</v>
      </c>
      <c r="L20" s="3"/>
      <c r="M20" s="3" t="s">
        <v>105</v>
      </c>
      <c r="N20" s="3" t="s">
        <v>828</v>
      </c>
      <c r="O20" s="3" t="s">
        <v>829</v>
      </c>
      <c r="P20" s="3" t="s">
        <v>830</v>
      </c>
      <c r="Q20" s="3" t="s">
        <v>831</v>
      </c>
      <c r="R20" s="3" t="s">
        <v>832</v>
      </c>
      <c r="S20" s="3" t="s">
        <v>833</v>
      </c>
      <c r="U20" t="str">
        <f ca="1"/>
        <v>under-five deaths</v>
      </c>
      <c r="V20" s="32"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39"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32"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39">
        <v>4.3051998381958088E-65</v>
      </c>
      <c r="Q22" s="8">
        <v>-1.8746566649532524E-2</v>
      </c>
      <c r="R22" s="8">
        <v>-1.5030493749834374E-2</v>
      </c>
      <c r="S22" s="8">
        <v>-0.24057618094742297</v>
      </c>
      <c r="U22" t="str">
        <f ca="1"/>
        <v>Total expenditure</v>
      </c>
      <c r="V22" s="32"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39">
        <v>4.2006946451565517E-18</v>
      </c>
      <c r="Q23" s="8">
        <v>7.2752544126122323E-2</v>
      </c>
      <c r="R23" s="8">
        <v>0.11463513153985054</v>
      </c>
      <c r="S23" s="8">
        <v>1.287126356467752</v>
      </c>
      <c r="U23" t="str">
        <f ca="1"/>
        <v>Diphtheria</v>
      </c>
      <c r="V23" s="32"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39">
        <v>7.5972069104877124E-2</v>
      </c>
      <c r="Q24" s="8">
        <v>-0.11438162922545544</v>
      </c>
      <c r="R24" s="8">
        <v>5.684939140577959E-3</v>
      </c>
      <c r="S24" s="8">
        <v>-2.4893018397719218E-2</v>
      </c>
      <c r="U24" t="str">
        <f ca="1"/>
        <v>HIV/AIDS</v>
      </c>
      <c r="V24" s="32"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39">
        <v>3.6522850199107303E-2</v>
      </c>
      <c r="Q25" s="8">
        <v>2.3706813899592165E-5</v>
      </c>
      <c r="R25" s="8">
        <v>7.3165843303129121E-4</v>
      </c>
      <c r="S25" s="8">
        <v>7.5530621677586937E-2</v>
      </c>
      <c r="U25" t="str">
        <f ca="1"/>
        <v>GDP</v>
      </c>
      <c r="V25" s="32"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39">
        <v>0.20945162853357524</v>
      </c>
      <c r="Q26" s="8">
        <v>-1.4303338212760683E-2</v>
      </c>
      <c r="R26" s="8">
        <v>3.1383388022199268E-3</v>
      </c>
      <c r="S26" s="8">
        <v>-1.6248803418587254E-2</v>
      </c>
      <c r="U26" t="str">
        <f ca="1"/>
        <v>Population</v>
      </c>
      <c r="V26" s="32"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39">
        <v>0.42532584916473692</v>
      </c>
      <c r="Q27" s="8">
        <v>-2.9813591937210667E-5</v>
      </c>
      <c r="R27" s="8">
        <v>1.2578915495769934E-5</v>
      </c>
      <c r="S27" s="8">
        <v>-9.8800052253192362E-3</v>
      </c>
      <c r="U27" t="str">
        <f ca="1"/>
        <v>thinness 1-19 years</v>
      </c>
      <c r="V27" s="32"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39">
        <v>2.9233529911097799E-8</v>
      </c>
      <c r="Q28" s="8">
        <v>2.1708597158189076E-2</v>
      </c>
      <c r="R28" s="8">
        <v>4.5287522651679797E-2</v>
      </c>
      <c r="S28" s="8">
        <v>7.5223542895789267E-2</v>
      </c>
      <c r="U28" t="str">
        <f ca="1"/>
        <v>thinness 5-9 years</v>
      </c>
      <c r="V28" s="32"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39">
        <v>2.1761040202951045E-19</v>
      </c>
      <c r="Q29" s="8">
        <v>-8.5628457585963783E-2</v>
      </c>
      <c r="R29" s="8">
        <v>-5.5311934643108449E-2</v>
      </c>
      <c r="S29" s="8">
        <v>-1.3049528649362432</v>
      </c>
      <c r="U29" t="str">
        <f ca="1"/>
        <v>Income composition of resources</v>
      </c>
      <c r="V29" s="32"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39">
        <v>0.12927810089588262</v>
      </c>
      <c r="Q30" s="8">
        <v>-2.2909179417385083E-3</v>
      </c>
      <c r="R30" s="8">
        <v>1.7963675727038352E-2</v>
      </c>
      <c r="S30" s="8">
        <v>1.9999362509341131E-2</v>
      </c>
      <c r="U30" t="str">
        <f ca="1"/>
        <v>Schooling</v>
      </c>
      <c r="V30" s="32"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39">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39">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39">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39">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39">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39">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39">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39">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39">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U13:U1048576">
    <cfRule type="expression" dxfId="12" priority="20">
      <formula>NOT(INDEX(_xlfn.TAKE(Ind_Var_Include,COLUMNS(All_Xs)),ROW()-ROW($U$13)+1))</formula>
    </cfRule>
  </conditionalFormatting>
  <conditionalFormatting sqref="AB3:AB1048576">
    <cfRule type="expression" dxfId="11" priority="8">
      <formula>AND(ISNUMBER(AB3),AB3&gt;2*$P$6)</formula>
    </cfRule>
    <cfRule type="expression" dxfId="10" priority="9">
      <formula>AND(ISNUMBER(AB3),AB3&gt;3*$P$6)</formula>
    </cfRule>
  </conditionalFormatting>
  <conditionalFormatting sqref="AC3:AC1048576">
    <cfRule type="expression" dxfId="9" priority="10">
      <formula>AND(ISNUMBER(AC3),ABS(AC3)&gt;2,ABS(AC3)&lt;3)</formula>
    </cfRule>
    <cfRule type="expression" dxfId="8" priority="11">
      <formula>AND(ISNUMBER(AC3),ABS(AC3)&gt;=3)</formula>
    </cfRule>
  </conditionalFormatting>
  <conditionalFormatting sqref="AD3:AD1048576">
    <cfRule type="expression" dxfId="7" priority="14">
      <formula>AND(ISNUMBER(AD3),AD3&gt;4/$M$8,AD3&lt;=0.9)</formula>
    </cfRule>
    <cfRule type="expression" dxfId="6" priority="15">
      <formula>AND(ISNUMBER(AD3),AD3&gt;0.9)</formula>
    </cfRule>
  </conditionalFormatting>
  <conditionalFormatting sqref="AF3:AF1048576">
    <cfRule type="expression" dxfId="5" priority="12">
      <formula>AND(ISNUMBER(AF3),ABS(AF3)&gt;2,ABS(AF3)&lt;3)</formula>
    </cfRule>
    <cfRule type="expression" dxfId="4" priority="13">
      <formula>AND(ISNUMBER(AF3),ABS(AF3)&gt;=3)</formula>
    </cfRule>
  </conditionalFormatting>
  <conditionalFormatting sqref="AG3:AG1048576">
    <cfRule type="expression" dxfId="3" priority="16">
      <formula>AND(ISNUMBER(AG3),AG3&gt;1.414,AG3&lt;=1.732)</formula>
    </cfRule>
    <cfRule type="expression" dxfId="2" priority="17">
      <formula>AND(ISNUMBER(AG3),AG3&gt;1.732)</formula>
    </cfRule>
  </conditionalFormatting>
  <conditionalFormatting sqref="AH3:AH1048576">
    <cfRule type="expression" dxfId="1" priority="18">
      <formula>AND(ISNUMBER(AH3),ABS(AH3)&gt;2*$M$7,ABS(AH3)&lt;=3*$M$7)</formula>
    </cfRule>
    <cfRule type="expression" dxfId="0" priority="19">
      <formula>AND(ISNUMBER(AH3),ABS(AH3)&gt;3*$M$7)</formula>
    </cfRule>
  </conditionalFormatting>
  <dataValidations count="1">
    <dataValidation type="list" allowBlank="1" showInputMessage="1" showErrorMessage="1" sqref="B2:B16000" xr:uid="{A807A57F-23E9-4C56-A3A3-CE36B79B5FCB}">
      <formula1>"TRUE,FALSE"</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Univariate</vt:lpstr>
      <vt:lpstr>Regression Instructions</vt:lpstr>
      <vt:lpstr>Diagnostic Guide</vt:lpstr>
      <vt:lpstr>Version History</vt:lpstr>
      <vt:lpstr>Regression</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2026-06-22T15:17:11Z</dcterms:created>
  <dcterms:modified xsi:type="dcterms:W3CDTF">2026-06-22T16:10:06Z</dcterms:modified>
</cp:coreProperties>
</file>