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cott\Claude_Code\CaddyAI\"/>
    </mc:Choice>
  </mc:AlternateContent>
  <xr:revisionPtr revIDLastSave="0" documentId="8_{8637D3D1-630D-4A0F-AA4E-FF90AAB0A75E}" xr6:coauthVersionLast="47" xr6:coauthVersionMax="47" xr10:uidLastSave="{00000000-0000-0000-0000-000000000000}"/>
  <bookViews>
    <workbookView xWindow="345" yWindow="345" windowWidth="24765" windowHeight="20295" xr2:uid="{4F176DCD-7B3F-4D51-85FF-42CC9C7216D1}"/>
  </bookViews>
  <sheets>
    <sheet name="Main" sheetId="1" r:id="rId1"/>
    <sheet name="Lookup" sheetId="3" r:id="rId2"/>
    <sheet name="display" sheetId="8" r:id="rId3"/>
    <sheet name="PlayerProfile" sheetId="9" r:id="rId4"/>
    <sheet name="Sheet1" sheetId="7" r:id="rId5"/>
    <sheet name="CaddyAI Excel Model v1" sheetId="6" r:id="rId6"/>
    <sheet name="PPM Excel Template (2)" sheetId="4" r:id="rId7"/>
    <sheet name="PPM Excel Template" sheetId="2" r:id="rId8"/>
    <sheet name="Short Game Shots" sheetId="5" r:id="rId9"/>
  </sheets>
  <definedNames>
    <definedName name="ExternalData_1" localSheetId="5" hidden="1">'CaddyAI Excel Model v1'!$A$1:$A$88</definedName>
    <definedName name="ExternalData_1" localSheetId="7" hidden="1">'PPM Excel Template'!$A$1:$I$59</definedName>
    <definedName name="ExternalData_1" localSheetId="8" hidden="1">'Short Game Shots'!$A$1:$M$20</definedName>
    <definedName name="ExternalData_2" localSheetId="6" hidden="1">'PPM Excel Template (2)'!$A$1:$A$74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49" i="1"/>
  <c r="P76" i="1"/>
  <c r="P77" i="1"/>
  <c r="P75" i="1"/>
  <c r="P74" i="1"/>
  <c r="P73" i="1"/>
  <c r="P72" i="1"/>
  <c r="P71" i="1"/>
  <c r="P70" i="1"/>
  <c r="P69" i="1"/>
  <c r="P67" i="1"/>
  <c r="P66" i="1"/>
  <c r="P65" i="1"/>
  <c r="P63" i="1"/>
  <c r="P62" i="1"/>
  <c r="P61" i="1"/>
  <c r="P68" i="1"/>
  <c r="P64" i="1"/>
  <c r="P60" i="1"/>
  <c r="P59" i="1"/>
  <c r="P58" i="1"/>
  <c r="P57" i="1"/>
  <c r="P56" i="1"/>
  <c r="P55" i="1"/>
  <c r="P54" i="1"/>
  <c r="P53" i="1"/>
  <c r="P51" i="1"/>
  <c r="P52" i="1"/>
  <c r="P50" i="1"/>
  <c r="P49" i="1"/>
  <c r="B19" i="1"/>
  <c r="B18" i="1"/>
  <c r="F63" i="1" s="1"/>
  <c r="B20" i="1"/>
  <c r="L50" i="1"/>
  <c r="M50" i="1"/>
  <c r="N50" i="1"/>
  <c r="L52" i="1"/>
  <c r="M52" i="1"/>
  <c r="N52" i="1"/>
  <c r="L51" i="1"/>
  <c r="M51" i="1"/>
  <c r="N51" i="1"/>
  <c r="L53" i="1"/>
  <c r="M53" i="1"/>
  <c r="N53" i="1"/>
  <c r="L54" i="1"/>
  <c r="M54" i="1"/>
  <c r="N54" i="1"/>
  <c r="L55" i="1"/>
  <c r="M55" i="1"/>
  <c r="N55" i="1"/>
  <c r="L56" i="1"/>
  <c r="M56" i="1"/>
  <c r="N56" i="1"/>
  <c r="L57" i="1"/>
  <c r="M57" i="1"/>
  <c r="N57" i="1"/>
  <c r="L58" i="1"/>
  <c r="M58" i="1"/>
  <c r="N58" i="1"/>
  <c r="L59" i="1"/>
  <c r="M59" i="1"/>
  <c r="N59" i="1"/>
  <c r="L60" i="1"/>
  <c r="M60" i="1"/>
  <c r="N60" i="1"/>
  <c r="L64" i="1"/>
  <c r="M64" i="1"/>
  <c r="N64" i="1"/>
  <c r="L68" i="1"/>
  <c r="M68" i="1"/>
  <c r="N68" i="1"/>
  <c r="L61" i="1"/>
  <c r="M61" i="1"/>
  <c r="N61" i="1"/>
  <c r="L62" i="1"/>
  <c r="M62" i="1"/>
  <c r="N62" i="1"/>
  <c r="L63" i="1"/>
  <c r="M63" i="1"/>
  <c r="N63" i="1"/>
  <c r="L65" i="1"/>
  <c r="M65" i="1"/>
  <c r="N65" i="1"/>
  <c r="L66" i="1"/>
  <c r="M66" i="1"/>
  <c r="N66" i="1"/>
  <c r="L67" i="1"/>
  <c r="M67" i="1"/>
  <c r="N67" i="1"/>
  <c r="L69" i="1"/>
  <c r="M69" i="1"/>
  <c r="N69" i="1"/>
  <c r="L70" i="1"/>
  <c r="M70" i="1"/>
  <c r="N70" i="1"/>
  <c r="L71" i="1"/>
  <c r="M71" i="1"/>
  <c r="N71" i="1"/>
  <c r="L72" i="1"/>
  <c r="M72" i="1"/>
  <c r="N72" i="1"/>
  <c r="L73" i="1"/>
  <c r="M73" i="1"/>
  <c r="N73" i="1"/>
  <c r="L74" i="1"/>
  <c r="M74" i="1"/>
  <c r="N74" i="1"/>
  <c r="L75" i="1"/>
  <c r="M75" i="1"/>
  <c r="N75" i="1"/>
  <c r="L77" i="1"/>
  <c r="M77" i="1"/>
  <c r="N77" i="1"/>
  <c r="L76" i="1"/>
  <c r="M76" i="1"/>
  <c r="N76" i="1"/>
  <c r="N49" i="1"/>
  <c r="M49" i="1"/>
  <c r="L49" i="1"/>
  <c r="J82" i="1" a="1"/>
  <c r="J82" i="1" s="1"/>
  <c r="H85" i="1"/>
  <c r="G85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G26" i="1"/>
  <c r="F26" i="1"/>
  <c r="A2" i="7"/>
  <c r="A1" i="7"/>
  <c r="B78" i="1"/>
  <c r="G64" i="1" l="1" a="1"/>
  <c r="G64" i="1" s="1"/>
  <c r="G72" i="1" a="1"/>
  <c r="G72" i="1" s="1"/>
  <c r="T72" i="1" s="1"/>
  <c r="X72" i="1" s="1"/>
  <c r="G56" i="1" a="1"/>
  <c r="G56" i="1" s="1"/>
  <c r="T56" i="1" s="1"/>
  <c r="X56" i="1" s="1"/>
  <c r="G55" i="1" a="1"/>
  <c r="G55" i="1" s="1"/>
  <c r="T55" i="1" s="1"/>
  <c r="W55" i="1" s="1"/>
  <c r="G63" i="1" a="1"/>
  <c r="G63" i="1" s="1"/>
  <c r="T63" i="1" s="1"/>
  <c r="Z63" i="1" s="1"/>
  <c r="G71" i="1" a="1"/>
  <c r="G71" i="1" s="1"/>
  <c r="T71" i="1" s="1"/>
  <c r="W71" i="1" s="1"/>
  <c r="G57" i="1" a="1"/>
  <c r="G57" i="1" s="1"/>
  <c r="T57" i="1" s="1"/>
  <c r="Z57" i="1" s="1"/>
  <c r="G50" i="1" a="1"/>
  <c r="G50" i="1" s="1"/>
  <c r="T50" i="1" s="1"/>
  <c r="AE50" i="1" s="1" a="1"/>
  <c r="AE50" i="1" s="1"/>
  <c r="G58" i="1" a="1"/>
  <c r="G58" i="1" s="1"/>
  <c r="G66" i="1" a="1"/>
  <c r="G66" i="1" s="1"/>
  <c r="T66" i="1" s="1"/>
  <c r="U66" i="1" s="1"/>
  <c r="G74" i="1" a="1"/>
  <c r="G74" i="1" s="1"/>
  <c r="T74" i="1" s="1"/>
  <c r="AE74" i="1" s="1" a="1"/>
  <c r="AE74" i="1" s="1"/>
  <c r="G65" i="1" a="1"/>
  <c r="G65" i="1" s="1"/>
  <c r="T65" i="1" s="1"/>
  <c r="AE65" i="1" s="1" a="1"/>
  <c r="AE65" i="1" s="1"/>
  <c r="G51" i="1" a="1"/>
  <c r="G51" i="1" s="1"/>
  <c r="T51" i="1" s="1"/>
  <c r="X51" i="1" s="1"/>
  <c r="G59" i="1" a="1"/>
  <c r="G59" i="1" s="1"/>
  <c r="T59" i="1" s="1"/>
  <c r="U59" i="1" s="1"/>
  <c r="G67" i="1" a="1"/>
  <c r="G67" i="1" s="1"/>
  <c r="T67" i="1" s="1"/>
  <c r="X67" i="1" s="1"/>
  <c r="G75" i="1" a="1"/>
  <c r="G75" i="1" s="1"/>
  <c r="T75" i="1" s="1"/>
  <c r="U75" i="1" s="1"/>
  <c r="G73" i="1" a="1"/>
  <c r="G73" i="1" s="1"/>
  <c r="T73" i="1" s="1"/>
  <c r="Z73" i="1" s="1"/>
  <c r="G52" i="1" a="1"/>
  <c r="G52" i="1" s="1"/>
  <c r="T52" i="1" s="1"/>
  <c r="U52" i="1" s="1"/>
  <c r="G60" i="1" a="1"/>
  <c r="G60" i="1" s="1"/>
  <c r="T60" i="1" s="1"/>
  <c r="X60" i="1" s="1"/>
  <c r="G68" i="1" a="1"/>
  <c r="G68" i="1" s="1"/>
  <c r="T68" i="1" s="1"/>
  <c r="AE68" i="1" s="1" a="1"/>
  <c r="AE68" i="1" s="1"/>
  <c r="G76" i="1" a="1"/>
  <c r="G76" i="1" s="1"/>
  <c r="T76" i="1" s="1"/>
  <c r="Z76" i="1" s="1"/>
  <c r="G53" i="1" a="1"/>
  <c r="G53" i="1" s="1"/>
  <c r="T53" i="1" s="1"/>
  <c r="Z53" i="1" s="1"/>
  <c r="G61" i="1" a="1"/>
  <c r="G61" i="1" s="1"/>
  <c r="T61" i="1" s="1"/>
  <c r="W61" i="1" s="1"/>
  <c r="G69" i="1" a="1"/>
  <c r="G69" i="1" s="1"/>
  <c r="T69" i="1" s="1"/>
  <c r="Z69" i="1" s="1"/>
  <c r="G77" i="1" a="1"/>
  <c r="G77" i="1" s="1"/>
  <c r="T77" i="1" s="1"/>
  <c r="X77" i="1" s="1"/>
  <c r="G49" i="1" a="1"/>
  <c r="G49" i="1" s="1"/>
  <c r="T49" i="1" s="1"/>
  <c r="X49" i="1" s="1"/>
  <c r="G54" i="1" a="1"/>
  <c r="G54" i="1" s="1"/>
  <c r="T54" i="1" s="1"/>
  <c r="AE54" i="1" s="1" a="1"/>
  <c r="AE54" i="1" s="1"/>
  <c r="G62" i="1" a="1"/>
  <c r="G62" i="1" s="1"/>
  <c r="T62" i="1" s="1"/>
  <c r="X62" i="1" s="1"/>
  <c r="G70" i="1" a="1"/>
  <c r="G70" i="1" s="1"/>
  <c r="T70" i="1" s="1"/>
  <c r="AE70" i="1" s="1" a="1"/>
  <c r="AE70" i="1" s="1"/>
  <c r="O64" i="1"/>
  <c r="O52" i="1"/>
  <c r="O72" i="1"/>
  <c r="O76" i="1"/>
  <c r="O49" i="1"/>
  <c r="O56" i="1"/>
  <c r="O50" i="1"/>
  <c r="O65" i="1"/>
  <c r="O58" i="1"/>
  <c r="O54" i="1"/>
  <c r="O69" i="1"/>
  <c r="O75" i="1"/>
  <c r="O71" i="1"/>
  <c r="O59" i="1"/>
  <c r="O57" i="1"/>
  <c r="O55" i="1"/>
  <c r="O61" i="1"/>
  <c r="O53" i="1"/>
  <c r="O62" i="1"/>
  <c r="O73" i="1"/>
  <c r="O66" i="1"/>
  <c r="O63" i="1"/>
  <c r="O68" i="1"/>
  <c r="O60" i="1"/>
  <c r="O51" i="1"/>
  <c r="T64" i="1"/>
  <c r="Z64" i="1" s="1"/>
  <c r="O74" i="1"/>
  <c r="O70" i="1"/>
  <c r="O67" i="1"/>
  <c r="O77" i="1"/>
  <c r="T58" i="1"/>
  <c r="AE58" i="1" s="1" a="1"/>
  <c r="AE58" i="1" s="1"/>
  <c r="F71" i="1"/>
  <c r="F61" i="1"/>
  <c r="F74" i="1"/>
  <c r="F72" i="1"/>
  <c r="F62" i="1"/>
  <c r="I66" i="1" a="1"/>
  <c r="I66" i="1" s="1"/>
  <c r="F70" i="1"/>
  <c r="F76" i="1"/>
  <c r="F69" i="1"/>
  <c r="F77" i="1"/>
  <c r="F67" i="1"/>
  <c r="F75" i="1"/>
  <c r="F66" i="1"/>
  <c r="F65" i="1"/>
  <c r="F73" i="1"/>
  <c r="H33" i="1" a="1"/>
  <c r="H33" i="1" s="1"/>
  <c r="H32" i="1" a="1"/>
  <c r="H32" i="1" s="1"/>
  <c r="I76" i="1" a="1"/>
  <c r="I76" i="1" s="1"/>
  <c r="I77" i="1" a="1"/>
  <c r="I77" i="1" s="1"/>
  <c r="I75" i="1" a="1"/>
  <c r="I75" i="1" s="1"/>
  <c r="I63" i="1" a="1"/>
  <c r="I63" i="1" s="1"/>
  <c r="I65" i="1" a="1"/>
  <c r="I65" i="1" s="1"/>
  <c r="H40" i="1" a="1"/>
  <c r="H40" i="1" s="1"/>
  <c r="H41" i="1" a="1"/>
  <c r="H41" i="1" s="1"/>
  <c r="H39" i="1" a="1"/>
  <c r="H39" i="1" s="1"/>
  <c r="H31" i="1" a="1"/>
  <c r="H31" i="1" s="1"/>
  <c r="I62" i="1" a="1"/>
  <c r="I62" i="1" s="1"/>
  <c r="I73" i="1" a="1"/>
  <c r="I73" i="1" s="1"/>
  <c r="I72" i="1" a="1"/>
  <c r="I72" i="1" s="1"/>
  <c r="I61" i="1" a="1"/>
  <c r="I61" i="1" s="1"/>
  <c r="I71" i="1" a="1"/>
  <c r="I71" i="1" s="1"/>
  <c r="H44" i="1" a="1"/>
  <c r="H44" i="1" s="1"/>
  <c r="H28" i="1" a="1"/>
  <c r="H28" i="1" s="1"/>
  <c r="I70" i="1" a="1"/>
  <c r="I70" i="1" s="1"/>
  <c r="H35" i="1" a="1"/>
  <c r="H35" i="1" s="1"/>
  <c r="H27" i="1" a="1"/>
  <c r="H27" i="1" s="1"/>
  <c r="I69" i="1" a="1"/>
  <c r="I69" i="1" s="1"/>
  <c r="I67" i="1" a="1"/>
  <c r="I67" i="1" s="1"/>
  <c r="I74" i="1" a="1"/>
  <c r="I74" i="1" s="1"/>
  <c r="H38" i="1" a="1"/>
  <c r="H38" i="1" s="1"/>
  <c r="H30" i="1" a="1"/>
  <c r="H30" i="1" s="1"/>
  <c r="H45" i="1" a="1"/>
  <c r="H45" i="1" s="1"/>
  <c r="H37" i="1" a="1"/>
  <c r="H37" i="1" s="1"/>
  <c r="H29" i="1" a="1"/>
  <c r="H29" i="1" s="1"/>
  <c r="H36" i="1" a="1"/>
  <c r="H36" i="1" s="1"/>
  <c r="H43" i="1" a="1"/>
  <c r="H43" i="1" s="1"/>
  <c r="H42" i="1" a="1"/>
  <c r="H42" i="1" s="1"/>
  <c r="H34" i="1" a="1"/>
  <c r="H34" i="1" s="1"/>
  <c r="H26" i="1" a="1"/>
  <c r="H26" i="1" s="1"/>
  <c r="J70" i="1" a="1"/>
  <c r="J70" i="1" s="1"/>
  <c r="Q70" i="1" s="1"/>
  <c r="J76" i="1" a="1"/>
  <c r="J76" i="1" s="1"/>
  <c r="Q76" i="1" s="1"/>
  <c r="J69" i="1" a="1"/>
  <c r="J69" i="1" s="1"/>
  <c r="Q69" i="1" s="1"/>
  <c r="J77" i="1" a="1"/>
  <c r="J77" i="1" s="1"/>
  <c r="Q77" i="1" s="1"/>
  <c r="J67" i="1" a="1"/>
  <c r="J67" i="1" s="1"/>
  <c r="Q67" i="1" s="1"/>
  <c r="J75" i="1" a="1"/>
  <c r="J75" i="1" s="1"/>
  <c r="Q75" i="1" s="1"/>
  <c r="J66" i="1" a="1"/>
  <c r="J66" i="1" s="1"/>
  <c r="Q66" i="1" s="1"/>
  <c r="J74" i="1" a="1"/>
  <c r="J74" i="1" s="1"/>
  <c r="Q74" i="1" s="1"/>
  <c r="J65" i="1" a="1"/>
  <c r="J65" i="1" s="1"/>
  <c r="Q65" i="1" s="1"/>
  <c r="J73" i="1" a="1"/>
  <c r="J73" i="1" s="1"/>
  <c r="Q73" i="1" s="1"/>
  <c r="J72" i="1" a="1"/>
  <c r="J72" i="1" s="1"/>
  <c r="Q72" i="1" s="1"/>
  <c r="J63" i="1" a="1"/>
  <c r="J63" i="1" s="1"/>
  <c r="Q63" i="1" s="1"/>
  <c r="J62" i="1" a="1"/>
  <c r="J62" i="1" s="1"/>
  <c r="Q62" i="1" s="1"/>
  <c r="J71" i="1" a="1"/>
  <c r="J71" i="1" s="1"/>
  <c r="Q71" i="1" s="1"/>
  <c r="J61" i="1" a="1"/>
  <c r="J61" i="1" s="1"/>
  <c r="Q61" i="1" s="1"/>
  <c r="E51" i="1"/>
  <c r="E56" i="1"/>
  <c r="E55" i="1"/>
  <c r="E54" i="1"/>
  <c r="I54" i="1" s="1" a="1"/>
  <c r="I54" i="1" s="1"/>
  <c r="E53" i="1"/>
  <c r="I53" i="1" s="1" a="1"/>
  <c r="I53" i="1" s="1"/>
  <c r="E52" i="1"/>
  <c r="E50" i="1"/>
  <c r="I50" i="1" s="1" a="1"/>
  <c r="I50" i="1" s="1"/>
  <c r="E64" i="1"/>
  <c r="I64" i="1" s="1" a="1"/>
  <c r="I64" i="1" s="1"/>
  <c r="E59" i="1"/>
  <c r="I59" i="1" s="1" a="1"/>
  <c r="I59" i="1" s="1"/>
  <c r="B21" i="1"/>
  <c r="E49" i="1"/>
  <c r="E68" i="1"/>
  <c r="E60" i="1"/>
  <c r="I60" i="1" s="1" a="1"/>
  <c r="I60" i="1" s="1"/>
  <c r="E58" i="1"/>
  <c r="E57" i="1"/>
  <c r="I57" i="1" s="1" a="1"/>
  <c r="I57" i="1" s="1"/>
  <c r="AD57" i="1" l="1" a="1"/>
  <c r="AD57" i="1" s="1"/>
  <c r="X57" i="1"/>
  <c r="AD73" i="1" a="1"/>
  <c r="AD73" i="1" s="1"/>
  <c r="U73" i="1"/>
  <c r="V73" i="1"/>
  <c r="Y73" i="1"/>
  <c r="AE73" i="1" a="1"/>
  <c r="AE73" i="1" s="1"/>
  <c r="W73" i="1"/>
  <c r="X73" i="1"/>
  <c r="AE57" i="1" a="1"/>
  <c r="AE57" i="1" s="1"/>
  <c r="Y57" i="1"/>
  <c r="W57" i="1"/>
  <c r="V57" i="1"/>
  <c r="U57" i="1"/>
  <c r="V63" i="1"/>
  <c r="AD63" i="1" a="1"/>
  <c r="AD63" i="1" s="1"/>
  <c r="W63" i="1"/>
  <c r="Y63" i="1"/>
  <c r="X63" i="1"/>
  <c r="AE63" i="1" a="1"/>
  <c r="AE63" i="1" s="1"/>
  <c r="U63" i="1"/>
  <c r="X55" i="1"/>
  <c r="AB55" i="1" s="1"/>
  <c r="U55" i="1"/>
  <c r="Y68" i="1"/>
  <c r="U72" i="1"/>
  <c r="W75" i="1"/>
  <c r="AE66" i="1" a="1"/>
  <c r="AE66" i="1" s="1"/>
  <c r="AD76" i="1" a="1"/>
  <c r="AD76" i="1" s="1"/>
  <c r="Y55" i="1"/>
  <c r="V56" i="1"/>
  <c r="AD56" i="1" a="1"/>
  <c r="AD56" i="1" s="1"/>
  <c r="V72" i="1"/>
  <c r="AD77" i="1" a="1"/>
  <c r="AD77" i="1" s="1"/>
  <c r="V50" i="1"/>
  <c r="Y49" i="1"/>
  <c r="W58" i="1"/>
  <c r="Y69" i="1"/>
  <c r="AE53" i="1" a="1"/>
  <c r="AE53" i="1" s="1"/>
  <c r="Y65" i="1"/>
  <c r="W66" i="1"/>
  <c r="V71" i="1"/>
  <c r="X69" i="1"/>
  <c r="AD66" i="1" a="1"/>
  <c r="AD66" i="1" s="1"/>
  <c r="V75" i="1"/>
  <c r="AA75" i="1" s="1"/>
  <c r="U56" i="1"/>
  <c r="Y67" i="1"/>
  <c r="X75" i="1"/>
  <c r="Z59" i="1"/>
  <c r="Y53" i="1"/>
  <c r="Y59" i="1"/>
  <c r="V59" i="1"/>
  <c r="AA59" i="1" s="1"/>
  <c r="X58" i="1"/>
  <c r="AD69" i="1" a="1"/>
  <c r="AD69" i="1" s="1"/>
  <c r="Z77" i="1"/>
  <c r="Z61" i="1"/>
  <c r="V58" i="1"/>
  <c r="U61" i="1"/>
  <c r="Z65" i="1"/>
  <c r="AD61" i="1" a="1"/>
  <c r="AD61" i="1" s="1"/>
  <c r="W52" i="1"/>
  <c r="Y56" i="1"/>
  <c r="Z56" i="1"/>
  <c r="V52" i="1"/>
  <c r="AA52" i="1" s="1"/>
  <c r="W69" i="1"/>
  <c r="Y76" i="1"/>
  <c r="W59" i="1"/>
  <c r="X59" i="1"/>
  <c r="V66" i="1"/>
  <c r="AA66" i="1" s="1"/>
  <c r="V76" i="1"/>
  <c r="V61" i="1"/>
  <c r="Y72" i="1"/>
  <c r="AE76" i="1" a="1"/>
  <c r="AE76" i="1" s="1"/>
  <c r="Z66" i="1"/>
  <c r="AE61" i="1" a="1"/>
  <c r="AE61" i="1" s="1"/>
  <c r="W67" i="1"/>
  <c r="AB67" i="1" s="1"/>
  <c r="AE60" i="1" a="1"/>
  <c r="AE60" i="1" s="1"/>
  <c r="V77" i="1"/>
  <c r="U62" i="1"/>
  <c r="AD70" i="1" a="1"/>
  <c r="AD70" i="1" s="1"/>
  <c r="AF70" i="1" s="1"/>
  <c r="X68" i="1"/>
  <c r="AD60" i="1" a="1"/>
  <c r="AD60" i="1" s="1"/>
  <c r="Z60" i="1"/>
  <c r="V65" i="1"/>
  <c r="W68" i="1"/>
  <c r="AE62" i="1" a="1"/>
  <c r="AE62" i="1" s="1"/>
  <c r="U71" i="1"/>
  <c r="Z70" i="1"/>
  <c r="AD50" i="1" a="1"/>
  <c r="AD50" i="1" s="1"/>
  <c r="AF50" i="1" s="1"/>
  <c r="AD68" i="1" a="1"/>
  <c r="AD68" i="1" s="1"/>
  <c r="AF68" i="1" s="1"/>
  <c r="Y77" i="1"/>
  <c r="AD53" i="1" a="1"/>
  <c r="AD53" i="1" s="1"/>
  <c r="W49" i="1"/>
  <c r="AB49" i="1" s="1"/>
  <c r="AE64" i="1" a="1"/>
  <c r="AE64" i="1" s="1"/>
  <c r="V74" i="1"/>
  <c r="Y61" i="1"/>
  <c r="U54" i="1"/>
  <c r="X65" i="1"/>
  <c r="Y70" i="1"/>
  <c r="Z50" i="1"/>
  <c r="AE71" i="1" a="1"/>
  <c r="AE71" i="1" s="1"/>
  <c r="W62" i="1"/>
  <c r="AB62" i="1" s="1"/>
  <c r="AD74" i="1" a="1"/>
  <c r="AD74" i="1" s="1"/>
  <c r="AF74" i="1" s="1"/>
  <c r="V62" i="1"/>
  <c r="V67" i="1"/>
  <c r="X61" i="1"/>
  <c r="AB61" i="1" s="1"/>
  <c r="U53" i="1"/>
  <c r="AD62" i="1" a="1"/>
  <c r="AD62" i="1" s="1"/>
  <c r="U68" i="1"/>
  <c r="Y50" i="1"/>
  <c r="AD71" i="1" a="1"/>
  <c r="AD71" i="1" s="1"/>
  <c r="AE52" i="1" a="1"/>
  <c r="AE52" i="1" s="1"/>
  <c r="W77" i="1"/>
  <c r="AB77" i="1" s="1"/>
  <c r="U65" i="1"/>
  <c r="Z62" i="1"/>
  <c r="U64" i="1"/>
  <c r="W65" i="1"/>
  <c r="U70" i="1"/>
  <c r="AE67" i="1" a="1"/>
  <c r="AE67" i="1" s="1"/>
  <c r="AD52" i="1" a="1"/>
  <c r="AD52" i="1" s="1"/>
  <c r="X53" i="1"/>
  <c r="Z74" i="1"/>
  <c r="U74" i="1"/>
  <c r="V60" i="1"/>
  <c r="U69" i="1"/>
  <c r="Y66" i="1"/>
  <c r="U49" i="1"/>
  <c r="X70" i="1"/>
  <c r="W53" i="1"/>
  <c r="Y74" i="1"/>
  <c r="Z54" i="1"/>
  <c r="AE75" i="1" a="1"/>
  <c r="AE75" i="1" s="1"/>
  <c r="W51" i="1"/>
  <c r="AB51" i="1" s="1"/>
  <c r="Y60" i="1"/>
  <c r="U51" i="1"/>
  <c r="X66" i="1"/>
  <c r="U76" i="1"/>
  <c r="AD67" i="1" a="1"/>
  <c r="AD67" i="1" s="1"/>
  <c r="X50" i="1"/>
  <c r="Z71" i="1"/>
  <c r="Y54" i="1"/>
  <c r="AD75" i="1" a="1"/>
  <c r="AD75" i="1" s="1"/>
  <c r="AE55" i="1" a="1"/>
  <c r="AE55" i="1" s="1"/>
  <c r="X76" i="1"/>
  <c r="AD58" i="1" a="1"/>
  <c r="AD58" i="1" s="1"/>
  <c r="AF58" i="1" s="1"/>
  <c r="Z51" i="1"/>
  <c r="AD64" i="1" a="1"/>
  <c r="AD64" i="1" s="1"/>
  <c r="U60" i="1"/>
  <c r="Z67" i="1"/>
  <c r="Y64" i="1"/>
  <c r="W70" i="1"/>
  <c r="Z52" i="1"/>
  <c r="AE72" i="1" a="1"/>
  <c r="AE72" i="1" s="1"/>
  <c r="AD55" i="1" a="1"/>
  <c r="AD55" i="1" s="1"/>
  <c r="W76" i="1"/>
  <c r="AD49" i="1" a="1"/>
  <c r="AD49" i="1" s="1"/>
  <c r="Z49" i="1"/>
  <c r="W60" i="1"/>
  <c r="AB60" i="1" s="1"/>
  <c r="Y51" i="1"/>
  <c r="Y62" i="1"/>
  <c r="U67" i="1"/>
  <c r="AE69" i="1" a="1"/>
  <c r="AE69" i="1" s="1"/>
  <c r="W50" i="1"/>
  <c r="Y71" i="1"/>
  <c r="AE51" i="1" a="1"/>
  <c r="AE51" i="1" s="1"/>
  <c r="X74" i="1"/>
  <c r="AE49" i="1" a="1"/>
  <c r="AE49" i="1" s="1"/>
  <c r="Z58" i="1"/>
  <c r="V54" i="1"/>
  <c r="AD54" i="1" a="1"/>
  <c r="AD54" i="1" s="1"/>
  <c r="AF54" i="1" s="1"/>
  <c r="W72" i="1"/>
  <c r="AB72" i="1" s="1"/>
  <c r="U77" i="1"/>
  <c r="X71" i="1"/>
  <c r="AB71" i="1" s="1"/>
  <c r="Y52" i="1"/>
  <c r="AD72" i="1" a="1"/>
  <c r="AD72" i="1" s="1"/>
  <c r="X54" i="1"/>
  <c r="Z75" i="1"/>
  <c r="Y58" i="1"/>
  <c r="V53" i="1"/>
  <c r="AE59" i="1" a="1"/>
  <c r="AE59" i="1" s="1"/>
  <c r="V68" i="1"/>
  <c r="AD65" i="1" a="1"/>
  <c r="AD65" i="1" s="1"/>
  <c r="AF65" i="1" s="1"/>
  <c r="X52" i="1"/>
  <c r="Z72" i="1"/>
  <c r="AD51" i="1" a="1"/>
  <c r="AD51" i="1" s="1"/>
  <c r="W74" i="1"/>
  <c r="Z55" i="1"/>
  <c r="AE77" i="1" a="1"/>
  <c r="AE77" i="1" s="1"/>
  <c r="AD59" i="1" a="1"/>
  <c r="AD59" i="1" s="1"/>
  <c r="V64" i="1"/>
  <c r="X64" i="1"/>
  <c r="V70" i="1"/>
  <c r="V55" i="1"/>
  <c r="U50" i="1"/>
  <c r="W54" i="1"/>
  <c r="Y75" i="1"/>
  <c r="AE56" i="1" a="1"/>
  <c r="AE56" i="1" s="1"/>
  <c r="V51" i="1"/>
  <c r="W64" i="1"/>
  <c r="V69" i="1"/>
  <c r="Z68" i="1"/>
  <c r="V49" i="1"/>
  <c r="W56" i="1"/>
  <c r="AB56" i="1" s="1"/>
  <c r="U58" i="1"/>
  <c r="H51" i="1"/>
  <c r="H60" i="1"/>
  <c r="H67" i="1"/>
  <c r="H77" i="1"/>
  <c r="H53" i="1"/>
  <c r="H64" i="1"/>
  <c r="H69" i="1"/>
  <c r="H76" i="1"/>
  <c r="H54" i="1"/>
  <c r="H68" i="1"/>
  <c r="H70" i="1"/>
  <c r="H49" i="1"/>
  <c r="H55" i="1"/>
  <c r="H61" i="1"/>
  <c r="H71" i="1"/>
  <c r="H75" i="1"/>
  <c r="H56" i="1"/>
  <c r="H62" i="1"/>
  <c r="H72" i="1"/>
  <c r="H66" i="1"/>
  <c r="H57" i="1"/>
  <c r="H63" i="1"/>
  <c r="H73" i="1"/>
  <c r="H59" i="1"/>
  <c r="H50" i="1"/>
  <c r="H58" i="1"/>
  <c r="H65" i="1"/>
  <c r="H74" i="1"/>
  <c r="H52" i="1"/>
  <c r="B90" i="1" a="1"/>
  <c r="B90" i="1" s="1"/>
  <c r="B89" i="1" a="1"/>
  <c r="B89" i="1" s="1"/>
  <c r="I52" i="1" a="1"/>
  <c r="I52" i="1" s="1"/>
  <c r="B91" i="1" a="1"/>
  <c r="B91" i="1" s="1"/>
  <c r="B92" i="1" a="1"/>
  <c r="B92" i="1" s="1"/>
  <c r="F56" i="1"/>
  <c r="F51" i="1"/>
  <c r="F58" i="1"/>
  <c r="F68" i="1"/>
  <c r="I51" i="1" a="1"/>
  <c r="I51" i="1" s="1"/>
  <c r="F54" i="1"/>
  <c r="F57" i="1"/>
  <c r="F60" i="1"/>
  <c r="I58" i="1" a="1"/>
  <c r="I58" i="1" s="1"/>
  <c r="F49" i="1"/>
  <c r="F59" i="1"/>
  <c r="F64" i="1"/>
  <c r="I56" i="1" a="1"/>
  <c r="I56" i="1" s="1"/>
  <c r="F50" i="1"/>
  <c r="I68" i="1" a="1"/>
  <c r="I68" i="1" s="1"/>
  <c r="F52" i="1"/>
  <c r="F53" i="1"/>
  <c r="I49" i="1" a="1"/>
  <c r="I49" i="1" s="1"/>
  <c r="F55" i="1"/>
  <c r="I55" i="1" a="1"/>
  <c r="I55" i="1" s="1"/>
  <c r="B22" i="1"/>
  <c r="J50" i="1" a="1"/>
  <c r="J50" i="1" s="1"/>
  <c r="Q50" i="1" s="1"/>
  <c r="J53" i="1" a="1"/>
  <c r="J53" i="1" s="1"/>
  <c r="Q53" i="1" s="1"/>
  <c r="J51" i="1" a="1"/>
  <c r="J51" i="1" s="1"/>
  <c r="Q51" i="1" s="1"/>
  <c r="J52" i="1" a="1"/>
  <c r="J52" i="1" s="1"/>
  <c r="Q52" i="1" s="1"/>
  <c r="J54" i="1" a="1"/>
  <c r="J54" i="1" s="1"/>
  <c r="Q54" i="1" s="1"/>
  <c r="J56" i="1" a="1"/>
  <c r="J56" i="1" s="1"/>
  <c r="Q56" i="1" s="1"/>
  <c r="J55" i="1" a="1"/>
  <c r="J55" i="1" s="1"/>
  <c r="Q55" i="1" s="1"/>
  <c r="J68" i="1" a="1"/>
  <c r="J68" i="1" s="1"/>
  <c r="Q68" i="1" s="1"/>
  <c r="J58" i="1" a="1"/>
  <c r="J58" i="1" s="1"/>
  <c r="Q58" i="1" s="1"/>
  <c r="J57" i="1" a="1"/>
  <c r="J57" i="1" s="1"/>
  <c r="Q57" i="1" s="1"/>
  <c r="J60" i="1" a="1"/>
  <c r="J60" i="1" s="1"/>
  <c r="Q60" i="1" s="1"/>
  <c r="J49" i="1" a="1"/>
  <c r="J49" i="1" s="1"/>
  <c r="Q49" i="1" s="1"/>
  <c r="J59" i="1" a="1"/>
  <c r="J59" i="1" s="1"/>
  <c r="Q59" i="1" s="1"/>
  <c r="J64" i="1" a="1"/>
  <c r="J64" i="1" s="1"/>
  <c r="Q64" i="1" s="1"/>
  <c r="AB57" i="1" l="1"/>
  <c r="AF73" i="1"/>
  <c r="AA73" i="1"/>
  <c r="AA57" i="1"/>
  <c r="AB63" i="1"/>
  <c r="AF57" i="1"/>
  <c r="AB73" i="1"/>
  <c r="AA63" i="1"/>
  <c r="AF63" i="1"/>
  <c r="AA55" i="1"/>
  <c r="AC55" i="1" s="1"/>
  <c r="AA56" i="1"/>
  <c r="AC56" i="1" s="1"/>
  <c r="AG56" i="1" s="1"/>
  <c r="AF56" i="1"/>
  <c r="AA50" i="1"/>
  <c r="AA61" i="1"/>
  <c r="AC61" i="1" s="1"/>
  <c r="AF66" i="1"/>
  <c r="AB75" i="1"/>
  <c r="AC75" i="1" s="1"/>
  <c r="AF60" i="1"/>
  <c r="AA72" i="1"/>
  <c r="AC72" i="1" s="1"/>
  <c r="AG72" i="1" s="1"/>
  <c r="AA60" i="1"/>
  <c r="AC60" i="1" s="1"/>
  <c r="AG60" i="1" s="1"/>
  <c r="AF61" i="1"/>
  <c r="AA64" i="1"/>
  <c r="AF76" i="1"/>
  <c r="AA62" i="1"/>
  <c r="AC62" i="1" s="1"/>
  <c r="AG62" i="1" s="1"/>
  <c r="AA51" i="1"/>
  <c r="AC51" i="1" s="1"/>
  <c r="AB58" i="1"/>
  <c r="AB74" i="1"/>
  <c r="AB50" i="1"/>
  <c r="AF51" i="1"/>
  <c r="AF55" i="1"/>
  <c r="AF67" i="1"/>
  <c r="AA53" i="1"/>
  <c r="AA77" i="1"/>
  <c r="AC77" i="1" s="1"/>
  <c r="AF53" i="1"/>
  <c r="AA54" i="1"/>
  <c r="AA76" i="1"/>
  <c r="AB52" i="1"/>
  <c r="AC52" i="1" s="1"/>
  <c r="AB66" i="1"/>
  <c r="AC66" i="1" s="1"/>
  <c r="AG66" i="1" s="1"/>
  <c r="AB59" i="1"/>
  <c r="AC59" i="1" s="1"/>
  <c r="AG59" i="1" s="1"/>
  <c r="AB70" i="1"/>
  <c r="AB69" i="1"/>
  <c r="AA49" i="1"/>
  <c r="AC49" i="1" s="1"/>
  <c r="AG49" i="1" s="1"/>
  <c r="AF59" i="1"/>
  <c r="AA74" i="1"/>
  <c r="AF77" i="1"/>
  <c r="AA69" i="1"/>
  <c r="AF69" i="1"/>
  <c r="AF49" i="1"/>
  <c r="AA68" i="1"/>
  <c r="AF71" i="1"/>
  <c r="AB76" i="1"/>
  <c r="AA70" i="1"/>
  <c r="AA67" i="1"/>
  <c r="AC67" i="1" s="1"/>
  <c r="AG67" i="1" s="1"/>
  <c r="AA71" i="1"/>
  <c r="AC71" i="1" s="1"/>
  <c r="AB65" i="1"/>
  <c r="AB64" i="1"/>
  <c r="AB54" i="1"/>
  <c r="AF62" i="1"/>
  <c r="AF72" i="1"/>
  <c r="AB53" i="1"/>
  <c r="AA65" i="1"/>
  <c r="AB68" i="1"/>
  <c r="AA58" i="1"/>
  <c r="AF64" i="1"/>
  <c r="AF75" i="1"/>
  <c r="AF52" i="1"/>
  <c r="K70" i="1"/>
  <c r="R70" i="1"/>
  <c r="R66" i="1"/>
  <c r="K66" i="1"/>
  <c r="K69" i="1"/>
  <c r="R69" i="1"/>
  <c r="K60" i="1"/>
  <c r="R60" i="1"/>
  <c r="R59" i="1"/>
  <c r="K59" i="1"/>
  <c r="R77" i="1"/>
  <c r="K77" i="1"/>
  <c r="R67" i="1"/>
  <c r="K67" i="1"/>
  <c r="K55" i="1"/>
  <c r="R55" i="1"/>
  <c r="K64" i="1"/>
  <c r="R64" i="1"/>
  <c r="K51" i="1"/>
  <c r="R51" i="1"/>
  <c r="R52" i="1"/>
  <c r="K52" i="1"/>
  <c r="K62" i="1"/>
  <c r="R62" i="1"/>
  <c r="K53" i="1"/>
  <c r="R53" i="1"/>
  <c r="R73" i="1"/>
  <c r="K73" i="1"/>
  <c r="R74" i="1"/>
  <c r="K74" i="1"/>
  <c r="K54" i="1"/>
  <c r="R54" i="1"/>
  <c r="R63" i="1"/>
  <c r="K63" i="1"/>
  <c r="K72" i="1"/>
  <c r="R72" i="1"/>
  <c r="R65" i="1"/>
  <c r="K65" i="1"/>
  <c r="K76" i="1"/>
  <c r="R76" i="1"/>
  <c r="K57" i="1"/>
  <c r="R57" i="1"/>
  <c r="K56" i="1"/>
  <c r="R56" i="1"/>
  <c r="K71" i="1"/>
  <c r="R71" i="1"/>
  <c r="R58" i="1"/>
  <c r="K58" i="1"/>
  <c r="R75" i="1"/>
  <c r="K75" i="1"/>
  <c r="K61" i="1"/>
  <c r="R61" i="1"/>
  <c r="K49" i="1"/>
  <c r="R49" i="1"/>
  <c r="K68" i="1"/>
  <c r="R68" i="1"/>
  <c r="R50" i="1"/>
  <c r="K50" i="1"/>
  <c r="AC57" i="1" l="1"/>
  <c r="AG57" i="1" s="1"/>
  <c r="AC63" i="1"/>
  <c r="AG63" i="1" s="1"/>
  <c r="AC73" i="1"/>
  <c r="AG73" i="1" s="1"/>
  <c r="AC50" i="1"/>
  <c r="AG50" i="1" s="1"/>
  <c r="AC58" i="1"/>
  <c r="AG58" i="1" s="1"/>
  <c r="AC74" i="1"/>
  <c r="AG74" i="1" s="1"/>
  <c r="AC69" i="1"/>
  <c r="AG69" i="1" s="1"/>
  <c r="AC64" i="1"/>
  <c r="AG64" i="1" s="1"/>
  <c r="AC70" i="1"/>
  <c r="AG70" i="1" s="1"/>
  <c r="AC53" i="1"/>
  <c r="AG53" i="1" s="1"/>
  <c r="AC76" i="1"/>
  <c r="AG76" i="1" s="1"/>
  <c r="AG77" i="1"/>
  <c r="AC68" i="1"/>
  <c r="AG68" i="1" s="1"/>
  <c r="AG61" i="1"/>
  <c r="AC54" i="1"/>
  <c r="AG52" i="1"/>
  <c r="AG55" i="1"/>
  <c r="AG71" i="1"/>
  <c r="AC65" i="1"/>
  <c r="AG65" i="1" s="1"/>
  <c r="AG51" i="1"/>
  <c r="AG75" i="1"/>
  <c r="C80" i="1"/>
  <c r="AG54" i="1" l="1"/>
  <c r="E81" i="1" s="1"/>
  <c r="B99" i="1" s="1"/>
  <c r="C99" i="1" l="1"/>
  <c r="H5" i="1"/>
  <c r="B81" i="1"/>
  <c r="G81" i="1" s="1"/>
  <c r="C81" i="1"/>
  <c r="D81" i="1"/>
  <c r="H6" i="1" s="1"/>
  <c r="B82" i="1" a="1"/>
  <c r="B82" i="1" s="1"/>
  <c r="B80" i="1"/>
  <c r="F81" i="1" l="1"/>
  <c r="G6" i="1"/>
  <c r="K83" i="1" a="1"/>
  <c r="K83" i="1" s="1"/>
  <c r="B86" i="1"/>
  <c r="C86" i="1"/>
  <c r="B93" i="1" a="1"/>
  <c r="B93" i="1" s="1"/>
  <c r="F2" i="1"/>
  <c r="E83" i="1"/>
  <c r="D99" i="1" s="1"/>
  <c r="D83" i="1"/>
  <c r="H18" i="1" s="1"/>
  <c r="C83" i="1"/>
  <c r="B83" i="1"/>
  <c r="F14" i="1" s="1"/>
  <c r="F83" i="1" l="1"/>
  <c r="H17" i="1"/>
  <c r="E99" i="1"/>
  <c r="B88" i="1" a="1"/>
  <c r="B88" i="1" s="1"/>
  <c r="B94" i="1" s="1"/>
  <c r="B87" i="1"/>
  <c r="C87" i="1"/>
  <c r="G18" i="1"/>
  <c r="G83" i="1"/>
  <c r="B95" i="1" l="1"/>
  <c r="F9" i="1" s="1"/>
  <c r="C88" i="1" a="1"/>
  <c r="C88" i="1" s="1"/>
  <c r="C94" i="1" s="1"/>
  <c r="C95" i="1" l="1"/>
  <c r="F2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12D980-D746-48E9-9B0E-55D3D34B9444}" keepAlive="1" name="Query - CaddyAI Excel Model v1" description="Connection to the 'CaddyAI Excel Model v1' query in the workbook." type="5" refreshedVersion="8" background="1" saveData="1">
    <dbPr connection="Provider=Microsoft.Mashup.OleDb.1;Data Source=$Workbook$;Location=&quot;CaddyAI Excel Model v1&quot;;Extended Properties=&quot;&quot;" command="SELECT * FROM [CaddyAI Excel Model v1]"/>
  </connection>
  <connection id="2" xr16:uid="{0C47A576-FC23-49FB-810B-2CAA6E059283}" keepAlive="1" name="Query - PPM Excel Template" description="Connection to the 'PPM Excel Template' query in the workbook." type="5" refreshedVersion="8" background="1" saveData="1">
    <dbPr connection="Provider=Microsoft.Mashup.OleDb.1;Data Source=$Workbook$;Location=&quot;PPM Excel Template&quot;;Extended Properties=&quot;&quot;" command="SELECT * FROM [PPM Excel Template]"/>
  </connection>
  <connection id="3" xr16:uid="{8FF7A5F2-0470-4574-B709-CADA721A4C91}" keepAlive="1" name="Query - PPM Excel Template (2)" description="Connection to the 'PPM Excel Template (2)' query in the workbook." type="5" refreshedVersion="8" background="1" saveData="1">
    <dbPr connection="Provider=Microsoft.Mashup.OleDb.1;Data Source=$Workbook$;Location=&quot;PPM Excel Template (2)&quot;;Extended Properties=&quot;&quot;" command="SELECT * FROM [PPM Excel Template (2)]"/>
  </connection>
  <connection id="4" xr16:uid="{6C621550-9F3C-4E35-A5DC-760BCCE595D2}" keepAlive="1" name="Query - Short Game Shots" description="Connection to the 'Short Game Shots' query in the workbook." type="5" refreshedVersion="8" background="1" saveData="1">
    <dbPr connection="Provider=Microsoft.Mashup.OleDb.1;Data Source=$Workbook$;Location=&quot;Short Game Shots&quot;;Extended Properties=&quot;&quot;" command="SELECT * FROM [Short Game Sho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<sst xmlns="http://schemas.openxmlformats.org/spreadsheetml/2006/main" count="1378" uniqueCount="622">
  <si>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</si>
  <si>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</si>
  <si>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</si>
  <si>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</si>
  <si>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</si>
  <si>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</si>
  <si>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</si>
  <si>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</si>
  <si>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</si>
  <si>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PPM Excel Template</t>
  </si>
  <si>
    <t/>
  </si>
  <si>
    <t>Inputs</t>
  </si>
  <si>
    <t>Value</t>
  </si>
  <si>
    <t>DistanceToHole (yds)</t>
  </si>
  <si>
    <t>152</t>
  </si>
  <si>
    <t>ElevationFt (ft)</t>
  </si>
  <si>
    <t>0</t>
  </si>
  <si>
    <t>WindSpeed (mph)</t>
  </si>
  <si>
    <t>WindDir ("head","tail","cross_left","cross_right")</t>
  </si>
  <si>
    <t>head</t>
  </si>
  <si>
    <t>Lie ("tee","fairway","light_rough","heavy_rough","sand","recovery")</t>
  </si>
  <si>
    <t>fairway</t>
  </si>
  <si>
    <t>Computed</t>
  </si>
  <si>
    <t>LiePenalty</t>
  </si>
  <si>
    <t>=IF(OR(B6="tee",B6="fairway"),0,IF(B6="light_rough",0.05,IF(B6="heavy_rough",0.10,IF(B6="sand",0.05,IF(B6="recovery",0.12,0)))))</t>
  </si>
  <si>
    <t>ElevAdj (yds)</t>
  </si>
  <si>
    <t>=B3/3</t>
  </si>
  <si>
    <t>WindAdj (yds)</t>
  </si>
  <si>
    <t>=IF(B5="head",0.5*B4,IF(B5="tail",-0.3*B4,0))</t>
  </si>
  <si>
    <t>TargetEff (yds)</t>
  </si>
  <si>
    <t>=B2 + B9 + B10</t>
  </si>
  <si>
    <t>NearGreen</t>
  </si>
  <si>
    <t>=OR(B11&lt;=60,B2&lt;=60)</t>
  </si>
  <si>
    <t>Hazards (optional; leave blank rows if none)</t>
  </si>
  <si>
    <t>Type</t>
  </si>
  <si>
    <t>StartYds</t>
  </si>
  <si>
    <t>ClearYds</t>
  </si>
  <si>
    <t>Risk(1–5)</t>
  </si>
  <si>
    <t>MinBand</t>
  </si>
  <si>
    <t>MaxBand</t>
  </si>
  <si>
    <t>=</t>
  </si>
  <si>
    <t>=MIN(B16,C16)</t>
  </si>
  <si>
    <t>=MAX(B16,C16)</t>
  </si>
  <si>
    <t>=MIN(B17,C17)</t>
  </si>
  <si>
    <t>=MAX(B17,C17)</t>
  </si>
  <si>
    <t>=MIN(B18,C18)</t>
  </si>
  <si>
    <t>=MAX(B18,C18)</t>
  </si>
  <si>
    <t>=MIN(B19,C19)</t>
  </si>
  <si>
    <t>=MAX(B19,C19)</t>
  </si>
  <si>
    <t>=MIN(B20,C20)</t>
  </si>
  <si>
    <t>=MAX(B20,C20)</t>
  </si>
  <si>
    <t>=MIN(B21,C21)</t>
  </si>
  <si>
    <t>=MAX(B21,C21)</t>
  </si>
  <si>
    <t>=MIN(B22,C22)</t>
  </si>
  <si>
    <t>=MAX(B22,C22)</t>
  </si>
  <si>
    <t>=MIN(B23,C23)</t>
  </si>
  <si>
    <t>=MAX(B23,C23)</t>
  </si>
  <si>
    <t>=MIN(B24,C24)</t>
  </si>
  <si>
    <t>=MAX(B24,C24)</t>
  </si>
  <si>
    <t>=MIN(B25,C25)</t>
  </si>
  <si>
    <t>=MAX(B25,C25)</t>
  </si>
  <si>
    <t>=MIN(B26,C26)</t>
  </si>
  <si>
    <t>=MAX(B26,C26)</t>
  </si>
  <si>
    <t>=MIN(B27,C27)</t>
  </si>
  <si>
    <t>=MAX(B27,C27)</t>
  </si>
  <si>
    <t>=MIN(B28,C28)</t>
  </si>
  <si>
    <t>=MAX(B28,C28)</t>
  </si>
  <si>
    <t>=MIN(B29,C29)</t>
  </si>
  <si>
    <t>=MAX(B29,C29)</t>
  </si>
  <si>
    <t>=MIN(B30,C30)</t>
  </si>
  <si>
    <t>=MAX(B30,C30)</t>
  </si>
  <si>
    <t>=MIN(B31,C31)</t>
  </si>
  <si>
    <t>=MAX(B31,C31)</t>
  </si>
  <si>
    <t>=MIN(B32,C32)</t>
  </si>
  <si>
    <t>=MAX(B32,C32)</t>
  </si>
  <si>
    <t>=MIN(B33,C33)</t>
  </si>
  <si>
    <t>=MAX(B33,C33)</t>
  </si>
  <si>
    <t>=MIN(B34,C34)</t>
  </si>
  <si>
    <t>=MAX(B34,C34)</t>
  </si>
  <si>
    <t>=MIN(B35,C35)</t>
  </si>
  <si>
    <t>=MAX(B35,C35)</t>
  </si>
  <si>
    <t>Clubs (enter carry for each; Expected auto-calculates)</t>
  </si>
  <si>
    <t>Club</t>
  </si>
  <si>
    <t>CarryYds</t>
  </si>
  <si>
    <t>BaseCarry</t>
  </si>
  <si>
    <t>Miss</t>
  </si>
  <si>
    <t>LeaveYds</t>
  </si>
  <si>
    <t>Penalty</t>
  </si>
  <si>
    <t>DisqWater</t>
  </si>
  <si>
    <t>Expected</t>
  </si>
  <si>
    <t>Driver</t>
  </si>
  <si>
    <t>245</t>
  </si>
  <si>
    <t>=IF(B42="","",B42*(1-$B$8))</t>
  </si>
  <si>
    <t>=IF(C42="","",ABS(C42-$B$11))</t>
  </si>
  <si>
    <t>=IF(C42="","",MAX(0,$B$11-C42))</t>
  </si>
  <si>
    <t>=IF(C42="","",SUMPRODUCT(($A$16:$A$35="bunker")*(C42&gt;=$E$16:$E$35)*(C42&lt;$F$16:$F$35)*(0.25*$D$16:$D$35)) + IF($B$12,SUMPRODUCT(($A$16:$A$35="greenside")*(C42&gt;=$E$16:$E$35)*(C42&lt;$F$16:$F$35)*(0.20*$D$16:$D$35)),0))</t>
  </si>
  <si>
    <t>=IF(C42="","",SUMPRODUCT(($A$16:$A$35="water")*(C42&gt;=$E$16:$E$35)*(C42&lt;$F$16:$F$35))&gt;0)</t>
  </si>
  <si>
    <t>=IF(C42="","",IF(G42,1E9,2.5+0.004*D42+F42))</t>
  </si>
  <si>
    <t>3w</t>
  </si>
  <si>
    <t>225</t>
  </si>
  <si>
    <t>=IF(B43="","",B43*(1-$B$8))</t>
  </si>
  <si>
    <t>=IF(C43="","",ABS(C43-$B$11))</t>
  </si>
  <si>
    <t>=IF(C43="","",MAX(0,$B$11-C43))</t>
  </si>
  <si>
    <t>=IF(C43="","",SUMPRODUCT(($A$16:$A$35="bunker")*(C43&gt;=$E$16:$E$35)*(C43&lt;$F$16:$F$35)*(0.25*$D$16:$D$35)) + IF($B$12,SUMPRODUCT(($A$16:$A$35="greenside")*(C43&gt;=$E$16:$E$35)*(C43&lt;$F$16:$F$35)*(0.20*$D$16:$D$35)),0))</t>
  </si>
  <si>
    <t>=IF(C43="","",SUMPRODUCT(($A$16:$A$35="water")*(C43&gt;=$E$16:$E$35)*(C43&lt;$F$16:$F$35))&gt;0)</t>
  </si>
  <si>
    <t>=IF(C43="","",IF(G43,1E9,2.5+0.004*D43+F43))</t>
  </si>
  <si>
    <t>5w</t>
  </si>
  <si>
    <t>210</t>
  </si>
  <si>
    <t>=IF(B44="","",B44*(1-$B$8))</t>
  </si>
  <si>
    <t>=IF(C44="","",ABS(C44-$B$11))</t>
  </si>
  <si>
    <t>=IF(C44="","",MAX(0,$B$11-C44))</t>
  </si>
  <si>
    <t>=IF(C44="","",SUMPRODUCT(($A$16:$A$35="bunker")*(C44&gt;=$E$16:$E$35)*(C44&lt;$F$16:$F$35)*(0.25*$D$16:$D$35)) + IF($B$12,SUMPRODUCT(($A$16:$A$35="greenside")*(C44&gt;=$E$16:$E$35)*(C44&lt;$F$16:$F$35)*(0.20*$D$16:$D$35)),0))</t>
  </si>
  <si>
    <t>=IF(C44="","",SUMPRODUCT(($A$16:$A$35="water")*(C44&gt;=$E$16:$E$35)*(C44&lt;$F$16:$F$35))&gt;0)</t>
  </si>
  <si>
    <t>=IF(C44="","",IF(G44,1E9,2.5+0.004*D44+F44))</t>
  </si>
  <si>
    <t>4i</t>
  </si>
  <si>
    <t>190</t>
  </si>
  <si>
    <t>=IF(B45="","",B45*(1-$B$8))</t>
  </si>
  <si>
    <t>=IF(C45="","",ABS(C45-$B$11))</t>
  </si>
  <si>
    <t>=IF(C45="","",MAX(0,$B$11-C45))</t>
  </si>
  <si>
    <t>=IF(C45="","",SUMPRODUCT(($A$16:$A$35="bunker")*(C45&gt;=$E$16:$E$35)*(C45&lt;$F$16:$F$35)*(0.25*$D$16:$D$35)) + IF($B$12,SUMPRODUCT(($A$16:$A$35="greenside")*(C45&gt;=$E$16:$E$35)*(C45&lt;$F$16:$F$35)*(0.20*$D$16:$D$35)),0))</t>
  </si>
  <si>
    <t>=IF(C45="","",SUMPRODUCT(($A$16:$A$35="water")*(C45&gt;=$E$16:$E$35)*(C45&lt;$F$16:$F$35))&gt;0)</t>
  </si>
  <si>
    <t>=IF(C45="","",IF(G45,1E9,2.5+0.004*D45+F45))</t>
  </si>
  <si>
    <t>5i</t>
  </si>
  <si>
    <t>175</t>
  </si>
  <si>
    <t>=IF(B46="","",B46*(1-$B$8))</t>
  </si>
  <si>
    <t>=IF(C46="","",ABS(C46-$B$11))</t>
  </si>
  <si>
    <t>=IF(C46="","",MAX(0,$B$11-C46))</t>
  </si>
  <si>
    <t>=IF(C46="","",SUMPRODUCT(($A$16:$A$35="bunker")*(C46&gt;=$E$16:$E$35)*(C46&lt;$F$16:$F$35)*(0.25*$D$16:$D$35)) + IF($B$12,SUMPRODUCT(($A$16:$A$35="greenside")*(C46&gt;=$E$16:$E$35)*(C46&lt;$F$16:$F$35)*(0.20*$D$16:$D$35)),0))</t>
  </si>
  <si>
    <t>=IF(C46="","",SUMPRODUCT(($A$16:$A$35="water")*(C46&gt;=$E$16:$E$35)*(C46&lt;$F$16:$F$35))&gt;0)</t>
  </si>
  <si>
    <t>=IF(C46="","",IF(G46,1E9,2.5+0.004*D46+F46))</t>
  </si>
  <si>
    <t>6i</t>
  </si>
  <si>
    <t>160</t>
  </si>
  <si>
    <t>=IF(B47="","",B47*(1-$B$8))</t>
  </si>
  <si>
    <t>=IF(C47="","",ABS(C47-$B$11))</t>
  </si>
  <si>
    <t>=IF(C47="","",MAX(0,$B$11-C47))</t>
  </si>
  <si>
    <t>=IF(C47="","",SUMPRODUCT(($A$16:$A$35="bunker")*(C47&gt;=$E$16:$E$35)*(C47&lt;$F$16:$F$35)*(0.25*$D$16:$D$35)) + IF($B$12,SUMPRODUCT(($A$16:$A$35="greenside")*(C47&gt;=$E$16:$E$35)*(C47&lt;$F$16:$F$35)*(0.20*$D$16:$D$35)),0))</t>
  </si>
  <si>
    <t>=IF(C47="","",SUMPRODUCT(($A$16:$A$35="water")*(C47&gt;=$E$16:$E$35)*(C47&lt;$F$16:$F$35))&gt;0)</t>
  </si>
  <si>
    <t>=IF(C47="","",IF(G47,1E9,2.5+0.004*D47+F47))</t>
  </si>
  <si>
    <t>7i</t>
  </si>
  <si>
    <t>145</t>
  </si>
  <si>
    <t>=IF(B48="","",B48*(1-$B$8))</t>
  </si>
  <si>
    <t>=IF(C48="","",ABS(C48-$B$11))</t>
  </si>
  <si>
    <t>=IF(C48="","",MAX(0,$B$11-C48))</t>
  </si>
  <si>
    <t>=IF(C48="","",SUMPRODUCT(($A$16:$A$35="bunker")*(C48&gt;=$E$16:$E$35)*(C48&lt;$F$16:$F$35)*(0.25*$D$16:$D$35)) + IF($B$12,SUMPRODUCT(($A$16:$A$35="greenside")*(C48&gt;=$E$16:$E$35)*(C48&lt;$F$16:$F$35)*(0.20*$D$16:$D$35)),0))</t>
  </si>
  <si>
    <t>=IF(C48="","",SUMPRODUCT(($A$16:$A$35="water")*(C48&gt;=$E$16:$E$35)*(C48&lt;$F$16:$F$35))&gt;0)</t>
  </si>
  <si>
    <t>=IF(C48="","",IF(G48,1E9,2.5+0.004*D48+F48))</t>
  </si>
  <si>
    <t>8i</t>
  </si>
  <si>
    <t>130</t>
  </si>
  <si>
    <t>=IF(B49="","",B49*(1-$B$8))</t>
  </si>
  <si>
    <t>=IF(C49="","",ABS(C49-$B$11))</t>
  </si>
  <si>
    <t>=IF(C49="","",MAX(0,$B$11-C49))</t>
  </si>
  <si>
    <t>=IF(C49="","",SUMPRODUCT(($A$16:$A$35="bunker")*(C49&gt;=$E$16:$E$35)*(C49&lt;$F$16:$F$35)*(0.25*$D$16:$D$35)) + IF($B$12,SUMPRODUCT(($A$16:$A$35="greenside")*(C49&gt;=$E$16:$E$35)*(C49&lt;$F$16:$F$35)*(0.20*$D$16:$D$35)),0))</t>
  </si>
  <si>
    <t>=IF(C49="","",SUMPRODUCT(($A$16:$A$35="water")*(C49&gt;=$E$16:$E$35)*(C49&lt;$F$16:$F$35))&gt;0)</t>
  </si>
  <si>
    <t>=IF(C49="","",IF(G49,1E9,2.5+0.004*D49+F49))</t>
  </si>
  <si>
    <t>9i</t>
  </si>
  <si>
    <t>115</t>
  </si>
  <si>
    <t>=IF(B50="","",B50*(1-$B$8))</t>
  </si>
  <si>
    <t>=IF(C50="","",ABS(C50-$B$11))</t>
  </si>
  <si>
    <t>=IF(C50="","",MAX(0,$B$11-C50))</t>
  </si>
  <si>
    <t>=IF(C50="","",SUMPRODUCT(($A$16:$A$35="bunker")*(C50&gt;=$E$16:$E$35)*(C50&lt;$F$16:$F$35)*(0.25*$D$16:$D$35)) + IF($B$12,SUMPRODUCT(($A$16:$A$35="greenside")*(C50&gt;=$E$16:$E$35)*(C50&lt;$F$16:$F$35)*(0.20*$D$16:$D$35)),0))</t>
  </si>
  <si>
    <t>=IF(C50="","",SUMPRODUCT(($A$16:$A$35="water")*(C50&gt;=$E$16:$E$35)*(C50&lt;$F$16:$F$35))&gt;0)</t>
  </si>
  <si>
    <t>=IF(C50="","",IF(G50,1E9,2.5+0.004*D50+F50))</t>
  </si>
  <si>
    <t>PW</t>
  </si>
  <si>
    <t>100</t>
  </si>
  <si>
    <t>=IF(B51="","",B51*(1-$B$8))</t>
  </si>
  <si>
    <t>=IF(C51="","",ABS(C51-$B$11))</t>
  </si>
  <si>
    <t>=IF(C51="","",MAX(0,$B$11-C51))</t>
  </si>
  <si>
    <t>=IF(C51="","",SUMPRODUCT(($A$16:$A$35="bunker")*(C51&gt;=$E$16:$E$35)*(C51&lt;$F$16:$F$35)*(0.25*$D$16:$D$35)) + IF($B$12,SUMPRODUCT(($A$16:$A$35="greenside")*(C51&gt;=$E$16:$E$35)*(C51&lt;$F$16:$F$35)*(0.20*$D$16:$D$35)),0))</t>
  </si>
  <si>
    <t>=IF(C51="","",SUMPRODUCT(($A$16:$A$35="water")*(C51&gt;=$E$16:$E$35)*(C51&lt;$F$16:$F$35))&gt;0)</t>
  </si>
  <si>
    <t>=IF(C51="","",IF(G51,1E9,2.5+0.004*D51+F51))</t>
  </si>
  <si>
    <t>GW</t>
  </si>
  <si>
    <t>85</t>
  </si>
  <si>
    <t>=IF(B52="","",B52*(1-$B$8))</t>
  </si>
  <si>
    <t>=IF(C52="","",ABS(C52-$B$11))</t>
  </si>
  <si>
    <t>=IF(C52="","",MAX(0,$B$11-C52))</t>
  </si>
  <si>
    <t>=IF(C52="","",SUMPRODUCT(($A$16:$A$35="bunker")*(C52&gt;=$E$16:$E$35)*(C52&lt;$F$16:$F$35)*(0.25*$D$16:$D$35)) + IF($B$12,SUMPRODUCT(($A$16:$A$35="greenside")*(C52&gt;=$E$16:$E$35)*(C52&lt;$F$16:$F$35)*(0.20*$D$16:$D$35)),0))</t>
  </si>
  <si>
    <t>=IF(C52="","",SUMPRODUCT(($A$16:$A$35="water")*(C52&gt;=$E$16:$E$35)*(C52&lt;$F$16:$F$35))&gt;0)</t>
  </si>
  <si>
    <t>=IF(C52="","",IF(G52,1E9,2.5+0.004*D52+F52))</t>
  </si>
  <si>
    <t>SW</t>
  </si>
  <si>
    <t>70</t>
  </si>
  <si>
    <t>=IF(B53="","",B53*(1-$B$8))</t>
  </si>
  <si>
    <t>=IF(C53="","",ABS(C53-$B$11))</t>
  </si>
  <si>
    <t>=IF(C53="","",MAX(0,$B$11-C53))</t>
  </si>
  <si>
    <t>=IF(C53="","",SUMPRODUCT(($A$16:$A$35="bunker")*(C53&gt;=$E$16:$E$35)*(C53&lt;$F$16:$F$35)*(0.25*$D$16:$D$35)) + IF($B$12,SUMPRODUCT(($A$16:$A$35="greenside")*(C53&gt;=$E$16:$E$35)*(C53&lt;$F$16:$F$35)*(0.20*$D$16:$D$35)),0))</t>
  </si>
  <si>
    <t>=IF(C53="","",SUMPRODUCT(($A$16:$A$35="water")*(C53&gt;=$E$16:$E$35)*(C53&lt;$F$16:$F$35))&gt;0)</t>
  </si>
  <si>
    <t>=IF(C53="","",IF(G53,1E9,2.5+0.004*D53+F53))</t>
  </si>
  <si>
    <t>LW</t>
  </si>
  <si>
    <t>55</t>
  </si>
  <si>
    <t>=IF(B54="","",B54*(1-$B$8))</t>
  </si>
  <si>
    <t>=IF(C54="","",ABS(C54-$B$11))</t>
  </si>
  <si>
    <t>=IF(C54="","",MAX(0,$B$11-C54))</t>
  </si>
  <si>
    <t>=IF(C54="","",SUMPRODUCT(($A$16:$A$35="bunker")*(C54&gt;=$E$16:$E$35)*(C54&lt;$F$16:$F$35)*(0.25*$D$16:$D$35)) + IF($B$12,SUMPRODUCT(($A$16:$A$35="greenside")*(C54&gt;=$E$16:$E$35)*(C54&lt;$F$16:$F$35)*(0.20*$D$16:$D$35)),0))</t>
  </si>
  <si>
    <t>=IF(C54="","",SUMPRODUCT(($A$16:$A$35="water")*(C54&gt;=$E$16:$E$35)*(C54&lt;$F$16:$F$35))&gt;0)</t>
  </si>
  <si>
    <t>=IF(C54="","",IF(G54,1E9,2.5+0.004*D54+F54))</t>
  </si>
  <si>
    <t>Summary</t>
  </si>
  <si>
    <t>Best Expected</t>
  </si>
  <si>
    <t>=MIN(H42:H54)</t>
  </si>
  <si>
    <t>Best Club</t>
  </si>
  <si>
    <t>=XLOOKUP(B56,H42:H54,A42:A54,"No club")</t>
  </si>
  <si>
    <t>WindDir</t>
  </si>
  <si>
    <t>Lie</t>
  </si>
  <si>
    <t xml:space="preserve">PPM Excel Template								</t>
  </si>
  <si>
    <t xml:space="preserve">								</t>
  </si>
  <si>
    <t xml:space="preserve">Inputs	Value							</t>
  </si>
  <si>
    <t xml:space="preserve">DistanceToHole (yds)	152							</t>
  </si>
  <si>
    <t xml:space="preserve">ElevationFt (ft)	0							</t>
  </si>
  <si>
    <t xml:space="preserve">WindSpeed (mph)	0							</t>
  </si>
  <si>
    <t xml:space="preserve">WindDir ("head","tail","cross_left","cross_right")	head							</t>
  </si>
  <si>
    <t xml:space="preserve">Lie ("tee","fairway","light_rough","heavy_rough","sand","recovery")	fairway							</t>
  </si>
  <si>
    <t xml:space="preserve">Computed							</t>
  </si>
  <si>
    <t xml:space="preserve">LiePenalty	=IF(OR(B6="tee",B6="fairway"),0,IF(B6="light_rough",0.05,IF(B6="heavy_rough",0.10,IF(B6="sand",0.05,IF(B6="recovery",0.12,0)))))							</t>
  </si>
  <si>
    <t xml:space="preserve">ElevAdj (yds)	=B3/3							</t>
  </si>
  <si>
    <t xml:space="preserve">WindAdj (yds)	=IF(B5="head",0.5*B4,IF(B5="tail",-0.3*B4,0))							</t>
  </si>
  <si>
    <t xml:space="preserve">TargetEff (yds)	=B2 + B9 + B10							</t>
  </si>
  <si>
    <t xml:space="preserve">NearGreen	=OR(B11&lt;=60,B2&lt;=60)							</t>
  </si>
  <si>
    <t xml:space="preserve">Aim Model (tunable)	Value	Notes						</t>
  </si>
  <si>
    <t xml:space="preserve">CrosswindCoeff (yds per mph per 100 yds)	0.6	Adjust if you prefer more/less wind hold						</t>
  </si>
  <si>
    <t xml:space="preserve">Hazards (optional; leave blank rows if none)									</t>
  </si>
  <si>
    <t>Type	Side	StartYds	ClearYds	Risk(1â€“5)	MinBand	MaxBand</t>
  </si>
  <si>
    <t xml:space="preserve">		=		=		=MIN(C16,D16)	=MAX(C16,D16)</t>
  </si>
  <si>
    <t xml:space="preserve">		=		=		=MIN(C17,D17)	=MAX(C17,D17)</t>
  </si>
  <si>
    <t xml:space="preserve">		=		=		=MIN(C18,D18)	=MAX(C18,D18)</t>
  </si>
  <si>
    <t xml:space="preserve">		=		=		=MIN(C19,D19)	=MAX(C19,D19)</t>
  </si>
  <si>
    <t xml:space="preserve">		=		=		=MIN(C20,D20)	=MAX(C20,D20)</t>
  </si>
  <si>
    <t xml:space="preserve">		=		=		=MIN(C21,D21)	=MAX(C21,D21)</t>
  </si>
  <si>
    <t xml:space="preserve">		=		=		=MIN(C22,D22)	=MAX(C22,D22)</t>
  </si>
  <si>
    <t xml:space="preserve">		=		=		=MIN(C23,D23)	=MAX(C23,D23)</t>
  </si>
  <si>
    <t xml:space="preserve">		=		=		=MIN(C24,D24)	=MAX(C24,D24)</t>
  </si>
  <si>
    <t xml:space="preserve">		=		=		=MIN(C25,D25)	=MAX(C25,D25)</t>
  </si>
  <si>
    <t xml:space="preserve">		=		=		=MIN(C26,D26)	=MAX(C26,D26)</t>
  </si>
  <si>
    <t xml:space="preserve">		=		=		=MIN(C27,D27)	=MAX(C27,D27)</t>
  </si>
  <si>
    <t xml:space="preserve">		=		=		=MIN(C28,D28)	=MAX(C28,D28)</t>
  </si>
  <si>
    <t xml:space="preserve">		=		=		=MIN(C29,D29)	=MAX(C29,D29)</t>
  </si>
  <si>
    <t xml:space="preserve">		=		=		=MIN(C30,D30)	=MAX(C30,D30)</t>
  </si>
  <si>
    <t xml:space="preserve">		=		=		=MIN(C31,D31)	=MAX(C31,D31)</t>
  </si>
  <si>
    <t xml:space="preserve">		=		=		=MIN(C32,D32)	=MAX(C32,D32)</t>
  </si>
  <si>
    <t xml:space="preserve">		=		=		=MIN(C33,D33)	=MAX(C33,D33)</t>
  </si>
  <si>
    <t xml:space="preserve">		=		=		=MIN(C34,D34)	=MAX(C34,D34)</t>
  </si>
  <si>
    <t xml:space="preserve">		=		=		=MIN(C35,D35)	=MAX(C35,D35)</t>
  </si>
  <si>
    <t xml:space="preserve">Clubs (enter carry for each; Expected auto-calculates)									</t>
  </si>
  <si>
    <t>Club	CarryYds	BaseCarry	Miss	LeaveYds	Penalty	DisqWater	Expected</t>
  </si>
  <si>
    <t>Driver	245	=IF(B42="","",B42*(1-$B$8))	=IF(C42="","",ABS(C42-$B$11))	=IF(C42="","",MAX(0,$B$11-C42))	=IF(C42="","",SUMPRODUCT(($A$16:$A$35="bunker")*(C42&gt;=$F$16:$F$35)*(C42&lt;$G$16:$G$35)*(0.25*$E$16:$E$35)) + IF($B$12,SUMPRODUCT(($A$16:$A$35="greenside")*(C42&gt;=$F$16:$F$35)*(C42&lt;$G$16:$G$35)*(0.20*$E$16:$E$35)),0))	=IF(C42="","",SUMPRODUCT(($A$16:$A$35="water")*(C42&gt;=$F$16:$F$35)*(C42&lt;$G$16:$G$35))&gt;0)	=IF(C42="","",IF(G42,1E9,2.5+0.004*D42+F42))</t>
  </si>
  <si>
    <t>3w	225	=IF(B43="","",B43*(1-$B$8))	=IF(C43="","",ABS(C43-$B$11))	=IF(C43="","",MAX(0,$B$11-C43))	=IF(C43="","",SUMPRODUCT(($A$16:$A$35="bunker")*(C43&gt;=$F$16:$F$35)*(C43&lt;$G$16:$G$35)*(0.25*$E$16:$E$35)) + IF($B$12,SUMPRODUCT(($A$16:$A$35="greenside")*(C43&gt;=$F$16:$F$35)*(C43&lt;$G$16:$G$35)*(0.20*$E$16:$E$35)),0))	=IF(C43="","",SUMPRODUCT(($A$16:$A$35="water")*(C43&gt;=$F$16:$F$35)*(C43&lt;$G$16:$G$35))&gt;0)	=IF(C43="","",IF(G43,1E9,2.5+0.004*D43+F43))</t>
  </si>
  <si>
    <t>5w	210	=IF(B44="","",B44*(1-$B$8))	=IF(C44="","",ABS(C44-$B$11))	=IF(C44="","",MAX(0,$B$11-C44))	=IF(C44="","",SUMPRODUCT(($A$16:$A$35="bunker")*(C44&gt;=$F$16:$F$35)*(C44&lt;$G$16:$G$35)*(0.25*$E$16:$E$35)) + IF($B$12,SUMPRODUCT(($A$16:$A$35="greenside")*(C44&gt;=$F$16:$F$35)*(C44&lt;$G$16:$G$35)*(0.20*$E$16:$E$35)),0))	=IF(C44="","",SUMPRODUCT(($A$16:$A$35="water")*(C44&gt;=$F$16:$F$35)*(C44&lt;$G$16:$G$35))&gt;0)	=IF(C44="","",IF(G44,1E9,2.5+0.004*D44+F44))</t>
  </si>
  <si>
    <t>4i	190	=IF(B45="","",B45*(1-$B$8))	=IF(C45="","",ABS(C45-$B$11))	=IF(C45="","",MAX(0,$B$11-C45))	=IF(C45="","",SUMPRODUCT(($A$16:$A$35="bunker")*(C45&gt;=$F$16:$F$35)*(C45&lt;$G$16:$G$35)*(0.25*$E$16:$E$35)) + IF($B$12,SUMPRODUCT(($A$16:$A$35="greenside")*(C45&gt;=$F$16:$F$35)*(C45&lt;$G$16:$G$35)*(0.20*$E$16:$E$35)),0))	=IF(C45="","",SUMPRODUCT(($A$16:$A$35="water")*(C45&gt;=$F$16:$F$35)*(C45&lt;$G$16:$G$35))&gt;0)	=IF(C45="","",IF(G45,1E9,2.5+0.004*D45+F45))</t>
  </si>
  <si>
    <t>5i	175	=IF(B46="","",B46*(1-$B$8))	=IF(C46="","",ABS(C46-$B$11))	=IF(C46="","",MAX(0,$B$11-C46))	=IF(C46="","",SUMPRODUCT(($A$16:$A$35="bunker")*(C46&gt;=$F$16:$F$35)*(C46&lt;$G$16:$G$35)*(0.25*$E$16:$E$35)) + IF($B$12,SUMPRODUCT(($A$16:$A$35="greenside")*(C46&gt;=$F$16:$F$35)*(C46&lt;$G$16:$G$35)*(0.20*$E$16:$E$35)),0))	=IF(C46="","",SUMPRODUCT(($A$16:$A$35="water")*(C46&gt;=$F$16:$F$35)*(C46&lt;$G$16:$G$35))&gt;0)	=IF(C46="","",IF(G46,1E9,2.5+0.004*D46+F46))</t>
  </si>
  <si>
    <t>6i	160	=IF(B47="","",B47*(1-$B$8))	=IF(C47="","",ABS(C47-$B$11))	=IF(C47="","",MAX(0,$B$11-C47))	=IF(C47="","",SUMPRODUCT(($A$16:$A$35="bunker")*(C47&gt;=$F$16:$F$35)*(C47&lt;$G$16:$G$35)*(0.25*$E$16:$E$35)) + IF($B$12,SUMPRODUCT(($A$16:$A$35="greenside")*(C47&gt;=$F$16:$F$35)*(C47&lt;$G$16:$G$35)*(0.20*$E$16:$E$35)),0))	=IF(C47="","",SUMPRODUCT(($A$16:$A$35="water")*(C47&gt;=$F$16:$F$35)*(C47&lt;$G$16:$G$35))&gt;0)	=IF(C47="","",IF(G47,1E9,2.5+0.004*D47+F47))</t>
  </si>
  <si>
    <t>7i	145	=IF(B48="","",B48*(1-$B$8))	=IF(C48="","",ABS(C48-$B$11))	=IF(C48="","",MAX(0,$B$11-C48))	=IF(C48="","",SUMPRODUCT(($A$16:$A$35="bunker")*(C48&gt;=$F$16:$F$35)*(C48&lt;$G$16:$G$35)*(0.25*$E$16:$E$35)) + IF($B$12,SUMPRODUCT(($A$16:$A$35="greenside")*(C48&gt;=$F$16:$F$35)*(C48&lt;$G$16:$G$35)*(0.20*$E$16:$E$35)),0))	=IF(C48="","",SUMPRODUCT(($A$16:$A$35="water")*(C48&gt;=$F$16:$F$35)*(C48&lt;$G$16:$G$35))&gt;0)	=IF(C48="","",IF(G48,1E9,2.5+0.004*D48+F48))</t>
  </si>
  <si>
    <t>8i	130	=IF(B49="","",B49*(1-$B$8))	=IF(C49="","",ABS(C49-$B$11))	=IF(C49="","",MAX(0,$B$11-C49))	=IF(C49="","",SUMPRODUCT(($A$16:$A$35="bunker")*(C49&gt;=$F$16:$F$35)*(C49&lt;$G$16:$G$35)*(0.25*$E$16:$E$35)) + IF($B$12,SUMPRODUCT(($A$16:$A$35="greenside")*(C49&gt;=$F$16:$F$35)*(C49&lt;$G$16:$G$35)*(0.20*$E$16:$E$35)),0))	=IF(C49="","",SUMPRODUCT(($A$16:$A$35="water")*(C49&gt;=$F$16:$F$35)*(C49&lt;$G$16:$G$35))&gt;0)	=IF(C49="","",IF(G49,1E9,2.5+0.004*D49+F49))</t>
  </si>
  <si>
    <t>9i	115	=IF(B50="","",B50*(1-$B$8))	=IF(C50="","",ABS(C50-$B$11))	=IF(C50="","",MAX(0,$B$11-C50))	=IF(C50="","",SUMPRODUCT(($A$16:$A$35="bunker")*(C50&gt;=$F$16:$F$35)*(C50&lt;$G$16:$G$35)*(0.25*$E$16:$E$35)) + IF($B$12,SUMPRODUCT(($A$16:$A$35="greenside")*(C50&gt;=$F$16:$F$35)*(C50&lt;$G$16:$G$35)*(0.20*$E$16:$E$35)),0))	=IF(C50="","",SUMPRODUCT(($A$16:$A$35="water")*(C50&gt;=$F$16:$F$35)*(C50&lt;$G$16:$G$35))&gt;0)	=IF(C50="","",IF(G50,1E9,2.5+0.004*D50+F50))</t>
  </si>
  <si>
    <t>PW	100	=IF(B51="","",B51*(1-$B$8))	=IF(C51="","",ABS(C51-$B$11))	=IF(C51="","",MAX(0,$B$11-C51))	=IF(C51="","",SUMPRODUCT(($A$16:$A$35="bunker")*(C51&gt;=$F$16:$F$35)*(C51&lt;$G$16:$G$35)*(0.25*$E$16:$E$35)) + IF($B$12,SUMPRODUCT(($A$16:$A$35="greenside")*(C51&gt;=$F$16:$F$35)*(C51&lt;$G$16:$G$35)*(0.20*$E$16:$E$35)),0))	=IF(C51="","",SUMPRODUCT(($A$16:$A$35="water")*(C51&gt;=$F$16:$F$35)*(C51&lt;$G$16:$G$35))&gt;0)	=IF(C51="","",IF(G51,1E9,2.5+0.004*D51+F51))</t>
  </si>
  <si>
    <t>GW	85	=IF(B52="","",B52*(1-$B$8))	=IF(C52="","",ABS(C52-$B$11))	=IF(C52="","",MAX(0,$B$11-C52))	=IF(C52="","",SUMPRODUCT(($A$16:$A$35="bunker")*(C52&gt;=$F$16:$F$35)*(C52&lt;$G$16:$G$35)*(0.25*$E$16:$E$35)) + IF($B$12,SUMPRODUCT(($A$16:$A$35="greenside")*(C52&gt;=$F$16:$F$35)*(C52&lt;$G$16:$G$35)*(0.20*$E$16:$E$35)),0))	=IF(C52="","",SUMPRODUCT(($A$16:$A$35="water")*(C52&gt;=$F$16:$F$35)*(C52&lt;$G$16:$G$35))&gt;0)	=IF(C52="","",IF(G52,1E9,2.5+0.004*D52+F52))</t>
  </si>
  <si>
    <t>SW	70	=IF(B53="","",B53*(1-$B$8))	=IF(C53="","",ABS(C53-$B$11))	=IF(C53="","",MAX(0,$B$11-C53))	=IF(C53="","",SUMPRODUCT(($A$16:$A$35="bunker")*(C53&gt;=$F$16:$F$35)*(C53&lt;$G$16:$G$35)*(0.25*$E$16:$E$35)) + IF($B$12,SUMPRODUCT(($A$16:$A$35="greenside")*(C53&gt;=$F$16:$F$35)*(C53&lt;$G$16:$G$35)*(0.20*$E$16:$E$35)),0))	=IF(C53="","",SUMPRODUCT(($A$16:$A$35="water")*(C53&gt;=$F$16:$F$35)*(C53&lt;$G$16:$G$35))&gt;0)	=IF(C53="","",IF(G53,1E9,2.5+0.004*D53+F53))</t>
  </si>
  <si>
    <t>LW	55	=IF(B54="","",B54*(1-$B$8))	=IF(C54="","",ABS(C54-$B$11))	=IF(C54="","",MAX(0,$B$11-C54))	=IF(C54="","",SUMPRODUCT(($A$16:$A$35="bunker")*(C54&gt;=$F$16:$F$35)*(C54&lt;$G$16:$G$35)*(0.25*$E$16:$E$35)) + IF($B$12,SUMPRODUCT(($A$16:$A$35="greenside")*(C54&gt;=$F$16:$F$35)*(C54&lt;$G$16:$G$35)*(0.20*$E$16:$E$35)),0))	=IF(C54="","",SUMPRODUCT(($A$16:$A$35="water")*(C54&gt;=$F$16:$F$35)*(C54&lt;$G$16:$G$35))&gt;0)	=IF(C54="","",IF(G54,1E9,2.5+0.004*D54+F54))</t>
  </si>
  <si>
    <t xml:space="preserve">Summary	Value							</t>
  </si>
  <si>
    <t xml:space="preserve">Best Expected	=MIN(H42:H54)							</t>
  </si>
  <si>
    <t xml:space="preserve">Best Club	=XLOOKUP(B56,H42:H54,A42:A54,"No club")							</t>
  </si>
  <si>
    <t xml:space="preserve">Backup Expected	=SMALL(H42:H54,2)							</t>
  </si>
  <si>
    <t xml:space="preserve">Backup Club	=XLOOKUP(B58,H42:H54,A42:A54,"No club")							</t>
  </si>
  <si>
    <t xml:space="preserve">Aim Computation	Value	Notes						</t>
  </si>
  <si>
    <t xml:space="preserve">AimWindOffset (yds)	=IF(B5="cross_left",$B$14*B4*(B2/100),IF(B5="cross_right",- $B$14*B4*(B2/100),0))	+ left if wind is Lâ†’R, âˆ’ right if Râ†’L						</t>
  </si>
  <si>
    <t xml:space="preserve">LeftWaterFlag	=SUMPRODUCT(($A$16:$A$35="water")*(($B$16:$B$35="left")+($B$16:$B$35="front_left")+($B$16:$B$35="back_left"))*($B$11&gt;=$F$16:$F$35)*($B$11&lt;$G$16:$G$35))&gt;0							</t>
  </si>
  <si>
    <t xml:space="preserve">LeftBunkerOrGSFlag	=SUMPRODUCT((($A$16:$A$35="bunker")+($A$16:$A$35="greenside"))*(($B$16:$B$35="left")+($B$16:$B$35="front_left")+($B$16:$B$35="back_left"))*($B$11&gt;=$F$16:$F$35)*($B$11&lt;$G$16:$G$35))&gt;0							</t>
  </si>
  <si>
    <t xml:space="preserve">RightWaterFlag	=SUMPRODUCT(($A$16:$A$35="water")*(($B$16:$B$35="right")+($B$16:$B$35="front_right")+($B$16:$B$35="back_right"))*($B$11&gt;=$F$16:$F$35)*($B$11&lt;$G$16:$G$35))&gt;0							</t>
  </si>
  <si>
    <t xml:space="preserve">RightBunkerOrGSFlag	=SUMPRODUCT((($A$16:$A$35="bunker")+($A$16:$A$35="greenside"))*(($B$16:$B$35="right")+($B$16:$B$35="front_right")+($B$16:$B$35="back_right"))*($B$11&gt;=$F$16:$F$35)*($B$11&lt;$G$16:$G$35))&gt;0							</t>
  </si>
  <si>
    <t xml:space="preserve">AimHazardBias (yds)	=IF(B62,10,IF(B63,5,0)) - IF(B64,10,IF(B65,5,0))	+ left bias if left hazards near target; âˆ’ right if right hazards						</t>
  </si>
  <si>
    <t xml:space="preserve">AimTotalOffset (yds)	=B60 + B66	( + = aim LEFT; âˆ’ = aim RIGHT )						</t>
  </si>
  <si>
    <t xml:space="preserve">Aim Directive	=IF(B67&gt;0,"Aim LEFT "&amp;ROUND(B67,0)&amp;" yds",IF(B67&lt;0,"Aim RIGHT "&amp;ROUND(ABS(B67),0)&amp;" yds","Aim CENTER"))							</t>
  </si>
  <si>
    <t xml:space="preserve">Best Expected							</t>
  </si>
  <si>
    <t xml:space="preserve">Best Club							</t>
  </si>
  <si>
    <t xml:space="preserve">Backup Expected							</t>
  </si>
  <si>
    <t xml:space="preserve">Backup Club								</t>
  </si>
  <si>
    <t xml:space="preserve">LeftBunkerOrGSFlag								</t>
  </si>
  <si>
    <t xml:space="preserve">LeftWaterFlag			</t>
  </si>
  <si>
    <t>AimWindOffset (yds)</t>
  </si>
  <si>
    <t xml:space="preserve">RightWaterFlag	</t>
  </si>
  <si>
    <t xml:space="preserve">RightBunkerOrGSFlag	</t>
  </si>
  <si>
    <t xml:space="preserve">AimHazardBias (yds)	</t>
  </si>
  <si>
    <t xml:space="preserve">Aim Directive							</t>
  </si>
  <si>
    <t>AimTotalOffset (yds)</t>
  </si>
  <si>
    <t>Column10</t>
  </si>
  <si>
    <t>Column11</t>
  </si>
  <si>
    <t>Column12</t>
  </si>
  <si>
    <t>Column13</t>
  </si>
  <si>
    <t>Short Game Shots</t>
  </si>
  <si>
    <t>(enter or edit these rows from your matrix)</t>
  </si>
  <si>
    <t>Label</t>
  </si>
  <si>
    <t>Takeback</t>
  </si>
  <si>
    <t>Face</t>
  </si>
  <si>
    <t>Carry (yds)</t>
  </si>
  <si>
    <t>Roll (yds)</t>
  </si>
  <si>
    <t>Total (=E+F)</t>
  </si>
  <si>
    <t>BaseCarry (=E*(1-$B$8))</t>
  </si>
  <si>
    <t>Miss (=ABS(G-$B$11))</t>
  </si>
  <si>
    <t>Leave (=MAX(0,$B$11-G))</t>
  </si>
  <si>
    <t>Penalty (like full swing)</t>
  </si>
  <si>
    <t>=IF(B82="","",B82&amp;" "&amp;C82&amp;IF(D82&lt;&gt;"","/"&amp;D82,""))</t>
  </si>
  <si>
    <t>Full</t>
  </si>
  <si>
    <t>Hood</t>
  </si>
  <si>
    <t>95</t>
  </si>
  <si>
    <t>5</t>
  </si>
  <si>
    <t>=IF(AND(E82&lt;&gt;"",F82&lt;&gt;""),E82+F82,"")</t>
  </si>
  <si>
    <t>=IF(E82="","",E82*(1-$B$8))</t>
  </si>
  <si>
    <t>=IF(G82="","",ABS(G82-$B$11))</t>
  </si>
  <si>
    <t>=IF(G82="","",MAX(0,$B$11-G82))</t>
  </si>
  <si>
    <t>=IF(H82="","",SUMPRODUCT(($A$16:$A$35="bunker")*(H82&gt;=$F$16:$F$35)*(H82&lt;$G$16:$G$35)*(0.25*$E$16:$E$35)) + SUMPRODUCT(($A$16:$A$35="greenside")*(H82&gt;=$F$16:$F$35)*(H82&lt;$G$16:$G$35)*(0.20*$E$16:$E$35)))</t>
  </si>
  <si>
    <t>=IF(H82="","",SUMPRODUCT(($A$16:$A$35="water")*(H82&gt;=$F$16:$F$35)*(H82&lt;$G$16:$G$35))&gt;0)</t>
  </si>
  <si>
    <t>=IF(H82="","",IF(L82,1E9,2.5+0.004*I82+K82))</t>
  </si>
  <si>
    <t>=IF(B83="","",B83&amp;" "&amp;C83&amp;IF(D83&lt;&gt;"","/"&amp;D83,""))</t>
  </si>
  <si>
    <t>Open</t>
  </si>
  <si>
    <t>=IF(AND(E83&lt;&gt;"",F83&lt;&gt;""),E83+F83,"")</t>
  </si>
  <si>
    <t>=IF(E83="","",E83*(1-$B$8))</t>
  </si>
  <si>
    <t>=IF(G83="","",ABS(G83-$B$11))</t>
  </si>
  <si>
    <t>=IF(G83="","",MAX(0,$B$11-G83))</t>
  </si>
  <si>
    <t>=IF(H83="","",SUMPRODUCT(($A$16:$A$35="bunker")*(H83&gt;=$F$16:$F$35)*(H83&lt;$G$16:$G$35)*(0.25*$E$16:$E$35)) + SUMPRODUCT(($A$16:$A$35="greenside")*(H83&gt;=$F$16:$F$35)*(H83&lt;$G$16:$G$35)*(0.20*$E$16:$E$35)))</t>
  </si>
  <si>
    <t>=IF(H83="","",SUMPRODUCT(($A$16:$A$35="water")*(H83&gt;=$F$16:$F$35)*(H83&lt;$G$16:$G$35))&gt;0)</t>
  </si>
  <si>
    <t>=IF(H83="","",IF(L83,1E9,2.5+0.004*I83+K83))</t>
  </si>
  <si>
    <t>=IF(B84="","",B84&amp;" "&amp;C84&amp;IF(D84&lt;&gt;"","/"&amp;D84,""))</t>
  </si>
  <si>
    <t>3/4</t>
  </si>
  <si>
    <t>Square</t>
  </si>
  <si>
    <t>10</t>
  </si>
  <si>
    <t>=IF(AND(E84&lt;&gt;"",F84&lt;&gt;""),E84+F84,"")</t>
  </si>
  <si>
    <t>=IF(E84="","",E84*(1-$B$8))</t>
  </si>
  <si>
    <t>=IF(G84="","",ABS(G84-$B$11))</t>
  </si>
  <si>
    <t>=IF(G84="","",MAX(0,$B$11-G84))</t>
  </si>
  <si>
    <t>=IF(H84="","",SUMPRODUCT(($A$16:$A$35="bunker")*(H84&gt;=$F$16:$F$35)*(H84&lt;$G$16:$G$35)*(0.25*$E$16:$E$35)) + SUMPRODUCT(($A$16:$A$35="greenside")*(H84&gt;=$F$16:$F$35)*(H84&lt;$G$16:$G$35)*(0.20*$E$16:$E$35)))</t>
  </si>
  <si>
    <t>=IF(H84="","",SUMPRODUCT(($A$16:$A$35="water")*(H84&gt;=$F$16:$F$35)*(H84&lt;$G$16:$G$35))&gt;0)</t>
  </si>
  <si>
    <t>=IF(H84="","",IF(L84,1E9,2.5+0.004*I84+K84))</t>
  </si>
  <si>
    <t>=IF(B85="","",B85&amp;" "&amp;C85&amp;IF(D85&lt;&gt;"","/"&amp;D85,""))</t>
  </si>
  <si>
    <t>52°</t>
  </si>
  <si>
    <t>80</t>
  </si>
  <si>
    <t>2</t>
  </si>
  <si>
    <t>=IF(AND(E85&lt;&gt;"",F85&lt;&gt;""),E85+F85,"")</t>
  </si>
  <si>
    <t>=IF(E85="","",E85*(1-$B$8))</t>
  </si>
  <si>
    <t>=IF(G85="","",ABS(G85-$B$11))</t>
  </si>
  <si>
    <t>=IF(G85="","",MAX(0,$B$11-G85))</t>
  </si>
  <si>
    <t>=IF(H85="","",SUMPRODUCT(($A$16:$A$35="bunker")*(H85&gt;=$F$16:$F$35)*(H85&lt;$G$16:$G$35)*(0.25*$E$16:$E$35)) + SUMPRODUCT(($A$16:$A$35="greenside")*(H85&gt;=$F$16:$F$35)*(H85&lt;$G$16:$G$35)*(0.20*$E$16:$E$35)))</t>
  </si>
  <si>
    <t>=IF(H85="","",SUMPRODUCT(($A$16:$A$35="water")*(H85&gt;=$F$16:$F$35)*(H85&lt;$G$16:$G$35))&gt;0)</t>
  </si>
  <si>
    <t>=IF(H85="","",IF(L85,1E9,2.5+0.004*I85+K85))</t>
  </si>
  <si>
    <t>=IF(B86="","",B86&amp;" "&amp;C86&amp;IF(D86&lt;&gt;"","/"&amp;D86,""))</t>
  </si>
  <si>
    <t>58°</t>
  </si>
  <si>
    <t>=IF(AND(E86&lt;&gt;"",F86&lt;&gt;""),E86+F86,"")</t>
  </si>
  <si>
    <t>=IF(E86="","",E86*(1-$B$8))</t>
  </si>
  <si>
    <t>=IF(G86="","",ABS(G86-$B$11))</t>
  </si>
  <si>
    <t>=IF(G86="","",MAX(0,$B$11-G86))</t>
  </si>
  <si>
    <t>=IF(H86="","",SUMPRODUCT(($A$16:$A$35="bunker")*(H86&gt;=$F$16:$F$35)*(H86&lt;$G$16:$G$35)*(0.25*$E$16:$E$35)) + SUMPRODUCT(($A$16:$A$35="greenside")*(H86&gt;=$F$16:$F$35)*(H86&lt;$G$16:$G$35)*(0.20*$E$16:$E$35)))</t>
  </si>
  <si>
    <t>=IF(H86="","",SUMPRODUCT(($A$16:$A$35="water")*(H86&gt;=$F$16:$F$35)*(H86&lt;$G$16:$G$35))&gt;0)</t>
  </si>
  <si>
    <t>=IF(H86="","",IF(L86,1E9,2.5+0.004*I86+K86))</t>
  </si>
  <si>
    <t>=IF(B87="","",B87&amp;" "&amp;C87&amp;IF(D87&lt;&gt;"","/"&amp;D87,""))</t>
  </si>
  <si>
    <t>65</t>
  </si>
  <si>
    <t>7</t>
  </si>
  <si>
    <t>=IF(AND(E87&lt;&gt;"",F87&lt;&gt;""),E87+F87,"")</t>
  </si>
  <si>
    <t>=IF(E87="","",E87*(1-$B$8))</t>
  </si>
  <si>
    <t>=IF(G87="","",ABS(G87-$B$11))</t>
  </si>
  <si>
    <t>=IF(G87="","",MAX(0,$B$11-G87))</t>
  </si>
  <si>
    <t>=IF(H87="","",SUMPRODUCT(($A$16:$A$35="bunker")*(H87&gt;=$F$16:$F$35)*(H87&lt;$G$16:$G$35)*(0.25*$E$16:$E$35)) + SUMPRODUCT(($A$16:$A$35="greenside")*(H87&gt;=$F$16:$F$35)*(H87&lt;$G$16:$G$35)*(0.20*$E$16:$E$35)))</t>
  </si>
  <si>
    <t>=IF(H87="","",SUMPRODUCT(($A$16:$A$35="water")*(H87&gt;=$F$16:$F$35)*(H87&lt;$G$16:$G$35))&gt;0)</t>
  </si>
  <si>
    <t>=IF(H87="","",IF(L87,1E9,2.5+0.004*I87+K87))</t>
  </si>
  <si>
    <t>=IF(B88="","",B88&amp;" "&amp;C88&amp;IF(D88&lt;&gt;"","/"&amp;D88,""))</t>
  </si>
  <si>
    <t>56°</t>
  </si>
  <si>
    <t>60</t>
  </si>
  <si>
    <t>=IF(AND(E88&lt;&gt;"",F88&lt;&gt;""),E88+F88,"")</t>
  </si>
  <si>
    <t>=IF(E88="","",E88*(1-$B$8))</t>
  </si>
  <si>
    <t>=IF(G88="","",ABS(G88-$B$11))</t>
  </si>
  <si>
    <t>=IF(G88="","",MAX(0,$B$11-G88))</t>
  </si>
  <si>
    <t>=IF(H88="","",SUMPRODUCT(($A$16:$A$35="bunker")*(H88&gt;=$F$16:$F$35)*(H88&lt;$G$16:$G$35)*(0.25*$E$16:$E$35)) + SUMPRODUCT(($A$16:$A$35="greenside")*(H88&gt;=$F$16:$F$35)*(H88&lt;$G$16:$G$35)*(0.20*$E$16:$E$35)))</t>
  </si>
  <si>
    <t>=IF(H88="","",SUMPRODUCT(($A$16:$A$35="water")*(H88&gt;=$F$16:$F$35)*(H88&lt;$G$16:$G$35))&gt;0)</t>
  </si>
  <si>
    <t>=IF(H88="","",IF(L88,1E9,2.5+0.004*I88+K88))</t>
  </si>
  <si>
    <t>=IF(B89="","",B89&amp;" "&amp;C89&amp;IF(D89&lt;&gt;"","/"&amp;D89,""))</t>
  </si>
  <si>
    <t>60°</t>
  </si>
  <si>
    <t>=IF(AND(E89&lt;&gt;"",F89&lt;&gt;""),E89+F89,"")</t>
  </si>
  <si>
    <t>=IF(E89="","",E89*(1-$B$8))</t>
  </si>
  <si>
    <t>=IF(G89="","",ABS(G89-$B$11))</t>
  </si>
  <si>
    <t>=IF(G89="","",MAX(0,$B$11-G89))</t>
  </si>
  <si>
    <t>=IF(H89="","",SUMPRODUCT(($A$16:$A$35="bunker")*(H89&gt;=$F$16:$F$35)*(H89&lt;$G$16:$G$35)*(0.25*$E$16:$E$35)) + SUMPRODUCT(($A$16:$A$35="greenside")*(H89&gt;=$F$16:$F$35)*(H89&lt;$G$16:$G$35)*(0.20*$E$16:$E$35)))</t>
  </si>
  <si>
    <t>=IF(H89="","",SUMPRODUCT(($A$16:$A$35="water")*(H89&gt;=$F$16:$F$35)*(H89&lt;$G$16:$G$35))&gt;0)</t>
  </si>
  <si>
    <t>=IF(H89="","",IF(L89,1E9,2.5+0.004*I89+K89))</t>
  </si>
  <si>
    <t>=IF(B90="","",B90&amp;" "&amp;C90&amp;IF(D90&lt;&gt;"","/"&amp;D90,""))</t>
  </si>
  <si>
    <t>1/4</t>
  </si>
  <si>
    <t>45</t>
  </si>
  <si>
    <t>=IF(AND(E90&lt;&gt;"",F90&lt;&gt;""),E90+F90,"")</t>
  </si>
  <si>
    <t>=IF(E90="","",E90*(1-$B$8))</t>
  </si>
  <si>
    <t>=IF(G90="","",ABS(G90-$B$11))</t>
  </si>
  <si>
    <t>=IF(G90="","",MAX(0,$B$11-G90))</t>
  </si>
  <si>
    <t>=IF(H90="","",SUMPRODUCT(($A$16:$A$35="bunker")*(H90&gt;=$F$16:$F$35)*(H90&lt;$G$16:$G$35)*(0.25*$E$16:$E$35)) + SUMPRODUCT(($A$16:$A$35="greenside")*(H90&gt;=$F$16:$F$35)*(H90&lt;$G$16:$G$35)*(0.20*$E$16:$E$35)))</t>
  </si>
  <si>
    <t>=IF(H90="","",SUMPRODUCT(($A$16:$A$35="water")*(H90&gt;=$F$16:$F$35)*(H90&lt;$G$16:$G$35))&gt;0)</t>
  </si>
  <si>
    <t>=IF(H90="","",IF(L90,1E9,2.5+0.004*I90+K90))</t>
  </si>
  <si>
    <t>=IF(B91="","",B91&amp;" "&amp;C91&amp;IF(D91&lt;&gt;"","/"&amp;D91,""))</t>
  </si>
  <si>
    <t>1/2</t>
  </si>
  <si>
    <t>35</t>
  </si>
  <si>
    <t>3</t>
  </si>
  <si>
    <t>=IF(AND(E91&lt;&gt;"",F91&lt;&gt;""),E91+F91,"")</t>
  </si>
  <si>
    <t>=IF(E91="","",E91*(1-$B$8))</t>
  </si>
  <si>
    <t>=IF(G91="","",ABS(G91-$B$11))</t>
  </si>
  <si>
    <t>=IF(G91="","",MAX(0,$B$11-G91))</t>
  </si>
  <si>
    <t>=IF(H91="","",SUMPRODUCT(($A$16:$A$35="bunker")*(H91&gt;=$F$16:$F$35)*(H91&lt;$G$16:$G$35)*(0.25*$E$16:$E$35)) + SUMPRODUCT(($A$16:$A$35="greenside")*(H91&gt;=$F$16:$F$35)*(H91&lt;$G$16:$G$35)*(0.20*$E$16:$E$35)))</t>
  </si>
  <si>
    <t>=IF(H91="","",SUMPRODUCT(($A$16:$A$35="water")*(H91&gt;=$F$16:$F$35)*(H91&lt;$G$16:$G$35))&gt;0)</t>
  </si>
  <si>
    <t>=IF(H91="","",IF(L91,1E9,2.5+0.004*I91+K91))</t>
  </si>
  <si>
    <t>=IF(B92="","",B92&amp;" "&amp;C92&amp;IF(D92&lt;&gt;"","/"&amp;D92,""))</t>
  </si>
  <si>
    <t>20</t>
  </si>
  <si>
    <t>13</t>
  </si>
  <si>
    <t>=IF(AND(E92&lt;&gt;"",F92&lt;&gt;""),E92+F92,"")</t>
  </si>
  <si>
    <t>=IF(E92="","",E92*(1-$B$8))</t>
  </si>
  <si>
    <t>=IF(G92="","",ABS(G92-$B$11))</t>
  </si>
  <si>
    <t>=IF(G92="","",MAX(0,$B$11-G92))</t>
  </si>
  <si>
    <t>=IF(H92="","",SUMPRODUCT(($A$16:$A$35="bunker")*(H92&gt;=$F$16:$F$35)*(H92&lt;$G$16:$G$35)*(0.25*$E$16:$E$35)) + SUMPRODUCT(($A$16:$A$35="greenside")*(H92&gt;=$F$16:$F$35)*(H92&lt;$G$16:$G$35)*(0.20*$E$16:$E$35)))</t>
  </si>
  <si>
    <t>=IF(H92="","",SUMPRODUCT(($A$16:$A$35="water")*(H92&gt;=$F$16:$F$35)*(H92&lt;$G$16:$G$35))&gt;0)</t>
  </si>
  <si>
    <t>=IF(H92="","",IF(L92,1E9,2.5+0.004*I92+K92))</t>
  </si>
  <si>
    <t>=IF(B93="","",B93&amp;" "&amp;C93&amp;IF(D93&lt;&gt;"","/"&amp;D93,""))</t>
  </si>
  <si>
    <t>Half open</t>
  </si>
  <si>
    <t>15</t>
  </si>
  <si>
    <t>=IF(AND(E93&lt;&gt;"",F93&lt;&gt;""),E93+F93,"")</t>
  </si>
  <si>
    <t>=IF(E93="","",E93*(1-$B$8))</t>
  </si>
  <si>
    <t>=IF(G93="","",ABS(G93-$B$11))</t>
  </si>
  <si>
    <t>=IF(G93="","",MAX(0,$B$11-G93))</t>
  </si>
  <si>
    <t>=IF(H93="","",SUMPRODUCT(($A$16:$A$35="bunker")*(H93&gt;=$F$16:$F$35)*(H93&lt;$G$16:$G$35)*(0.25*$E$16:$E$35)) + SUMPRODUCT(($A$16:$A$35="greenside")*(H93&gt;=$F$16:$F$35)*(H93&lt;$G$16:$G$35)*(0.20*$E$16:$E$35)))</t>
  </si>
  <si>
    <t>=IF(H93="","",SUMPRODUCT(($A$16:$A$35="water")*(H93&gt;=$F$16:$F$35)*(H93&lt;$G$16:$G$35))&gt;0)</t>
  </si>
  <si>
    <t>=IF(H93="","",IF(L93,1E9,2.5+0.004*I93+K93))</t>
  </si>
  <si>
    <t>=IF(B94="","",B94&amp;" "&amp;C94&amp;IF(D94&lt;&gt;"","/"&amp;D94,""))</t>
  </si>
  <si>
    <t>Full open</t>
  </si>
  <si>
    <t>8</t>
  </si>
  <si>
    <t>=IF(AND(E94&lt;&gt;"",F94&lt;&gt;""),E94+F94,"")</t>
  </si>
  <si>
    <t>=IF(E94="","",E94*(1-$B$8))</t>
  </si>
  <si>
    <t>=IF(G94="","",ABS(G94-$B$11))</t>
  </si>
  <si>
    <t>=IF(G94="","",MAX(0,$B$11-G94))</t>
  </si>
  <si>
    <t>=IF(H94="","",SUMPRODUCT(($A$16:$A$35="bunker")*(H94&gt;=$F$16:$F$35)*(H94&lt;$G$16:$G$35)*(0.25*$E$16:$E$35)) + SUMPRODUCT(($A$16:$A$35="greenside")*(H94&gt;=$F$16:$F$35)*(H94&lt;$G$16:$G$35)*(0.20*$E$16:$E$35)))</t>
  </si>
  <si>
    <t>=IF(H94="","",SUMPRODUCT(($A$16:$A$35="water")*(H94&gt;=$F$16:$F$35)*(H94&lt;$G$16:$G$35))&gt;0)</t>
  </si>
  <si>
    <t>=IF(H94="","",IF(L94,1E9,2.5+0.004*I94+K94))</t>
  </si>
  <si>
    <t>=IF(B95="","",B95&amp;" "&amp;C95&amp;IF(D95&lt;&gt;"","/"&amp;D95,""))</t>
  </si>
  <si>
    <t>Chip</t>
  </si>
  <si>
    <t>=IF(AND(E95&lt;&gt;"",F95&lt;&gt;""),E95+F95,"")</t>
  </si>
  <si>
    <t>=IF(E95="","",E95*(1-$B$8))</t>
  </si>
  <si>
    <t>=IF(G95="","",ABS(G95-$B$11))</t>
  </si>
  <si>
    <t>=IF(G95="","",MAX(0,$B$11-G95))</t>
  </si>
  <si>
    <t>=IF(H95="","",SUMPRODUCT(($A$16:$A$35="bunker")*(H95&gt;=$F$16:$F$35)*(H95&lt;$G$16:$G$35)*(0.25*$E$16:$E$35)) + SUMPRODUCT(($A$16:$A$35="greenside")*(H95&gt;=$F$16:$F$35)*(H95&lt;$G$16:$G$35)*(0.20*$E$16:$E$35)))</t>
  </si>
  <si>
    <t>=IF(H95="","",SUMPRODUCT(($A$16:$A$35="water")*(H95&gt;=$F$16:$F$35)*(H95&lt;$G$16:$G$35))&gt;0)</t>
  </si>
  <si>
    <t>=IF(H95="","",IF(L95,1E9,2.5+0.004*I95+K95))</t>
  </si>
  <si>
    <t>=IF(B96="","",B96&amp;" "&amp;C96&amp;IF(D96&lt;&gt;"","/"&amp;D96,""))</t>
  </si>
  <si>
    <t>1/4 shot</t>
  </si>
  <si>
    <t>4</t>
  </si>
  <si>
    <t>=IF(AND(E96&lt;&gt;"",F96&lt;&gt;""),E96+F96,"")</t>
  </si>
  <si>
    <t>=IF(E96="","",E96*(1-$B$8))</t>
  </si>
  <si>
    <t>=IF(G96="","",ABS(G96-$B$11))</t>
  </si>
  <si>
    <t>=IF(G96="","",MAX(0,$B$11-G96))</t>
  </si>
  <si>
    <t>=IF(H96="","",SUMPRODUCT(($A$16:$A$35="bunker")*(H96&gt;=$F$16:$F$35)*(H96&lt;$G$16:$G$35)*(0.25*$E$16:$E$35)) + SUMPRODUCT(($A$16:$A$35="greenside")*(H96&gt;=$F$16:$F$35)*(H96&lt;$G$16:$G$35)*(0.20*$E$16:$E$35)))</t>
  </si>
  <si>
    <t>=IF(H96="","",SUMPRODUCT(($A$16:$A$35="water")*(H96&gt;=$F$16:$F$35)*(H96&lt;$G$16:$G$35))&gt;0)</t>
  </si>
  <si>
    <t>=IF(H96="","",IF(L96,1E9,2.5+0.004*I96+K96))</t>
  </si>
  <si>
    <t>4H</t>
  </si>
  <si>
    <t>3H</t>
  </si>
  <si>
    <t>Draw</t>
  </si>
  <si>
    <t>CaddyAI Excel Model v1</t>
  </si>
  <si>
    <t>Inputs Value Notes</t>
  </si>
  <si>
    <t>DistanceToHole (yds) 150 Enter target/flag distance</t>
  </si>
  <si>
    <t>ElevationFt (ft) 0 Positive = uphill (plays longer)</t>
  </si>
  <si>
    <t>WindSpeed (mph) 0 Average/steady</t>
  </si>
  <si>
    <t>WindDir head head | tail | cross_left | cross_right</t>
  </si>
  <si>
    <t>Lie fairway tee | fairway | light_rough | heavy_rough | sand | recovery</t>
  </si>
  <si>
    <t>CrosswindCoeff (yds per mph per 100 yds) 0.6 Tune crosswind strength</t>
  </si>
  <si>
    <t>Derived Value Formula</t>
  </si>
  <si>
    <t>LiePenalty =IF(OR(B8="tee",B8="fairway"),0,IF(B8="light_rough",0.05,IF(B8="heavy_rough",0.10,IF(B8="sand",0.05,IF(B8="recovery",0.12,0)))))</t>
  </si>
  <si>
    <t>ElevAdj (yds) =B5/3</t>
  </si>
  <si>
    <t>WindAdj (yds) =IF(B7="head",0.5B6,IF(B7="tail",-0.3B6,0))</t>
  </si>
  <si>
    <t>TargetEff (yds) =B4 + B12 + B13</t>
  </si>
  <si>
    <t>NearGreen (&lt;=60 yds) =OR(B14&lt;=60,B4&lt;=60)</t>
  </si>
  <si>
    <t>Aim Calcs Value Formula</t>
  </si>
  <si>
    <t>AimWindOffset (yds) =IF(B7="cross_left",$B$9B6(B4/100),IF(B7="cross_right",- $B$9B6(B4/100),0))</t>
  </si>
  <si>
    <t>LeftWaterFlag =SUMPRODUCT(($A$27:$A$46="water")(($B$27:$B$46="left")+($B$27:$B$46="front_left")+($B$27:$B$46="back_left"))($B$14&gt;=$F$27:$F$46)($B$14&lt;$G$27:$G$46))&gt;0</t>
  </si>
  <si>
    <t>LeftBunkerOrGSFlag =SUMPRODUCT((($A$27:$A$46="bunker")+($A$27:$A$46="greenside"))(($B$27:$B$46="left")+($B$27:$B$46="front_left")+($B$27:$B$46="back_left"))($B$14&gt;=$F$27:$F$46)($B$14&lt;$G$27:$G$46))&gt;0</t>
  </si>
  <si>
    <t>RightWaterFlag =SUMPRODUCT(($A$27:$A$46="water")(($B$27:$B$46="right")+($B$27:$B$46="front_right")+($B$27:$B$46="back_right"))($B$14&gt;=$F$27:$F$46)($B$14&lt;$G$27:$G$46))&gt;0</t>
  </si>
  <si>
    <t>RightBunkerOrGSFlag =SUMPRODUCT((($A$27:$A$46="bunker")+($A$27:$A$46="greenside"))(($B$27:$B$46="right")+($B$27:$B$46="front_right")+($B$27:$B$46="back_right"))($B$14&gt;=$F$27:$F$46)($B$14&lt;$G$27:$G$46))&gt;0</t>
  </si>
  <si>
    <t>AimHazardBias (yds) =IF(B18,10,IF(B19,5,0)) - IF(B20,10,IF(B21,5,0))</t>
  </si>
  <si>
    <t>AimTotalOffset (yds) =B17 + B22</t>
  </si>
  <si>
    <t>Aim Directive =IF(B23&gt;0,"Aim LEFT "&amp;ROUND(B23,0)&amp;" yds",IF(B23&lt;0,"Aim RIGHT "&amp;ROUND(ABS(B23),0)&amp;" yds","Aim CENTER"))</t>
  </si>
  <si>
    <t>Hazards Table (leave blank rows if unused)</t>
  </si>
  <si>
    <t>Type Side StartYds ClearYds Risk MinBand MaxBand</t>
  </si>
  <si>
    <t>water left 220 240 5 =MIN(C27,D27) =MAX(C27,D27)</t>
  </si>
  <si>
    <t>bunker right 250 270 3 =MIN(C28,D28) =MAX(C28,D28)</t>
  </si>
  <si>
    <t>greenside front_left 15 30 2 =MIN(C29,D29) =MAX(C29,D29)</t>
  </si>
  <si>
    <t>=MIN(C30,D30) =MAX(C30,D30)</t>
  </si>
  <si>
    <t>=MIN(C31,D31) =MAX(C31,D31)</t>
  </si>
  <si>
    <t>=MIN(C32,D32) =MAX(C32,D32)</t>
  </si>
  <si>
    <t>=MIN(C33,D33) =MAX(C33,D33)</t>
  </si>
  <si>
    <t>=MIN(C34,D34) =MAX(C34,D34)</t>
  </si>
  <si>
    <t>=MIN(C35,D35) =MAX(C35,D35)</t>
  </si>
  <si>
    <t>=MIN(C36,D36) =MAX(C36,D36)</t>
  </si>
  <si>
    <t>=MIN(C37,D37) =MAX(C37,D37)</t>
  </si>
  <si>
    <t>=MIN(C38,D38) =MAX(C38,D38)</t>
  </si>
  <si>
    <t>=MIN(C39,D39) =MAX(C39,D39)</t>
  </si>
  <si>
    <t>=MIN(C40,D40) =MAX(C40,D40)</t>
  </si>
  <si>
    <t>=MIN(C41,D41) =MAX(C41,D41)</t>
  </si>
  <si>
    <t>=MIN(C42,D42) =MAX(C42,D42)</t>
  </si>
  <si>
    <t>=MIN(C43,D43) =MAX(C43,D43)</t>
  </si>
  <si>
    <t>=MIN(C44,D44) =MAX(C44,D44)</t>
  </si>
  <si>
    <t>=MIN(C45,D45) =MAX(C45,D45)</t>
  </si>
  <si>
    <t>=MIN(C46,D46) =MAX(C46,D46)</t>
  </si>
  <si>
    <t>Full-Swing Clubs (raw carry in col B)</t>
  </si>
  <si>
    <t>Club CarryYds BaseCarry Miss Leave Penalty DisqWater Expected</t>
  </si>
  <si>
    <t>Driver 245 =IF(B49="","",B49*(1-$B$11)) =IF(C49="","",ABS(C49-$B$14)) =IF(C49="","",MAX(0,$B$14-C49)) =IF(C49="","",SUMPRODUCT(($A$27:$A$46="bunker")(C49&gt;=$F$27:$F$46)(C49&lt;$G$27:$G$46)(0.25$E$27:$E$46))+IF($B$15,SUMPRODUCT(($A$27:$A$46="greenside")(C49&gt;=$F$27:$F$46)(C49&lt;$G$27:$G$46)(0.20$E$27:$E$46)),0)) =IF(C49="","",SUMPRODUCT(($A$27:$A$46="water")(C49&gt;=$F$27:$F$46)(C49&lt;$G$27:$G$46))&gt;0) =IF(C49="","",IF(G49,1E9,2.5+0.004D49+F49))</t>
  </si>
  <si>
    <t>3w 225 =IF(B50="","",B50(1-$B$11)) =IF(C50="","",ABS(C50-$B$14)) =IF(C50="","",MAX(0,$B$14-C50)) =IF(C50="","",SUMPRODUCT(($A$27:$A$46="bunker")(C50&gt;=$F$27:$F$46)(C50&lt;$G$27:$G$46)(0.25$E$27:$E$46))+IF($B$15,SUMPRODUCT(($A$27:$A$46="greenside")(C50&gt;=$F$27:$F$46)(C50&lt;$G$27:$G$46)(0.20$E$27:$E$46)),0)) =IF(C50="","",SUMPRODUCT(($A$27:$A$46="water")(C50&gt;=$F$27:$F$46)(C50&lt;$G$27:$G$46))&gt;0) =IF(C50="","",IF(G50,1E9,2.5+0.004D50+F50))</t>
  </si>
  <si>
    <t>5w 210 =IF(B51="","",B51(1-$B$11)) =IF(C51="","",ABS(C51-$B$14)) =IF(C51="","",MAX(0,$B$14-C51)) =IF(C51="","",SUMPRODUCT(($A$27:$A$46="bunker")(C51&gt;=$F$27:$F$46)(C51&lt;$G$27:$G$46)(0.25$E$27:$E$46))+IF($B$15,SUMPRODUCT(($A$27:$A$46="greenside")(C51&gt;=$F$27:$F$46)(C51&lt;$G$27:$G$46)(0.20$E$27:$E$46)),0)) =IF(C51="","",SUMPRODUCT(($A$27:$A$46="water")(C51&gt;=$F$27:$F$46)(C51&lt;$G$27:$G$46))&gt;0) =IF(C51="","",IF(G51,1E9,2.5+0.004D51+F51))</t>
  </si>
  <si>
    <t>4i 190 =IF(B52="","",B52(1-$B$11)) =IF(C52="","",ABS(C52-$B$14)) =IF(C52="","",MAX(0,$B$14-C52)) =IF(C52="","",SUMPRODUCT(($A$27:$A$46="bunker")(C52&gt;=$F$27:$F$46)(C52&lt;$G$27:$G$46)(0.25$E$27:$E$46))+IF($B$15,SUMPRODUCT(($A$27:$A$46="greenside")(C52&gt;=$F$27:$F$46)(C52&lt;$G$27:$G$46)(0.20$E$27:$E$46)),0)) =IF(C52="","",SUMPRODUCT(($A$27:$A$46="water")(C52&gt;=$F$27:$F$46)(C52&lt;$G$27:$G$46))&gt;0) =IF(C52="","",IF(G52,1E9,2.5+0.004D52+F52))</t>
  </si>
  <si>
    <t>5i 175 =IF(B53="","",B53(1-$B$11)) =IF(C53="","",ABS(C53-$B$14)) =IF(C53="","",MAX(0,$B$14-C53)) =IF(C53="","",SUMPRODUCT(($A$27:$A$46="bunker")(C53&gt;=$F$27:$F$46)(C53&lt;$G$27:$G$46)(0.25$E$27:$E$46))+IF($B$15,SUMPRODUCT(($A$27:$A$46="greenside")(C53&gt;=$F$27:$F$46)(C53&lt;$G$27:$G$46)(0.20$E$27:$E$46)),0)) =IF(C53="","",SUMPRODUCT(($A$27:$A$46="water")(C53&gt;=$F$27:$F$46)(C53&lt;$G$27:$G$46))&gt;0) =IF(C53="","",IF(G53,1E9,2.5+0.004D53+F53))</t>
  </si>
  <si>
    <t>6i 160 =IF(B54="","",B54(1-$B$11)) =IF(C54="","",ABS(C54-$B$14)) =IF(C54="","",MAX(0,$B$14-C54)) =IF(C54="","",SUMPRODUCT(($A$27:$A$46="bunker")(C54&gt;=$F$27:$F$46)(C54&lt;$G$27:$G$46)(0.25$E$27:$E$46))+IF($B$15,SUMPRODUCT(($A$27:$A$46="greenside")(C54&gt;=$F$27:$F$46)(C54&lt;$G$27:$G$46)(0.20$E$27:$E$46)),0)) =IF(C54="","",SUMPRODUCT(($A$27:$A$46="water")(C54&gt;=$F$27:$F$46)(C54&lt;$G$27:$G$46))&gt;0) =IF(C54="","",IF(G54,1E9,2.5+0.004D54+F54))</t>
  </si>
  <si>
    <t>7i 145 =IF(B55="","",B55(1-$B$11)) =IF(C55="","",ABS(C55-$B$14)) =IF(C55="","",MAX(0,$B$14-C55)) =IF(C55="","",SUMPRODUCT(($A$27:$A$46="bunker")(C55&gt;=$F$27:$F$46)(C55&lt;$G$27:$G$46)(0.25$E$27:$E$46))+IF($B$15,SUMPRODUCT(($A$27:$A$46="greenside")(C55&gt;=$F$27:$F$46)(C55&lt;$G$27:$G$46)(0.20$E$27:$E$46)),0)) =IF(C55="","",SUMPRODUCT(($A$27:$A$46="water")(C55&gt;=$F$27:$F$46)(C55&lt;$G$27:$G$46))&gt;0) =IF(C55="","",IF(G55,1E9,2.5+0.004D55+F55))</t>
  </si>
  <si>
    <t>8i 130 =IF(B56="","",B56(1-$B$11)) =IF(C56="","",ABS(C56-$B$14)) =IF(C56="","",MAX(0,$B$14-C56)) =IF(C56="","",SUMPRODUCT(($A$27:$A$46="bunker")(C56&gt;=$F$27:$F$46)(C56&lt;$G$27:$G$46)(0.25$E$27:$E$46))+IF($B$15,SUMPRODUCT(($A$27:$A$46="greenside")(C56&gt;=$F$27:$F$46)(C56&lt;$G$27:$G$46)(0.20$E$27:$E$46)),0)) =IF(C56="","",SUMPRODUCT(($A$27:$A$46="water")(C56&gt;=$F$27:$F$46)(C56&lt;$G$27:$G$46))&gt;0) =IF(C56="","",IF(G56,1E9,2.5+0.004D56+F56))</t>
  </si>
  <si>
    <t>9i 115 =IF(B57="","",B57(1-$B$11)) =IF(C57="","",ABS(C57-$B$14)) =IF(C57="","",MAX(0,$B$14-C57)) =IF(C57="","",SUMPRODUCT(($A$27:$A$46="bunker")(C57&gt;=$F$27:$F$46)(C57&lt;$G$27:$G$46)(0.25$E$27:$E$46))+IF($B$15,SUMPRODUCT(($A$27:$A$46="greenside")(C57&gt;=$F$27:$F$46)(C57&lt;$G$27:$G$46)(0.20$E$27:$E$46)),0)) =IF(C57="","",SUMPRODUCT(($A$27:$A$46="water")(C57&gt;=$F$27:$F$46)(C57&lt;$G$27:$G$46))&gt;0) =IF(C57="","",IF(G57,1E9,2.5+0.004D57+F57))</t>
  </si>
  <si>
    <t>PW 100 =IF(B58="","",B58(1-$B$11)) =IF(C58="","",ABS(C58-$B$14)) =IF(C58="","",MAX(0,$B$14-C58)) =IF(C58="","",SUMPRODUCT(($A$27:$A$46="bunker")(C58&gt;=$F$27:$F$46)(C58&lt;$G$27:$G$46)(0.25$E$27:$E$46))+IF($B$15,SUMPRODUCT(($A$27:$A$46="greenside")(C58&gt;=$F$27:$F$46)(C58&lt;$G$27:$G$46)(0.20$E$27:$E$46)),0)) =IF(C58="","",SUMPRODUCT(($A$27:$A$46="water")(C58&gt;=$F$27:$F$46)(C58&lt;$G$27:$G$46))&gt;0) =IF(C58="","",IF(G58,1E9,2.5+0.004D58+F58))</t>
  </si>
  <si>
    <t>GW 85 =IF(B59="","",B59(1-$B$11)) =IF(C59="","",ABS(C59-$B$14)) =IF(C59="","",MAX(0,$B$14-C59)) =IF(C59="","",SUMPRODUCT(($A$27:$A$46="bunker")(C59&gt;=$F$27:$F$46)(C59&lt;$G$27:$G$46)(0.25$E$27:$E$46))+IF($B$15,SUMPRODUCT(($A$27:$A$46="greenside")(C59&gt;=$F$27:$F$46)(C59&lt;$G$27:$G$46)(0.20$E$27:$E$46)),0)) =IF(C59="","",SUMPRODUCT(($A$27:$A$46="water")(C59&gt;=$F$27:$F$46)(C59&lt;$G$27:$G$46))&gt;0) =IF(C59="","",IF(G59,1E9,2.5+0.004D59+F59))</t>
  </si>
  <si>
    <t>SW 70 =IF(B60="","",B60(1-$B$11)) =IF(C60="","",ABS(C60-$B$14)) =IF(C60="","",MAX(0,$B$14-C60)) =IF(C60="","",SUMPRODUCT(($A$27:$A$46="bunker")(C60&gt;=$F$27:$F$46)(C60&lt;$G$27:$G$46)(0.25$E$27:$E$46))+IF($B$15,SUMPRODUCT(($A$27:$A$46="greenside")(C60&gt;=$F$27:$F$46)(C60&lt;$G$27:$G$46)(0.20$E$27:$E$46)),0)) =IF(C60="","",SUMPRODUCT(($A$27:$A$46="water")(C60&gt;=$F$27:$F$46)(C60&lt;$G$27:$G$46))&gt;0) =IF(C60="","",IF(G60,1E9,2.5+0.004D60+F60))</t>
  </si>
  <si>
    <t>LW 55 =IF(B61="","",B61(1-$B$11)) =IF(C61="","",ABS(C61-$B$14)) =IF(C61="","",MAX(0,$B$14-C61)) =IF(C61="","",SUMPRODUCT(($A$27:$A$46="bunker")(C61&gt;=$F$27:$F$46)(C61&lt;$G$27:$G$46)(0.25$E$27:$E$46))+IF($B$15,SUMPRODUCT(($A$27:$A$46="greenside")(C61&gt;=$F$27:$F$46)(C61&lt;$G$27:$G$46)(0.20$E$27:$E$46)),0)) =IF(C61="","",SUMPRODUCT(($A$27:$A$46="water")(C61&gt;=$F$27:$F$46)(C61&lt;$G$27:$G$46))&gt;0) =IF(C61="","",IF(G61,1E9,2.5+0.004*D61+F61))</t>
  </si>
  <si>
    <t>Short-Game Shots (edit or extend)</t>
  </si>
  <si>
    <t>Label Club Takeback Face Carry (yds) Roll (yds) Total BaseCarry Miss Penalty DisqWater Expected</t>
  </si>
  <si>
    <t>=IF(B67="","",B67&amp;" "&amp;C67&amp;IF(D67&lt;&gt;"","/"&amp;D67,"")) PW Full Hood 95 5 =IF(AND(E67&lt;&gt;"",F67&lt;&gt;""),E67+F67,"") =IF(E67="","",E67*(1-$B$11)) =IF(G67="","",ABS(G67-$B$14)) =IF(H67="","",SUMPRODUCT(($A$27:$A$46="bunker")(H67&gt;=$F$27:$F$46)(H67&lt;$G$27:$G$46)(0.25$E$27:$E$46))+SUMPRODUCT(($A$27:$A$46="greenside")(H67&gt;=$F$27:$F$46)(H67&lt;$G$27:$G$46)(0.20$E$27:$E$46))) =IF(H67="","",SUMPRODUCT(($A$27:$A$46="water")(H67&gt;=$F$27:$F$46)(H67&lt;$G$27:$G$46))&gt;0) =IF(H67="","",IF(L67,1E9,2.5+0.004I67+J67))</t>
  </si>
  <si>
    <t>=IF(B68="","",B68&amp;" "&amp;C68&amp;IF(D68&lt;&gt;"","/"&amp;D68,"")) PW 3/4 Square 85 10 =IF(AND(E68&lt;&gt;"",F68&lt;&gt;""),E68+F68,"") =IF(E68="","",E68(1-$B$11)) =IF(G68="","",ABS(G68-$B$14)) =IF(H68="","",SUMPRODUCT(($A$27:$A$46="bunker")(H68&gt;=$F$27:$F$46)(H68&lt;$G$27:$G$46)(0.25$E$27:$E$46))+SUMPRODUCT(($A$27:$A$46="greenside")(H68&gt;=$F$27:$F$46)(H68&lt;$G$27:$G$46)(0.20$E$27:$E$46))) =IF(H68="","",SUMPRODUCT(($A$27:$A$46="water")(H68&gt;=$F$27:$F$46)(H68&lt;$G$27:$G$46))&gt;0) =IF(H68="","",IF(L68,1E9,2.5+0.004I68+J68))</t>
  </si>
  <si>
    <t>=IF(B69="","",B69&amp;" "&amp;C69&amp;IF(D69&lt;&gt;"","/"&amp;D69,"")) 58Â° 1/2 Square 35 3 =IF(AND(E69&lt;&gt;"",F69&lt;&gt;""),E69+F69,"") =IF(E69="","",E69(1-$B$11)) =IF(G69="","",ABS(G69-$B$14)) =IF(H69="","",SUMPRODUCT(($A$27:$A$46="bunker")(H69&gt;=$F$27:$F$46)(H69&lt;$G$27:$G$46)(0.25$E$27:$E$46))+SUMPRODUCT(($A$27:$A$46="greenside")(H69&gt;=$F$27:$F$46)(H69&lt;$G$27:$G$46)(0.20$E$27:$E$46))) =IF(H69="","",SUMPRODUCT(($A$27:$A$46="water")(H69&gt;=$F$27:$F$46)(H69&lt;$G$27:$G$46))&gt;0) =IF(H69="","",IF(L69,1E9,2.5+0.004I69+J69))</t>
  </si>
  <si>
    <t>=IF(B70="","",B70&amp;" "&amp;C70&amp;IF(D70&lt;&gt;"","/"&amp;D70,"")) 60Â° 1/4 Half open 15 5 =IF(AND(E70&lt;&gt;"",F70&lt;&gt;""),E70+F70,"") =IF(E70="","",E70(1-$B$11)) =IF(G70="","",ABS(G70-$B$14)) =IF(H70="","",SUMPRODUCT(($A$27:$A$46="bunker")(H70&gt;=$F$27:$F$46)(H70&lt;$G$27:$G$46)(0.25$E$27:$E$46))+SUMPRODUCT(($A$27:$A$46="greenside")(H70&gt;=$F$27:$F$46)(H70&lt;$G$27:$G$46)(0.20$E$27:$E$46))) =IF(H70="","",SUMPRODUCT(($A$27:$A$46="water")(H70&gt;=$F$27:$F$46)(H70&lt;$G$27:$G$46))&gt;0) =IF(H70="","",IF(L70,1E9,2.5+0.004I70+J70))</t>
  </si>
  <si>
    <t>=IF(B71="","",B71&amp;" "&amp;C71&amp;IF(D71&lt;&gt;"","/"&amp;D71,"")) 56Â° Chip Square 5 2 =IF(AND(E71&lt;&gt;"",F71&lt;&gt;""),E71+F71,"") =IF(E71="","",E71(1-$B$11)) =IF(G71="","",ABS(G71-$B$14)) =IF(H71="","",SUMPRODUCT(($A$27:$A$46="bunker")(H71&gt;=$F$27:$F$46)(H71&lt;$G$27:$G$46)(0.25$E$27:$E$46))+SUMPRODUCT(($A$27:$A$46="greenside")(H71&gt;=$F$27:$F$46)(H71&lt;$G$27:$G$46)(0.20$E$27:$E$46))) =IF(H71="","",SUMPRODUCT(($A$27:$A$46="water")(H71&gt;=$F$27:$F$46)(H71&lt;$G$27:$G$46))&gt;0) =IF(H71="","",IF(L71,1E9,2.5+0.004*I71+J71))</t>
  </si>
  <si>
    <t>RESULTS Value Formula/Notes</t>
  </si>
  <si>
    <t>FS_BestExpected =MIN(H49:H63)</t>
  </si>
  <si>
    <t>FS_SecondExpected =SMALL(H49:H63,2)</t>
  </si>
  <si>
    <t>SG_BestExpected =MIN(M67:M85)</t>
  </si>
  <si>
    <t>SG_SecondExpected =SMALL(M67:M85,2)</t>
  </si>
  <si>
    <t>(copy helper) â† put the four values at C89:C92: =B89, =B90, =B91, =B92</t>
  </si>
  <si>
    <t>PrimaryExpected =MIN(B89,B91)</t>
  </si>
  <si>
    <t>PrimarySource =IF(B94=B89,"FullSwing","ShortGame")</t>
  </si>
  <si>
    <t>PrimaryLabel =IF(B95="FullSwing",XLOOKUP(B94,H49:H63,A49:A63,"No club"),XLOOKUP(B94,M67:M85,A67:A85,"No shot"))</t>
  </si>
  <si>
    <t>SecondaryExpected =SMALL(C89:C92,2)</t>
  </si>
  <si>
    <t>SecondarySource =IF(B97=B89,"FullSwing",IF(B97=B90,"FullSwing",IF(B97=B91,"ShortGame","ShortGame")))</t>
  </si>
  <si>
    <t>SecondaryLabel =IF(B98="FullSwing",XLOOKUP(B97,H49:H63,A49:A63,"No club"),XLOOKUP(B97,M67:M85,A67:A85,"No shot"))</t>
  </si>
  <si>
    <t>Aim (from cell B24) =IF(B23&gt;0,"Aim LEFT "&amp;ROUND(B23,0)&amp;" yds",IF(B23&lt;0,"Aim RIGHT "&amp;ROUND(ABS(B23),0)&amp;" yds","Aim CENTER"))</t>
  </si>
  <si>
    <t>Hazard</t>
  </si>
  <si>
    <t>Bunker</t>
  </si>
  <si>
    <t>Greenside Bunker</t>
  </si>
  <si>
    <t>Water</t>
  </si>
  <si>
    <t>Location</t>
  </si>
  <si>
    <t>Left</t>
  </si>
  <si>
    <t>Right</t>
  </si>
  <si>
    <t>Center</t>
  </si>
  <si>
    <t>Front Left</t>
  </si>
  <si>
    <t>Front Right</t>
  </si>
  <si>
    <t>Back Left</t>
  </si>
  <si>
    <t>Back Right</t>
  </si>
  <si>
    <t>Headwind</t>
  </si>
  <si>
    <t>Tailwind</t>
  </si>
  <si>
    <t>Tee</t>
  </si>
  <si>
    <t>Fairway</t>
  </si>
  <si>
    <t>Light_Rough</t>
  </si>
  <si>
    <t>Heavy_Rough</t>
  </si>
  <si>
    <t>Sand</t>
  </si>
  <si>
    <t>Recovery</t>
  </si>
  <si>
    <t>Stance</t>
  </si>
  <si>
    <t>Ball _Above_Feet</t>
  </si>
  <si>
    <t>Ball_Below_Feet</t>
  </si>
  <si>
    <t>Uphill</t>
  </si>
  <si>
    <t>Downhill</t>
  </si>
  <si>
    <t>Pin Position</t>
  </si>
  <si>
    <t>Front</t>
  </si>
  <si>
    <t>Middle</t>
  </si>
  <si>
    <t>Back</t>
  </si>
  <si>
    <t>Dominant Hand</t>
  </si>
  <si>
    <t>Natural Shot</t>
  </si>
  <si>
    <t>Straight</t>
  </si>
  <si>
    <t>Fade</t>
  </si>
  <si>
    <t>Shot Height</t>
  </si>
  <si>
    <t>Low</t>
  </si>
  <si>
    <t>Medium</t>
  </si>
  <si>
    <t>High</t>
  </si>
  <si>
    <t>Player Profile</t>
  </si>
  <si>
    <t>Handicap</t>
  </si>
  <si>
    <t>Risk</t>
  </si>
  <si>
    <t>Confidence</t>
  </si>
  <si>
    <t>TakeBack</t>
  </si>
  <si>
    <t>Pitch</t>
  </si>
  <si>
    <t>Flop</t>
  </si>
  <si>
    <t>Flat</t>
  </si>
  <si>
    <t>AggBand</t>
  </si>
  <si>
    <t>Cross_R_to_L</t>
  </si>
  <si>
    <t>Cross_L_to_R</t>
  </si>
  <si>
    <t>Yards of Curve with 5i</t>
  </si>
  <si>
    <t>P (Club)</t>
  </si>
  <si>
    <t>Q (CurveMult)</t>
  </si>
  <si>
    <t>R (HeightMult)</t>
  </si>
  <si>
    <t>Primary Club Offset</t>
  </si>
  <si>
    <t>Secondary Club Offet</t>
  </si>
  <si>
    <t>Shot Shape</t>
  </si>
  <si>
    <t>Primary Recommendation</t>
  </si>
  <si>
    <t>Aim Point</t>
  </si>
  <si>
    <t>Secondary Recommendation</t>
  </si>
  <si>
    <t>Swing &amp; Face</t>
  </si>
  <si>
    <t>HazardAlignmentRisk</t>
  </si>
  <si>
    <t>LeftZone</t>
  </si>
  <si>
    <t>RightZone</t>
  </si>
  <si>
    <t>InLeft</t>
  </si>
  <si>
    <t>InRight</t>
  </si>
  <si>
    <t>RiskSum</t>
  </si>
  <si>
    <t>AlignFactor</t>
  </si>
  <si>
    <t>HDCPScale</t>
  </si>
  <si>
    <t>HazardPenalty</t>
  </si>
  <si>
    <t>Base score from proximity</t>
  </si>
  <si>
    <t>AECarry</t>
  </si>
  <si>
    <t>(Expected Carry yrds)</t>
  </si>
  <si>
    <t>Longitudinal dispersion half-width</t>
  </si>
  <si>
    <r>
      <t xml:space="preserve">Overlap with any </t>
    </r>
    <r>
      <rPr>
        <b/>
        <sz val="11"/>
        <color theme="1"/>
        <rFont val="Aptos Narrow"/>
        <family val="2"/>
        <scheme val="minor"/>
      </rPr>
      <t>Left</t>
    </r>
    <r>
      <rPr>
        <sz val="11"/>
        <color theme="1"/>
        <rFont val="Aptos Narrow"/>
        <family val="2"/>
        <scheme val="minor"/>
      </rPr>
      <t xml:space="preserve"> hazard band</t>
    </r>
  </si>
  <si>
    <r>
      <t xml:space="preserve">Overlap with any </t>
    </r>
    <r>
      <rPr>
        <b/>
        <sz val="11"/>
        <color theme="1"/>
        <rFont val="Aptos Narrow"/>
        <family val="2"/>
        <scheme val="minor"/>
      </rPr>
      <t>Right</t>
    </r>
    <r>
      <rPr>
        <sz val="11"/>
        <color theme="1"/>
        <rFont val="Aptos Narrow"/>
        <family val="2"/>
        <scheme val="minor"/>
      </rPr>
      <t xml:space="preserve"> hazard band</t>
    </r>
  </si>
  <si>
    <r>
      <t xml:space="preserve">Overlap with any </t>
    </r>
    <r>
      <rPr>
        <b/>
        <sz val="11"/>
        <color theme="1"/>
        <rFont val="Aptos Narrow"/>
        <family val="2"/>
        <scheme val="minor"/>
      </rPr>
      <t>Front</t>
    </r>
    <r>
      <rPr>
        <sz val="11"/>
        <color theme="1"/>
        <rFont val="Aptos Narrow"/>
        <family val="2"/>
        <scheme val="minor"/>
      </rPr>
      <t xml:space="preserve"> band</t>
    </r>
  </si>
  <si>
    <r>
      <t xml:space="preserve">Overlap with any </t>
    </r>
    <r>
      <rPr>
        <b/>
        <sz val="11"/>
        <color theme="1"/>
        <rFont val="Aptos Narrow"/>
        <family val="2"/>
        <scheme val="minor"/>
      </rPr>
      <t>Back</t>
    </r>
    <r>
      <rPr>
        <sz val="11"/>
        <color theme="1"/>
        <rFont val="Aptos Narrow"/>
        <family val="2"/>
        <scheme val="minor"/>
      </rPr>
      <t xml:space="preserve"> band</t>
    </r>
  </si>
  <si>
    <r>
      <t>RiskSum</t>
    </r>
    <r>
      <rPr>
        <sz val="11"/>
        <color theme="1"/>
        <rFont val="Aptos Narrow"/>
        <family val="2"/>
        <scheme val="minor"/>
      </rPr>
      <t xml:space="preserve"> across all bands your </t>
    </r>
    <r>
      <rPr>
        <b/>
        <sz val="11"/>
        <color theme="1"/>
        <rFont val="Aptos Narrow"/>
        <family val="2"/>
        <scheme val="minor"/>
      </rPr>
      <t>dispersion</t>
    </r>
    <r>
      <rPr>
        <sz val="11"/>
        <color theme="1"/>
        <rFont val="Aptos Narrow"/>
        <family val="2"/>
        <scheme val="minor"/>
      </rPr>
      <t xml:space="preserve"> touches</t>
    </r>
  </si>
  <si>
    <r>
      <t>Corner trap</t>
    </r>
    <r>
      <rPr>
        <sz val="11"/>
        <color theme="1"/>
        <rFont val="Aptos Narrow"/>
        <family val="2"/>
        <scheme val="minor"/>
      </rPr>
      <t xml:space="preserve"> (Front-Right OR Back-Left overlap)</t>
    </r>
  </si>
  <si>
    <r>
      <t>Pin-</t>
    </r>
    <r>
      <rPr>
        <b/>
        <sz val="11"/>
        <color theme="1"/>
        <rFont val="Aptos Narrow"/>
        <family val="2"/>
        <scheme val="minor"/>
      </rPr>
      <t>side</t>
    </r>
    <r>
      <rPr>
        <sz val="11"/>
        <color theme="1"/>
        <rFont val="Aptos Narrow"/>
        <family val="2"/>
        <scheme val="minor"/>
      </rPr>
      <t xml:space="preserve"> factor (short-siding risk if pin is on that side)</t>
    </r>
  </si>
  <si>
    <r>
      <t>Pin-</t>
    </r>
    <r>
      <rPr>
        <b/>
        <sz val="11"/>
        <color theme="1"/>
        <rFont val="Aptos Narrow"/>
        <family val="2"/>
        <scheme val="minor"/>
      </rPr>
      <t>depth</t>
    </r>
    <r>
      <rPr>
        <sz val="11"/>
        <color theme="1"/>
        <rFont val="Aptos Narrow"/>
        <family val="2"/>
        <scheme val="minor"/>
      </rPr>
      <t xml:space="preserve"> factor</t>
    </r>
  </si>
  <si>
    <r>
      <t>HazardPenalty</t>
    </r>
    <r>
      <rPr>
        <sz val="11"/>
        <color theme="1"/>
        <rFont val="Aptos Narrow"/>
        <family val="2"/>
        <scheme val="minor"/>
      </rPr>
      <t xml:space="preserve"> (replace your old one)</t>
    </r>
  </si>
  <si>
    <r>
      <t>Shorter</t>
    </r>
    <r>
      <rPr>
        <sz val="11"/>
        <color theme="1"/>
        <rFont val="Aptos Narrow"/>
        <family val="2"/>
        <scheme val="minor"/>
      </rPr>
      <t xml:space="preserve"> safe carry</t>
    </r>
  </si>
  <si>
    <t>Longer safe carry</t>
  </si>
  <si>
    <r>
      <t>Recommended adjust</t>
    </r>
    <r>
      <rPr>
        <sz val="11"/>
        <color theme="1"/>
        <rFont val="Aptos Narrow"/>
        <family val="2"/>
        <scheme val="minor"/>
      </rPr>
      <t xml:space="preserve"> (“Shorter/Longer”) nearest to your AECarry</t>
    </r>
  </si>
  <si>
    <t>Pin Location</t>
  </si>
  <si>
    <t>Pin Side</t>
  </si>
  <si>
    <t>NewExpectedBase</t>
  </si>
  <si>
    <t>Feet above Sea Level</t>
  </si>
  <si>
    <t>AltCoeff_per_kft</t>
  </si>
  <si>
    <t>GeoElevation Facotr</t>
  </si>
  <si>
    <t>Tuning Knob</t>
  </si>
  <si>
    <t>AimStanceOffset (yds)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</si>
</sst>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7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0" xfId="0" applyFill="1"/>
    <xf numFmtId="0" fontId="0" fillId="0" borderId="1" xfId="0" applyBorder="1"/>
    <xf numFmtId="2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2" fillId="0" borderId="0" xfId="0" applyFont="1" applyAlignment="1">
      <alignment vertical="center"/>
    </xf>
    <xf numFmtId="0" fontId="0" fillId="7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7" borderId="2" xfId="0" applyFill="1" applyBorder="1"/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2" fontId="0" fillId="0" borderId="1" xfId="0" applyNumberFormat="1" applyBorder="1"/>
    <xf numFmtId="0" fontId="3" fillId="9" borderId="5" xfId="0" applyFont="1" applyFill="1" applyBorder="1" applyAlignment="1">
      <alignment vertical="center"/>
    </xf>
    <xf numFmtId="0" fontId="3" fillId="9" borderId="7" xfId="0" applyFont="1" applyFill="1" applyBorder="1" applyAlignment="1">
      <alignment vertical="center"/>
    </xf>
    <xf numFmtId="0" fontId="3" fillId="8" borderId="5" xfId="0" applyFont="1" applyFill="1" applyBorder="1" applyAlignment="1">
      <alignment vertical="center"/>
    </xf>
    <xf numFmtId="0" fontId="3" fillId="8" borderId="7" xfId="0" applyFont="1" applyFill="1" applyBorder="1" applyAlignment="1">
      <alignment vertical="center"/>
    </xf>
    <xf numFmtId="164" fontId="9" fillId="8" borderId="7" xfId="0" applyNumberFormat="1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164" fontId="9" fillId="9" borderId="7" xfId="0" applyNumberFormat="1" applyFont="1" applyFill="1" applyBorder="1" applyAlignment="1">
      <alignment horizontal="center" vertical="center"/>
    </xf>
    <xf numFmtId="0" fontId="1" fillId="0" borderId="0" xfId="0" applyFont="1"/>
    <xf numFmtId="0" fontId="0" fillId="2" borderId="11" xfId="0" applyFill="1" applyBorder="1"/>
    <xf numFmtId="1" fontId="0" fillId="0" borderId="0" xfId="0" applyNumberFormat="1"/>
    <xf numFmtId="0" fontId="0" fillId="2" borderId="12" xfId="0" applyFill="1" applyBorder="1"/>
    <xf numFmtId="0" fontId="0" fillId="5" borderId="12" xfId="0" applyFill="1" applyBorder="1"/>
    <xf numFmtId="2" fontId="0" fillId="0" borderId="0" xfId="0" applyNumberFormat="1"/>
    <xf numFmtId="0" fontId="0" fillId="0" borderId="6" xfId="0" applyBorder="1" applyAlignment="1">
      <alignment horizontal="center"/>
    </xf>
    <xf numFmtId="0" fontId="4" fillId="8" borderId="0" xfId="0" applyFont="1" applyFill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right" vertical="center"/>
    </xf>
    <xf numFmtId="0" fontId="3" fillId="8" borderId="4" xfId="0" applyFont="1" applyFill="1" applyBorder="1" applyAlignment="1">
      <alignment horizontal="right" vertical="center"/>
    </xf>
    <xf numFmtId="0" fontId="3" fillId="8" borderId="6" xfId="0" applyFont="1" applyFill="1" applyBorder="1" applyAlignment="1">
      <alignment horizontal="right" vertical="center"/>
    </xf>
    <xf numFmtId="0" fontId="3" fillId="8" borderId="0" xfId="0" applyFont="1" applyFill="1" applyAlignment="1">
      <alignment horizontal="right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right" vertical="center"/>
    </xf>
    <xf numFmtId="0" fontId="3" fillId="9" borderId="4" xfId="0" applyFont="1" applyFill="1" applyBorder="1" applyAlignment="1">
      <alignment horizontal="right" vertical="center"/>
    </xf>
    <xf numFmtId="0" fontId="3" fillId="9" borderId="6" xfId="0" applyFont="1" applyFill="1" applyBorder="1" applyAlignment="1">
      <alignment horizontal="right" vertical="center"/>
    </xf>
    <xf numFmtId="0" fontId="3" fillId="9" borderId="0" xfId="0" applyFont="1" applyFill="1" applyAlignment="1">
      <alignment horizontal="right" vertical="center"/>
    </xf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899990844447157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491494-135A-48E6-BABA-914FD22803F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A75AD47-8548-45C0-ABBE-C130D8AD3C9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5F746D-393E-4E45-9742-04A8CFD9EEF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3988131-1585-4FA4-A7A5-9F0CF114F4EA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30AB91-2EF0-476E-835D-8F8FD4B5E914}" name="Table5" displayName="Table5" ref="A25:E45" totalsRowShown="0" dataDxfId="30" tableBorderDxfId="29">
  <autoFilter ref="A25:E45" xr:uid="{F830AB91-2EF0-476E-835D-8F8FD4B5E914}"/>
  <tableColumns count="5">
    <tableColumn id="1" xr3:uid="{6DDB22E9-CA9B-4F04-A03B-DD93D58D307F}" name="Type" dataDxfId="28"/>
    <tableColumn id="2" xr3:uid="{6849010C-1802-4730-93F6-8468E670D4DA}" name="Location" dataDxfId="27"/>
    <tableColumn id="3" xr3:uid="{4C36EDB9-C6C2-4BCD-B10A-C4B230DF51F0}" name="StartYds" dataDxfId="26"/>
    <tableColumn id="4" xr3:uid="{84B607BF-5139-4B9C-84DA-1BBA9B2413D8}" name="ClearYds" dataDxfId="25"/>
    <tableColumn id="5" xr3:uid="{FF6EA651-3954-4A7D-8181-157251061AFC}" name="Risk(1–5)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058030-9ABE-41D7-A11C-3A76C811BD1A}" name="CaddyAI_Excel_Model_v1" displayName="CaddyAI_Excel_Model_v1" ref="A1:A88" tableType="queryTable" totalsRowShown="0">
  <autoFilter ref="A1:A88" xr:uid="{89058030-9ABE-41D7-A11C-3A76C811BD1A}"/>
  <tableColumns count="1">
    <tableColumn id="1" xr3:uid="{F0CE3AD4-C462-4630-BE39-16D4877DCA8C}" uniqueName="1" name="Column1" queryTableFieldId="1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F11BC8-AE18-4F76-A069-97FA39A63744}" name="PPM_Excel_Template__2" displayName="PPM_Excel_Template__2" ref="A1:A74" tableType="queryTable" totalsRowShown="0">
  <autoFilter ref="A1:A74" xr:uid="{5BF11BC8-AE18-4F76-A069-97FA39A63744}"/>
  <tableColumns count="1">
    <tableColumn id="1" xr3:uid="{0557E7FE-713D-4853-9EED-192A4CE95957}" uniqueName="1" name="Column1" queryTableFieldId="1" dataDxf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9793D-E67C-4EEF-921B-06AB9401E630}" name="PPM_Excel_Template" displayName="PPM_Excel_Template" ref="A1:I59" tableType="queryTable" totalsRowShown="0">
  <autoFilter ref="A1:I59" xr:uid="{DA29793D-E67C-4EEF-921B-06AB9401E630}"/>
  <tableColumns count="9">
    <tableColumn id="1" xr3:uid="{0D81956A-76EB-4334-84F1-EEBFE30A6CAF}" uniqueName="1" name="Column1" queryTableFieldId="1" dataDxfId="21"/>
    <tableColumn id="2" xr3:uid="{16A9AC06-95B5-42AE-8D69-98AE6CFD6DF9}" uniqueName="2" name="Column2" queryTableFieldId="2" dataDxfId="20"/>
    <tableColumn id="3" xr3:uid="{058F0041-D830-4548-87F9-C7AE801469AF}" uniqueName="3" name="Column3" queryTableFieldId="3" dataDxfId="19"/>
    <tableColumn id="4" xr3:uid="{4591AC39-D073-486C-A99F-6A2DD81DF0D9}" uniqueName="4" name="Column4" queryTableFieldId="4" dataDxfId="18"/>
    <tableColumn id="5" xr3:uid="{FA0F07F8-16D3-44A1-88E7-19D8C0FF12DF}" uniqueName="5" name="Column5" queryTableFieldId="5" dataDxfId="17"/>
    <tableColumn id="6" xr3:uid="{15B88DE7-81C3-45F7-B15A-52F4A4E5A508}" uniqueName="6" name="Column6" queryTableFieldId="6" dataDxfId="16"/>
    <tableColumn id="7" xr3:uid="{A7EF71F5-E709-40A4-8979-39F6927F3EB0}" uniqueName="7" name="Column7" queryTableFieldId="7" dataDxfId="15"/>
    <tableColumn id="8" xr3:uid="{B871D229-FA5F-41EF-978F-EEEA7C9EB65F}" uniqueName="8" name="Column8" queryTableFieldId="8" dataDxfId="14"/>
    <tableColumn id="9" xr3:uid="{C8F7F805-34B3-48C6-924E-4EA410D70959}" uniqueName="9" name="Column9" queryTableFieldId="9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392D29-E8F4-48F6-AC34-A48C8F8A2169}" name="Short_Game_Shots" displayName="Short_Game_Shots" ref="A1:M20" tableType="queryTable" totalsRowShown="0">
  <autoFilter ref="A1:M20" xr:uid="{2F392D29-E8F4-48F6-AC34-A48C8F8A2169}"/>
  <tableColumns count="13">
    <tableColumn id="1" xr3:uid="{D678DFD8-DA87-4333-87BB-D8FECED0EC1B}" uniqueName="1" name="Column1" queryTableFieldId="1" dataDxfId="12"/>
    <tableColumn id="2" xr3:uid="{C8AF8F66-AD45-454E-87B5-E9D1A8DDD9FC}" uniqueName="2" name="Column2" queryTableFieldId="2" dataDxfId="11"/>
    <tableColumn id="3" xr3:uid="{49CEC245-51BB-4CCF-88BB-CA5F76157335}" uniqueName="3" name="Column3" queryTableFieldId="3" dataDxfId="10"/>
    <tableColumn id="4" xr3:uid="{AD02BFDB-3A5E-4F80-B14F-49F2D79B9E28}" uniqueName="4" name="Column4" queryTableFieldId="4" dataDxfId="9"/>
    <tableColumn id="5" xr3:uid="{88F2A695-3397-409C-BA55-092675DCFC75}" uniqueName="5" name="Column5" queryTableFieldId="5" dataDxfId="8"/>
    <tableColumn id="6" xr3:uid="{90C3B31D-CFE5-4246-941B-D73A35117FF4}" uniqueName="6" name="Column6" queryTableFieldId="6" dataDxfId="7"/>
    <tableColumn id="7" xr3:uid="{81D2C51B-1F6B-4E47-95E1-2A797CB553CA}" uniqueName="7" name="Column7" queryTableFieldId="7" dataDxfId="6"/>
    <tableColumn id="8" xr3:uid="{28110F7A-9B6F-44FD-8F67-9CC025F0ED74}" uniqueName="8" name="Column8" queryTableFieldId="8" dataDxfId="5"/>
    <tableColumn id="9" xr3:uid="{6A914357-32B2-4936-B274-923C6949C064}" uniqueName="9" name="Column9" queryTableFieldId="9" dataDxfId="4"/>
    <tableColumn id="10" xr3:uid="{FA5255C2-DC3D-43F6-9E98-8BED2CFA0512}" uniqueName="10" name="Column10" queryTableFieldId="10" dataDxfId="3"/>
    <tableColumn id="11" xr3:uid="{9F1B63AC-A3D4-4987-A900-2D571B1FA094}" uniqueName="11" name="Column11" queryTableFieldId="11" dataDxfId="2"/>
    <tableColumn id="12" xr3:uid="{389ED541-7BD1-4DE5-B296-67938BA7A31F}" uniqueName="12" name="Column12" queryTableFieldId="12" dataDxfId="1"/>
    <tableColumn id="13" xr3:uid="{AABBCE7D-EEFF-4659-A3B6-8DD9F8967FC1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4185-8A1B-4B42-A1DF-853849D62203}">
  <sheetPr codeName="Sheet1"/>
  <dimension ref="A1:AG100"/>
  <sheetViews>
    <sheetView tabSelected="1" zoomScale="74" workbookViewId="0">
      <selection activeCell="B97" sqref="B97"/>
    </sheetView>
  </sheetViews>
  <sheetFormatPr defaultColWidth="8.85546875" defaultRowHeight="15" x14ac:dyDescent="0.25"/>
  <cols>
    <col min="1" max="1" width="30.140625" bestFit="1" customWidth="1"/>
    <col min="2" max="2" width="19.28515625" customWidth="1"/>
    <col min="3" max="3" width="11" customWidth="1"/>
    <col min="4" max="4" width="11.42578125" customWidth="1"/>
    <col min="5" max="5" width="11.140625" customWidth="1"/>
    <col min="6" max="6" width="18" bestFit="1" customWidth="1"/>
    <col min="7" max="7" width="14.7109375" bestFit="1" customWidth="1"/>
    <col min="8" max="8" width="20.42578125" bestFit="1" customWidth="1"/>
    <col min="9" max="9" width="9.5703125" customWidth="1"/>
    <col min="10" max="10" width="25" customWidth="1"/>
    <col min="11" max="11" width="27.28515625" customWidth="1"/>
    <col min="12" max="12" width="14.85546875" customWidth="1"/>
    <col min="21" max="21" width="22.7109375" bestFit="1" customWidth="1"/>
  </cols>
  <sheetData>
    <row r="1" spans="1:9" x14ac:dyDescent="0.25">
      <c r="A1" s="6" t="s">
        <v>567</v>
      </c>
      <c r="F1" s="60" t="s">
        <v>585</v>
      </c>
      <c r="G1" s="60"/>
      <c r="H1" s="60"/>
    </row>
    <row r="2" spans="1:9" ht="14.25" customHeight="1" x14ac:dyDescent="0.25">
      <c r="A2" s="1" t="s">
        <v>559</v>
      </c>
      <c r="B2" s="7" t="s">
        <v>536</v>
      </c>
      <c r="F2" s="43" t="str">
        <f>Main!B81</f>
        <v>Driver</v>
      </c>
      <c r="G2" s="44"/>
      <c r="H2" s="24"/>
      <c r="I2" s="36"/>
    </row>
    <row r="3" spans="1:9" ht="14.25" customHeight="1" x14ac:dyDescent="0.25">
      <c r="A3" t="s">
        <v>568</v>
      </c>
      <c r="B3" s="8">
        <v>15.5</v>
      </c>
      <c r="F3" s="45"/>
      <c r="G3" s="46"/>
      <c r="H3" s="25"/>
      <c r="I3" s="36"/>
    </row>
    <row r="4" spans="1:9" ht="14.25" customHeight="1" x14ac:dyDescent="0.25">
      <c r="A4" s="1" t="s">
        <v>560</v>
      </c>
      <c r="B4" s="7" t="s">
        <v>449</v>
      </c>
      <c r="F4" s="45"/>
      <c r="G4" s="46"/>
      <c r="H4" s="27" t="s">
        <v>600</v>
      </c>
      <c r="I4" s="36"/>
    </row>
    <row r="5" spans="1:9" ht="14.25" customHeight="1" x14ac:dyDescent="0.25">
      <c r="A5" s="1" t="s">
        <v>563</v>
      </c>
      <c r="B5" s="7" t="s">
        <v>565</v>
      </c>
      <c r="F5" s="45"/>
      <c r="G5" s="46"/>
      <c r="H5" s="26">
        <f>E81</f>
        <v>306.87166666666667</v>
      </c>
      <c r="I5" s="36"/>
    </row>
    <row r="6" spans="1:9" ht="14.25" customHeight="1" x14ac:dyDescent="0.25">
      <c r="A6" t="s">
        <v>578</v>
      </c>
      <c r="B6" s="8">
        <v>5</v>
      </c>
      <c r="F6" s="41" t="s">
        <v>588</v>
      </c>
      <c r="G6" s="37" t="str">
        <f>C81</f>
        <v>Full</v>
      </c>
      <c r="H6" s="39" t="str">
        <f>D81</f>
        <v>Square</v>
      </c>
      <c r="I6" s="36"/>
    </row>
    <row r="7" spans="1:9" ht="14.25" customHeight="1" x14ac:dyDescent="0.25">
      <c r="F7" s="42"/>
      <c r="G7" s="38"/>
      <c r="H7" s="40"/>
      <c r="I7" s="36"/>
    </row>
    <row r="8" spans="1:9" x14ac:dyDescent="0.25">
      <c r="A8" t="s">
        <v>11</v>
      </c>
      <c r="B8" t="s">
        <v>12</v>
      </c>
      <c r="C8" t="s">
        <v>10</v>
      </c>
      <c r="D8" t="s">
        <v>10</v>
      </c>
      <c r="E8" t="s">
        <v>10</v>
      </c>
      <c r="F8" s="60" t="s">
        <v>586</v>
      </c>
      <c r="G8" s="60"/>
      <c r="H8" s="60"/>
    </row>
    <row r="9" spans="1:9" x14ac:dyDescent="0.25">
      <c r="A9" t="s">
        <v>13</v>
      </c>
      <c r="B9" s="9">
        <v>350</v>
      </c>
      <c r="C9" t="s">
        <v>10</v>
      </c>
      <c r="D9" t="s">
        <v>10</v>
      </c>
      <c r="E9" t="s">
        <v>10</v>
      </c>
      <c r="F9" s="61" t="str">
        <f>Main!B95</f>
        <v>Aim RIGHT 8 yds</v>
      </c>
      <c r="G9" s="62"/>
      <c r="H9" s="63"/>
    </row>
    <row r="10" spans="1:9" x14ac:dyDescent="0.25">
      <c r="A10" t="s">
        <v>15</v>
      </c>
      <c r="B10" s="9">
        <v>2</v>
      </c>
      <c r="C10" t="s">
        <v>10</v>
      </c>
      <c r="D10" t="s">
        <v>10</v>
      </c>
      <c r="E10" t="s">
        <v>10</v>
      </c>
      <c r="F10" s="64"/>
      <c r="G10" s="65"/>
      <c r="H10" s="66"/>
    </row>
    <row r="11" spans="1:9" x14ac:dyDescent="0.25">
      <c r="A11" t="s">
        <v>17</v>
      </c>
      <c r="B11" s="9">
        <v>5</v>
      </c>
      <c r="C11" t="s">
        <v>10</v>
      </c>
      <c r="D11" t="s">
        <v>10</v>
      </c>
      <c r="E11" t="s">
        <v>10</v>
      </c>
      <c r="F11" s="67"/>
      <c r="G11" s="68"/>
      <c r="H11" s="69"/>
    </row>
    <row r="12" spans="1:9" x14ac:dyDescent="0.25">
      <c r="A12" s="1" t="s">
        <v>199</v>
      </c>
      <c r="B12" s="7" t="s">
        <v>543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 s="1" t="s">
        <v>200</v>
      </c>
      <c r="B13" s="7" t="s">
        <v>544</v>
      </c>
      <c r="C13" t="b">
        <f>UPPER(TRIM($B$13))&lt;&gt;"TEE"</f>
        <v>0</v>
      </c>
      <c r="D13" t="s">
        <v>10</v>
      </c>
      <c r="E13" t="s">
        <v>10</v>
      </c>
      <c r="F13" s="60" t="s">
        <v>587</v>
      </c>
      <c r="G13" s="60"/>
      <c r="H13" s="60"/>
      <c r="I13" t="s">
        <v>10</v>
      </c>
    </row>
    <row r="14" spans="1:9" ht="14.25" customHeight="1" x14ac:dyDescent="0.25">
      <c r="A14" s="1" t="s">
        <v>570</v>
      </c>
      <c r="B14" s="10">
        <v>3</v>
      </c>
      <c r="F14" s="72" t="str">
        <f>Main!B83</f>
        <v>3w</v>
      </c>
      <c r="G14" s="73"/>
      <c r="H14" s="22"/>
    </row>
    <row r="15" spans="1:9" ht="14.25" customHeight="1" x14ac:dyDescent="0.25">
      <c r="A15" s="1" t="s">
        <v>614</v>
      </c>
      <c r="B15" s="7" t="s">
        <v>557</v>
      </c>
      <c r="F15" s="74"/>
      <c r="G15" s="75"/>
      <c r="H15" s="23"/>
    </row>
    <row r="16" spans="1:9" ht="14.25" customHeight="1" x14ac:dyDescent="0.25">
      <c r="A16" s="1" t="s">
        <v>615</v>
      </c>
      <c r="B16" s="7" t="s">
        <v>537</v>
      </c>
      <c r="F16" s="74"/>
      <c r="G16" s="75"/>
      <c r="H16" s="28" t="s">
        <v>600</v>
      </c>
    </row>
    <row r="17" spans="1:10" ht="14.25" customHeight="1" x14ac:dyDescent="0.25">
      <c r="A17" t="s">
        <v>22</v>
      </c>
      <c r="B17" t="s">
        <v>10</v>
      </c>
      <c r="C17" t="s">
        <v>10</v>
      </c>
      <c r="D17" t="s">
        <v>10</v>
      </c>
      <c r="E17" t="s">
        <v>10</v>
      </c>
      <c r="F17" s="74"/>
      <c r="G17" s="75"/>
      <c r="H17" s="29">
        <f>E83</f>
        <v>276.26866666666666</v>
      </c>
      <c r="I17" t="s">
        <v>10</v>
      </c>
    </row>
    <row r="18" spans="1:10" ht="14.25" customHeight="1" x14ac:dyDescent="0.25">
      <c r="A18" t="s">
        <v>23</v>
      </c>
      <c r="B18" s="10">
        <f>IF(LOWER(B13)="tee",-0.01,
 IF(LOWER(B13)="fairway",0,
 IF(LOWER(B13)="light_rough",0.05,
 IF(LOWER(B13)="heavy_rough",0.1,
 IF(LOWER(B13)="sand",0.2,
 IF(LOWER(B13)="recovery",0.12,0))))))</f>
        <v>-0.01</v>
      </c>
      <c r="C18" t="s">
        <v>10</v>
      </c>
      <c r="D18" t="s">
        <v>10</v>
      </c>
      <c r="E18" t="s">
        <v>10</v>
      </c>
      <c r="F18" s="56" t="s">
        <v>588</v>
      </c>
      <c r="G18" s="58" t="str">
        <f>C83</f>
        <v>Full</v>
      </c>
      <c r="H18" s="70" t="str">
        <f>D83</f>
        <v>Square</v>
      </c>
      <c r="I18" t="s">
        <v>10</v>
      </c>
    </row>
    <row r="19" spans="1:10" ht="14.25" customHeight="1" x14ac:dyDescent="0.25">
      <c r="A19" t="s">
        <v>25</v>
      </c>
      <c r="B19" s="10">
        <f>B10/3</f>
        <v>0.66666666666666663</v>
      </c>
      <c r="C19" t="s">
        <v>10</v>
      </c>
      <c r="D19" t="s">
        <v>10</v>
      </c>
      <c r="E19" t="s">
        <v>10</v>
      </c>
      <c r="F19" s="57"/>
      <c r="G19" s="59"/>
      <c r="H19" s="71"/>
      <c r="I19" t="s">
        <v>10</v>
      </c>
    </row>
    <row r="20" spans="1:10" x14ac:dyDescent="0.25">
      <c r="A20" t="s">
        <v>27</v>
      </c>
      <c r="B20" s="10">
        <f>IF(B12="Headwind",0.5*B11,IF(B12="Tailwind",-0.3*B11,0))</f>
        <v>-1.5</v>
      </c>
      <c r="C20" t="s">
        <v>10</v>
      </c>
      <c r="D20" t="s">
        <v>10</v>
      </c>
      <c r="E20" t="s">
        <v>10</v>
      </c>
      <c r="F20" s="60" t="s">
        <v>586</v>
      </c>
      <c r="G20" s="60"/>
      <c r="H20" s="60"/>
      <c r="I20" t="s">
        <v>10</v>
      </c>
    </row>
    <row r="21" spans="1:10" x14ac:dyDescent="0.25">
      <c r="A21" t="s">
        <v>29</v>
      </c>
      <c r="B21" s="10">
        <f>B9 + B18 + B20</f>
        <v>348.49</v>
      </c>
      <c r="C21" t="s">
        <v>10</v>
      </c>
      <c r="D21" t="s">
        <v>10</v>
      </c>
      <c r="E21" t="s">
        <v>10</v>
      </c>
      <c r="F21" s="47" t="str">
        <f>Main!C95</f>
        <v>Aim RIGHT 8 yds</v>
      </c>
      <c r="G21" s="48"/>
      <c r="H21" s="49"/>
      <c r="I21" t="s">
        <v>10</v>
      </c>
    </row>
    <row r="22" spans="1:10" x14ac:dyDescent="0.25">
      <c r="A22" t="s">
        <v>31</v>
      </c>
      <c r="B22" s="10" t="b">
        <f>OR(B21&lt;=60,B21&lt;=60)</f>
        <v>0</v>
      </c>
      <c r="C22" t="s">
        <v>10</v>
      </c>
      <c r="D22" t="s">
        <v>10</v>
      </c>
      <c r="E22" t="s">
        <v>10</v>
      </c>
      <c r="F22" s="50"/>
      <c r="G22" s="51"/>
      <c r="H22" s="52"/>
      <c r="I22" t="s">
        <v>10</v>
      </c>
    </row>
    <row r="23" spans="1:10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s="53"/>
      <c r="G23" s="54"/>
      <c r="H23" s="55"/>
      <c r="I23" t="s">
        <v>10</v>
      </c>
    </row>
    <row r="24" spans="1:10" x14ac:dyDescent="0.25">
      <c r="A24" t="s">
        <v>33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10" x14ac:dyDescent="0.25">
      <c r="A25" t="s">
        <v>34</v>
      </c>
      <c r="B25" t="s">
        <v>534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575</v>
      </c>
      <c r="I25" t="s">
        <v>10</v>
      </c>
      <c r="J25" t="s">
        <v>10</v>
      </c>
    </row>
    <row r="26" spans="1:10" x14ac:dyDescent="0.25">
      <c r="A26" s="1"/>
      <c r="B26" s="1"/>
      <c r="C26" s="11"/>
      <c r="D26" s="11"/>
      <c r="E26" s="1">
        <v>3</v>
      </c>
      <c r="F26" s="12" t="str">
        <f>IF(AND(C26&lt;&gt;"",E26&lt;&gt;""), C26 - E26*5, "")</f>
        <v/>
      </c>
      <c r="G26" s="12" t="str">
        <f>IF(AND(D26&lt;&gt;"",E26&lt;&gt;""), D26 + E26*5, "")</f>
        <v/>
      </c>
      <c r="H26" t="e" cm="1" vm="1">
        <f t="array" ref="H26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26" t="s">
        <v>10</v>
      </c>
    </row>
    <row r="27" spans="1:10" x14ac:dyDescent="0.25">
      <c r="A27" s="1"/>
      <c r="B27" s="1"/>
      <c r="C27" s="11"/>
      <c r="D27" s="11"/>
      <c r="E27" s="1">
        <v>3</v>
      </c>
      <c r="F27" s="12" t="str">
        <f t="shared" ref="F27:F45" si="0">IF(AND(C27&lt;&gt;"",E27&lt;&gt;""), C27 - E27*5, "")</f>
        <v/>
      </c>
      <c r="G27" s="12" t="str">
        <f t="shared" ref="G27:G45" si="1">IF(AND(D27&lt;&gt;"",E27&lt;&gt;""), D27 + E27*5, "")</f>
        <v/>
      </c>
      <c r="H27" t="e" cm="1" vm="1">
        <f t="array" ref="H27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27" t="s">
        <v>10</v>
      </c>
    </row>
    <row r="28" spans="1:10" x14ac:dyDescent="0.25">
      <c r="A28" s="1"/>
      <c r="B28" s="1"/>
      <c r="C28" s="11"/>
      <c r="D28" s="11"/>
      <c r="E28" s="1">
        <v>3</v>
      </c>
      <c r="F28" s="12" t="str">
        <f t="shared" si="0"/>
        <v/>
      </c>
      <c r="G28" s="12" t="str">
        <f t="shared" si="1"/>
        <v/>
      </c>
      <c r="H28" t="e" cm="1" vm="1">
        <f t="array" ref="H28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28" t="s">
        <v>10</v>
      </c>
    </row>
    <row r="29" spans="1:10" x14ac:dyDescent="0.25">
      <c r="A29" s="1"/>
      <c r="B29" s="1"/>
      <c r="C29" s="11"/>
      <c r="D29" s="11"/>
      <c r="E29" s="1">
        <v>3</v>
      </c>
      <c r="F29" s="12" t="str">
        <f t="shared" si="0"/>
        <v/>
      </c>
      <c r="G29" s="12" t="str">
        <f t="shared" si="1"/>
        <v/>
      </c>
      <c r="H29" t="e" cm="1" vm="1">
        <f t="array" ref="H29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29" t="s">
        <v>10</v>
      </c>
    </row>
    <row r="30" spans="1:10" x14ac:dyDescent="0.25">
      <c r="A30" s="1"/>
      <c r="B30" s="1"/>
      <c r="C30" s="11"/>
      <c r="D30" s="11"/>
      <c r="E30" s="1">
        <v>3</v>
      </c>
      <c r="F30" s="12" t="str">
        <f t="shared" si="0"/>
        <v/>
      </c>
      <c r="G30" s="12" t="str">
        <f t="shared" si="1"/>
        <v/>
      </c>
      <c r="H30" t="e" cm="1" vm="1">
        <f t="array" ref="H30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30" t="s">
        <v>10</v>
      </c>
    </row>
    <row r="31" spans="1:10" x14ac:dyDescent="0.25">
      <c r="A31" s="1"/>
      <c r="B31" s="1"/>
      <c r="C31" s="11"/>
      <c r="D31" s="11"/>
      <c r="E31" s="1">
        <v>3</v>
      </c>
      <c r="F31" s="12" t="str">
        <f t="shared" si="0"/>
        <v/>
      </c>
      <c r="G31" s="12" t="str">
        <f t="shared" si="1"/>
        <v/>
      </c>
      <c r="H31" t="e" cm="1" vm="1">
        <f t="array" ref="H31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31" t="s">
        <v>10</v>
      </c>
    </row>
    <row r="32" spans="1:10" x14ac:dyDescent="0.25">
      <c r="A32" s="1"/>
      <c r="B32" s="1"/>
      <c r="C32" s="11"/>
      <c r="D32" s="11"/>
      <c r="E32" s="1">
        <v>3</v>
      </c>
      <c r="F32" s="12" t="str">
        <f t="shared" si="0"/>
        <v/>
      </c>
      <c r="G32" s="12" t="str">
        <f t="shared" si="1"/>
        <v/>
      </c>
      <c r="H32" t="e" cm="1" vm="1">
        <f t="array" ref="H32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32" t="s">
        <v>10</v>
      </c>
    </row>
    <row r="33" spans="1:33" x14ac:dyDescent="0.25">
      <c r="A33" s="1"/>
      <c r="B33" s="1"/>
      <c r="C33" s="11"/>
      <c r="D33" s="11"/>
      <c r="E33" s="1">
        <v>3</v>
      </c>
      <c r="F33" s="12" t="str">
        <f t="shared" si="0"/>
        <v/>
      </c>
      <c r="G33" s="12" t="str">
        <f t="shared" si="1"/>
        <v/>
      </c>
      <c r="H33" t="e" cm="1" vm="1">
        <f t="array" ref="H33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33" t="s">
        <v>10</v>
      </c>
    </row>
    <row r="34" spans="1:33" x14ac:dyDescent="0.25">
      <c r="A34" s="1"/>
      <c r="B34" s="1"/>
      <c r="C34" s="11"/>
      <c r="D34" s="11"/>
      <c r="E34" s="1">
        <v>3</v>
      </c>
      <c r="F34" s="12" t="str">
        <f t="shared" si="0"/>
        <v/>
      </c>
      <c r="G34" s="12" t="str">
        <f t="shared" si="1"/>
        <v/>
      </c>
      <c r="H34" t="e" cm="1" vm="1">
        <f t="array" ref="H34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34" t="s">
        <v>10</v>
      </c>
    </row>
    <row r="35" spans="1:33" x14ac:dyDescent="0.25">
      <c r="A35" s="1"/>
      <c r="B35" s="1"/>
      <c r="C35" s="11"/>
      <c r="D35" s="11"/>
      <c r="E35" s="1">
        <v>3</v>
      </c>
      <c r="F35" s="12" t="str">
        <f t="shared" si="0"/>
        <v/>
      </c>
      <c r="G35" s="12" t="str">
        <f t="shared" si="1"/>
        <v/>
      </c>
      <c r="H35" t="e" cm="1" vm="1">
        <f t="array" ref="H35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35" t="s">
        <v>10</v>
      </c>
    </row>
    <row r="36" spans="1:33" x14ac:dyDescent="0.25">
      <c r="A36" s="1"/>
      <c r="B36" s="1"/>
      <c r="C36" s="11"/>
      <c r="D36" s="11"/>
      <c r="E36" s="1">
        <v>3</v>
      </c>
      <c r="F36" s="12" t="str">
        <f t="shared" si="0"/>
        <v/>
      </c>
      <c r="G36" s="12" t="str">
        <f t="shared" si="1"/>
        <v/>
      </c>
      <c r="H36" t="e" cm="1" vm="1">
        <f t="array" ref="H36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36" t="s">
        <v>10</v>
      </c>
    </row>
    <row r="37" spans="1:33" x14ac:dyDescent="0.25">
      <c r="A37" s="1"/>
      <c r="B37" s="1"/>
      <c r="C37" s="11"/>
      <c r="D37" s="11"/>
      <c r="E37" s="1">
        <v>3</v>
      </c>
      <c r="F37" s="12" t="str">
        <f t="shared" si="0"/>
        <v/>
      </c>
      <c r="G37" s="12" t="str">
        <f t="shared" si="1"/>
        <v/>
      </c>
      <c r="H37" t="e" cm="1" vm="1">
        <f t="array" ref="H37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37" t="s">
        <v>10</v>
      </c>
    </row>
    <row r="38" spans="1:33" x14ac:dyDescent="0.25">
      <c r="A38" s="1"/>
      <c r="B38" s="1"/>
      <c r="C38" s="11"/>
      <c r="D38" s="11"/>
      <c r="E38" s="1">
        <v>3</v>
      </c>
      <c r="F38" s="12" t="str">
        <f t="shared" si="0"/>
        <v/>
      </c>
      <c r="G38" s="12" t="str">
        <f t="shared" si="1"/>
        <v/>
      </c>
      <c r="H38" t="e" cm="1" vm="1">
        <f t="array" ref="H38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38" t="s">
        <v>10</v>
      </c>
    </row>
    <row r="39" spans="1:33" x14ac:dyDescent="0.25">
      <c r="A39" s="1"/>
      <c r="B39" s="1"/>
      <c r="C39" s="11"/>
      <c r="D39" s="11"/>
      <c r="E39" s="1">
        <v>3</v>
      </c>
      <c r="F39" s="12" t="str">
        <f t="shared" si="0"/>
        <v/>
      </c>
      <c r="G39" s="12" t="str">
        <f t="shared" si="1"/>
        <v/>
      </c>
      <c r="H39" t="e" cm="1" vm="1">
        <f t="array" ref="H39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39" t="s">
        <v>10</v>
      </c>
    </row>
    <row r="40" spans="1:33" x14ac:dyDescent="0.25">
      <c r="A40" s="1"/>
      <c r="B40" s="1"/>
      <c r="C40" s="11"/>
      <c r="D40" s="11"/>
      <c r="E40" s="1">
        <v>3</v>
      </c>
      <c r="F40" s="12" t="str">
        <f t="shared" si="0"/>
        <v/>
      </c>
      <c r="G40" s="12" t="str">
        <f t="shared" si="1"/>
        <v/>
      </c>
      <c r="H40" t="e" cm="1" vm="1">
        <f t="array" ref="H40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40" t="s">
        <v>10</v>
      </c>
    </row>
    <row r="41" spans="1:33" x14ac:dyDescent="0.25">
      <c r="A41" s="1"/>
      <c r="B41" s="1"/>
      <c r="C41" s="11"/>
      <c r="D41" s="11"/>
      <c r="E41" s="1">
        <v>3</v>
      </c>
      <c r="F41" s="12" t="str">
        <f t="shared" si="0"/>
        <v/>
      </c>
      <c r="G41" s="12" t="str">
        <f t="shared" si="1"/>
        <v/>
      </c>
      <c r="H41" t="e" cm="1" vm="1">
        <f t="array" ref="H41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41" t="s">
        <v>10</v>
      </c>
    </row>
    <row r="42" spans="1:33" x14ac:dyDescent="0.25">
      <c r="A42" s="1"/>
      <c r="B42" s="1"/>
      <c r="C42" s="11"/>
      <c r="D42" s="11"/>
      <c r="E42" s="1">
        <v>3</v>
      </c>
      <c r="F42" s="12" t="str">
        <f t="shared" si="0"/>
        <v/>
      </c>
      <c r="G42" s="12" t="str">
        <f t="shared" si="1"/>
        <v/>
      </c>
      <c r="H42" t="e" cm="1" vm="1">
        <f t="array" ref="H42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42" t="s">
        <v>10</v>
      </c>
    </row>
    <row r="43" spans="1:33" x14ac:dyDescent="0.25">
      <c r="A43" s="1"/>
      <c r="B43" s="1"/>
      <c r="C43" s="11"/>
      <c r="D43" s="11"/>
      <c r="E43" s="1">
        <v>3</v>
      </c>
      <c r="F43" s="12" t="str">
        <f t="shared" si="0"/>
        <v/>
      </c>
      <c r="G43" s="12" t="str">
        <f t="shared" si="1"/>
        <v/>
      </c>
      <c r="H43" t="e" cm="1" vm="1">
        <f t="array" ref="H43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43" t="s">
        <v>10</v>
      </c>
    </row>
    <row r="44" spans="1:33" x14ac:dyDescent="0.25">
      <c r="A44" s="1"/>
      <c r="B44" s="1"/>
      <c r="C44" s="11"/>
      <c r="D44" s="11"/>
      <c r="E44" s="1">
        <v>3</v>
      </c>
      <c r="F44" s="12" t="str">
        <f t="shared" si="0"/>
        <v/>
      </c>
      <c r="G44" s="12" t="str">
        <f t="shared" si="1"/>
        <v/>
      </c>
      <c r="H44" t="e" cm="1" vm="1">
        <f t="array" ref="H44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44" t="s">
        <v>10</v>
      </c>
    </row>
    <row r="45" spans="1:33" x14ac:dyDescent="0.25">
      <c r="A45" s="33"/>
      <c r="B45" s="33"/>
      <c r="C45" s="34"/>
      <c r="D45" s="34"/>
      <c r="E45" s="1">
        <v>3</v>
      </c>
      <c r="F45" s="12" t="str">
        <f t="shared" si="0"/>
        <v/>
      </c>
      <c r="G45" s="12" t="str">
        <f t="shared" si="1"/>
        <v/>
      </c>
      <c r="H45" t="e" cm="1" vm="1">
        <f t="array" ref="H45">_xlfn.LET(_xlpm.minBands,_xlfn._xlws.SORT(_xlfn._xlws.FILTER($F$26:$F$45,ISNUMBER($F$26:$F$45))),_xlpm.maxBands,_xlfn._xlws.SORT(_xlfn._xlws.FILTER($G$26:$G$45,ISNUMBER($G$26:$G$45))),_xlpm.n,COUNTA(_xlpm.minBands),_xlpm.maxGap,0,_xlpm.gapStart,0,_xlpm.gapEnd,0,_xlpm.result,_xlfn.LAMBDA(_xlpm.i,_xlfn.LET(_xlpm.currentGap,INDEX(_xlpm.minBands,_xlpm.i+1)-INDEX(_xlpm.maxBands,_xlpm.i),IF(_xlpm.currentGap&gt;_xlpm.maxGap,_xlfn.LET(_xlpm.maxGap,_xlpm.currentGap,_xlpm.gapStart,INDEX(_xlpm.maxBands,_xlpm.i),_xlpm.gapEnd,INDEX(_xlpm.minBands,_xlpm.i+1),0),0)))*_xlfn.SEQUENCE(_xlpm.n-1),_xlpm.MIDPOINT,_xlfn.LET(_xlpm.gapStarts,_xlfn.DROP(_xlpm.maxBands,-1),_xlpm.gapEnds,_xlfn.DROP(_xlpm.minBands,1),_xlpm.gaps,_xlpm.gapEnds-_xlpm.gapStarts,_xlpm.maxIndex,_xlfn.XMATCH(MAX(_xlpm.gaps),_xlpm.gaps),(INDEX(_xlpm.gapStarts,_xlpm.maxIndex)+INDEX(_xlpm.gapEnds,_xlpm.maxIndex))/2),_xlpm.MIDPOINT
)</f>
        <v>#VALUE!</v>
      </c>
      <c r="J45" t="s">
        <v>10</v>
      </c>
    </row>
    <row r="46" spans="1:33" x14ac:dyDescent="0.25">
      <c r="A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33" x14ac:dyDescent="0.25">
      <c r="A47" t="s">
        <v>81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33" x14ac:dyDescent="0.25">
      <c r="A48" t="s">
        <v>82</v>
      </c>
      <c r="B48" t="s">
        <v>287</v>
      </c>
      <c r="C48" t="s">
        <v>288</v>
      </c>
      <c r="D48" t="s">
        <v>83</v>
      </c>
      <c r="E48" t="s">
        <v>84</v>
      </c>
      <c r="F48" t="s">
        <v>85</v>
      </c>
      <c r="G48" t="s">
        <v>599</v>
      </c>
      <c r="H48" t="s">
        <v>86</v>
      </c>
      <c r="I48" t="s">
        <v>87</v>
      </c>
      <c r="J48" t="s">
        <v>88</v>
      </c>
      <c r="K48" t="s">
        <v>89</v>
      </c>
      <c r="L48" t="s">
        <v>592</v>
      </c>
      <c r="M48" t="s">
        <v>593</v>
      </c>
      <c r="N48" t="s">
        <v>594</v>
      </c>
      <c r="O48" t="s">
        <v>595</v>
      </c>
      <c r="P48" t="s">
        <v>596</v>
      </c>
      <c r="Q48" t="s">
        <v>597</v>
      </c>
      <c r="R48" t="s">
        <v>598</v>
      </c>
      <c r="S48" t="s">
        <v>619</v>
      </c>
      <c r="T48" t="s">
        <v>601</v>
      </c>
      <c r="U48" t="s">
        <v>602</v>
      </c>
      <c r="V48" t="s">
        <v>603</v>
      </c>
      <c r="W48" t="s">
        <v>604</v>
      </c>
      <c r="X48" t="s">
        <v>605</v>
      </c>
      <c r="Y48" s="30" t="s">
        <v>606</v>
      </c>
      <c r="Z48" s="30" t="s">
        <v>607</v>
      </c>
      <c r="AA48" t="s">
        <v>608</v>
      </c>
      <c r="AB48" t="s">
        <v>609</v>
      </c>
      <c r="AC48" s="30" t="s">
        <v>610</v>
      </c>
      <c r="AD48" s="30" t="s">
        <v>611</v>
      </c>
      <c r="AE48" s="30" t="s">
        <v>612</v>
      </c>
      <c r="AF48" s="30" t="s">
        <v>613</v>
      </c>
      <c r="AG48" s="30" t="s">
        <v>616</v>
      </c>
    </row>
    <row r="49" spans="1:33" x14ac:dyDescent="0.25">
      <c r="A49" s="7" t="s">
        <v>90</v>
      </c>
      <c r="B49" s="13" t="s">
        <v>297</v>
      </c>
      <c r="C49" s="13" t="s">
        <v>319</v>
      </c>
      <c r="D49" s="10">
        <v>300</v>
      </c>
      <c r="E49" s="10">
        <f t="shared" ref="E49:E60" si="2">IF(D49="","",D49*(1-$B$18))</f>
        <v>303</v>
      </c>
      <c r="F49" s="10">
        <f t="shared" ref="F49:F77" si="3">IF(E49="","",ABS(E49-$B$18))</f>
        <v>303.01</v>
      </c>
      <c r="G49" s="7" cm="1">
        <f t="array" ref="G49">IF(D49="","",
  _xlfn.LET(
    _xlpm.stock,--D49,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306.87166666666667</v>
      </c>
      <c r="H49" s="10">
        <f t="shared" ref="H49:H77" si="4">IF(G49="", "", ABS($B$21 - G49))</f>
        <v>41.618333333333339</v>
      </c>
      <c r="I49" s="7" cm="1">
        <f t="array" ref="I49">IF(E49="","",SUMPRODUCT((--($A$26:$A$45="bunker")) *(--(E49&gt;=$F$26:$F$45)) *(--(E49&lt;$G$26:$G$45)) *(0.25 * IF(ISNUMBER($E$26:$E$45), $E$26:$E$45, 0))) +IF(AND(ISNUMBER($B$18), $B$18=TRUE),SUMPRODUCT((--($A$26:$A$45="greenside")) *(--(E49&gt;=$F$26:$F$45)) *(--(E49&lt;$G$26:$G$45)) *(0.2 * IF(ISNUMBER($E$26:$E$45), $E$26:$E$45, 0))),0))</f>
        <v>0</v>
      </c>
      <c r="J49" s="7" t="b" cm="1">
        <f t="array" ref="J49">IF(E49="","",SUMPRODUCT(($A$26:$A$45="water")*(E49&gt;=$F$26:$F$45)*(E49&lt;$G$26:$G$45))&gt;0)</f>
        <v>0</v>
      </c>
      <c r="K49" s="7">
        <f t="shared" ref="K49:K77" si="5">IF(D49="","", _xlfn.LET(_xlpm.leave,H49, _xlpm.cap,300, 10*(1 - MIN(_xlpm.leave,_xlpm.cap)/_xlpm.cap)))</f>
        <v>8.6127222222222226</v>
      </c>
      <c r="L49" s="7" t="b">
        <f t="shared" ref="L49:L77" si="6">IF(D49="","",COUNTIFS($B$26:$B$45,"*LEFT*",$C$26:$C$45,"&lt;="&amp;D49+IF($B$3&gt;10,10,5),$D$26:$D$45,"&gt;="&amp;D49-IF($B$3&gt;10,10,5))&gt;0)</f>
        <v>0</v>
      </c>
      <c r="M49" s="7" t="b">
        <f t="shared" ref="M49:M77" si="7">IF(D49="","",COUNTIFS($B$26:$B$45,"*RIGHT*",$C$26:$C$45,"&lt;="&amp;D49+IF($B$3&gt;10,10,5),$D$26:$D$45,"&gt;="&amp;D49-IF($B$3&gt;10,10,5))&gt;0)</f>
        <v>0</v>
      </c>
      <c r="N49" s="7">
        <f t="shared" ref="N49:N77" si="8">IF(D49="","",SUMPRODUCT((N($C$26:$C$45)&lt;=N(D49))*(N($D$26:$D$45)&gt;=N(D49))*N($E$26:$E$45)))</f>
        <v>0</v>
      </c>
      <c r="O49" s="7">
        <f t="shared" ref="O49:O77" si="9">IF(D49="","",
  1 + 0.5*(
     L49*--(OR(AND($B$4="Draw",$B$2="Right"),AND($B$4="Fade",$B$2="Left"))) +
     M49*--(OR(AND($B$4="Fade",$B$2="Right"),AND($B$4="Draw",$B$2="Left")))
  )
)</f>
        <v>1</v>
      </c>
      <c r="P49" s="7">
        <f t="shared" ref="P49:P77" si="10">MAX(0, $B$3 * 0.165)</f>
        <v>2.5575000000000001</v>
      </c>
      <c r="Q49" s="7">
        <f t="shared" ref="Q49:Q77" si="11">IF(J49=TRUE, 2 + P49*0.5, IF(N49="", 0, N49 * (1 + P49/10)))</f>
        <v>0</v>
      </c>
      <c r="R49" s="21">
        <f t="shared" ref="R49:R77" si="12">IF(D49="","", ROUND(10/(1+EXP((H49-120)/25)),2))</f>
        <v>9.58</v>
      </c>
      <c r="S49" s="35">
        <f>MIN(1.25, MAX(0.9, 1 + $B$97 * ($B$96 / 1000)))</f>
        <v>1.01</v>
      </c>
      <c r="T49">
        <f t="shared" ref="T49:T77" si="13">IF(G49="","", ROUNDUP( MAX(6, G49*0.06*(1+$B$3/20)), 0))</f>
        <v>33</v>
      </c>
      <c r="U49" t="b">
        <f t="shared" ref="U49:U77" si="14">IF(G49="","", COUNTIFS($B$26:$B$45,"*LEFT*",
                        $C$26:$C$45,"&lt;="&amp;G49+T49,
                        $D$26:$D$45,"&gt;="&amp;G49-T49)&gt;0)</f>
        <v>0</v>
      </c>
      <c r="V49" t="b">
        <f t="shared" ref="V49:V77" si="15">IF(G49="","", COUNTIFS($B$26:$B$45,"*RIGHT*",
                        $C$26:$C$45,"&lt;="&amp;G49+T49,
                        $D$26:$D$45,"&gt;="&amp;G49-T49)&gt;0)</f>
        <v>0</v>
      </c>
      <c r="W49" t="b">
        <f t="shared" ref="W49:W77" si="16">IF(G49="","", COUNTIFS($B$26:$B$45,"*FRONT*",
                        $C$26:$C$45,"&lt;="&amp;G49+T49,
                        $D$26:$D$45,"&gt;="&amp;G49-T49)&gt;0)</f>
        <v>0</v>
      </c>
      <c r="X49" t="b">
        <f t="shared" ref="X49:X77" si="17">IF(G49="","", COUNTIFS($B$26:$B$45,"*BACK*",
                        $C$26:$C$45,"&lt;="&amp;G49+T49,
                        $D$26:$D$45,"&gt;="&amp;G49-T49)&gt;0)</f>
        <v>0</v>
      </c>
      <c r="Y49">
        <f t="shared" ref="Y49:Y77" si="18">IF(G49="","", SUMPRODUCT( (N($C$26:$C$45)&lt;=G49+T49)*(N($D$26:$D$45)&gt;=G49-T49)*N($E$26:$E$45) ))</f>
        <v>0</v>
      </c>
      <c r="Z49" t="b">
        <f t="shared" ref="Z49:Z77" si="19">IF(G49="","",
   OR(
     COUNTIFS($B$26:$B$45,"*FRONT*",$B$26:$B$45,"*RIGHT*",
              $C$26:$C$45,"&lt;="&amp;G49+T49,$D$26:$D$45,"&gt;="&amp;G49-T49)&gt;0,
     COUNTIFS($B$26:$B$45,"*BACK*",$B$26:$B$45,"*LEFT*",
              $C$26:$C$45,"&lt;="&amp;G49+T49,$D$26:$D$45,"&gt;="&amp;G49-T49)&gt;0
   )
)</f>
        <v>0</v>
      </c>
      <c r="AA49">
        <f t="shared" ref="AA49:AA77" si="20">IF(G49="","",
  1 + 0.25*(
      (ISNUMBER(SEARCH("left",  LOWER($B$16))))*U49 +
      (ISNUMBER(SEARCH("right", LOWER($B$16))))*V49
  )
)</f>
        <v>1</v>
      </c>
      <c r="AB49">
        <f t="shared" ref="AB49:AB77" si="21">IF(G49="","",
  1 + 0.25*(
      (ISNUMBER(SEARCH("front", LOWER($B$15))))*W49 +
      (ISNUMBER(SEARCH("back",  LOWER($B$15))))*X49
  )
)</f>
        <v>1</v>
      </c>
      <c r="AC49">
        <f t="shared" ref="AC49:AC77" si="22">IF(D49="","",
  _xlfn.LET(
    _xlpm.riskX,Y49,
    _xlpm.leftOv,U49,
    _xlpm.rightOv,V49,
    _xlpm.corner,Z49,
    _xlpm.pinS,AA49,
    _xlpm.pinD,AB49,
    _xlpm.hand,$B$2, _xlpm.shape,$B$4, _xlpm.hdcp,$B$3,
    _xlpm.alignLeft,OR(AND(_xlpm.shape="Draw",_xlpm.hand="Right"),AND(_xlpm.shape="Fade",_xlpm.hand="Left")),
    _xlpm.alignRight,OR(AND(_xlpm.shape="Fade",_xlpm.hand="Right"),AND(_xlpm.shape="Draw",_xlpm.hand="Left")),
    _xlpm.alignFactor,1+0.5*(_xlpm.leftOv*--_xlpm.alignLeft+_xlpm.rightOv*--_xlpm.alignRight),
    _xlpm.hdcpScale,MIN(1+_xlpm.hdcp/10,3),
    _xlpm.riskX*0.6*_xlpm.alignFactor*_xlpm.hdcpScale*(1+0.5*--_xlpm.corner)*_xlpm.pinS*_xlpm.pinD
  )
)</f>
        <v>0</v>
      </c>
      <c r="AD49" t="str" cm="1">
        <f t="array" ref="AD49">IF(G49="","",
  _xlfn.LET(
    _xlpm.starts, _xlfn._xlws.FILTER($C$26:$C$45, ($C$26:$C$45&lt;=G49+T49)*($D$26:$D$45&gt;=G49-T49)),
    IFERROR( MIN(_xlpm.starts) - T49 - 3, "" )
  )
)</f>
        <v/>
      </c>
      <c r="AE49" t="str" cm="1">
        <f t="array" ref="AE49">IF(G49="","",
  _xlfn.LET(
    _xlpm.clears, _xlfn._xlws.FILTER($D$26:$D$45, ($C$26:$C$45&lt;=G49+T49)*($D$26:$D$45&gt;=G49-T49)),
    IFERROR( MAX(_xlpm.clears) + T49 + 3, "" )
  )
)</f>
        <v/>
      </c>
      <c r="AF49" t="str">
        <f t="shared" ref="AF49:AF77" si="23">IF(G49="","",
  _xlfn.LET(_xlpm.short,AD49,_xlpm.long,AE49,
      _xlpm.ds,IF(_xlpm.short="","",ABS(G49-_xlpm.short)),
      _xlpm.dl,IF(_xlpm.long="","",ABS(G49-_xlpm.long)),
      IF(AND(_xlpm.ds&lt;&gt;"", _xlpm.dl&lt;&gt;""), IF(_xlpm.ds&lt;=_xlpm.dl,"Shorter to "&amp;ROUND(_xlpm.short,1),"Longer to "&amp;ROUND(_xlpm.long,1)),
         IF(_xlpm.ds&lt;&gt;"","Shorter to "&amp;ROUND(_xlpm.short,1), IF(_xlpm.dl&lt;&gt;"","Longer to "&amp;ROUND(_xlpm.long,1),""))))
)</f>
        <v/>
      </c>
      <c r="AG49">
        <f t="shared" ref="AG49:AG77" si="24">IF(D49="","",
   IF(J49,-1000000000,
      MAX(0, ROUND(10/(1+EXP((H49-120)/25)),2) - AC49)
   )
)</f>
        <v>9.58</v>
      </c>
    </row>
    <row r="50" spans="1:33" x14ac:dyDescent="0.25">
      <c r="A50" s="7" t="s">
        <v>98</v>
      </c>
      <c r="B50" s="13" t="s">
        <v>297</v>
      </c>
      <c r="C50" s="13" t="s">
        <v>319</v>
      </c>
      <c r="D50" s="10">
        <v>270</v>
      </c>
      <c r="E50" s="10">
        <f t="shared" si="2"/>
        <v>272.7</v>
      </c>
      <c r="F50" s="10">
        <f t="shared" si="3"/>
        <v>272.70999999999998</v>
      </c>
      <c r="G50" s="7" cm="1">
        <f t="array" ref="G50">IF(D50="","",
  _xlfn.LET(
    _xlpm.stock,--D50,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276.26866666666666</v>
      </c>
      <c r="H50" s="10">
        <f t="shared" si="4"/>
        <v>72.221333333333348</v>
      </c>
      <c r="I50" s="7" cm="1">
        <f t="array" ref="I50">IF(E50="","",SUMPRODUCT((--($A$26:$A$45="bunker")) *(--(E50&gt;=$F$26:$F$45)) *(--(E50&lt;$G$26:$G$45)) *(0.25 * IF(ISNUMBER($E$26:$E$45), $E$26:$E$45, 0))) +IF(AND(ISNUMBER($B$18), $B$18=TRUE),SUMPRODUCT((--($A$26:$A$45="greenside")) *(--(E50&gt;=$F$26:$F$45)) *(--(E50&lt;$G$26:$G$45)) *(0.2 * IF(ISNUMBER($E$26:$E$45), $E$26:$E$45, 0))),0))</f>
        <v>0</v>
      </c>
      <c r="J50" s="7" t="b" cm="1">
        <f t="array" ref="J50">IF(E50="","",SUMPRODUCT(($A$26:$A$45="water")*(E50&gt;=$F$26:$F$45)*(E50&lt;$G$26:$G$45))&gt;0)</f>
        <v>0</v>
      </c>
      <c r="K50" s="7">
        <f t="shared" si="5"/>
        <v>7.5926222222222215</v>
      </c>
      <c r="L50" s="7" t="b">
        <f t="shared" si="6"/>
        <v>0</v>
      </c>
      <c r="M50" s="7" t="b">
        <f t="shared" si="7"/>
        <v>0</v>
      </c>
      <c r="N50" s="7">
        <f t="shared" si="8"/>
        <v>0</v>
      </c>
      <c r="O50" s="7">
        <f t="shared" si="9"/>
        <v>1</v>
      </c>
      <c r="P50" s="7">
        <f t="shared" si="10"/>
        <v>2.5575000000000001</v>
      </c>
      <c r="Q50" s="7">
        <f t="shared" si="11"/>
        <v>0</v>
      </c>
      <c r="R50" s="21">
        <f t="shared" si="12"/>
        <v>8.7100000000000009</v>
      </c>
      <c r="S50" s="35">
        <f t="shared" ref="S50:S77" si="25">MIN(1.25, MAX(0.9, 1 + $B$97 * ($B$96 / 1000)))</f>
        <v>1.01</v>
      </c>
      <c r="T50">
        <f t="shared" si="13"/>
        <v>30</v>
      </c>
      <c r="U50" t="b">
        <f t="shared" si="14"/>
        <v>0</v>
      </c>
      <c r="V50" t="b">
        <f t="shared" si="15"/>
        <v>0</v>
      </c>
      <c r="W50" t="b">
        <f t="shared" si="16"/>
        <v>0</v>
      </c>
      <c r="X50" t="b">
        <f t="shared" si="17"/>
        <v>0</v>
      </c>
      <c r="Y50">
        <f t="shared" si="18"/>
        <v>0</v>
      </c>
      <c r="Z50" t="b">
        <f t="shared" si="19"/>
        <v>0</v>
      </c>
      <c r="AA50">
        <f t="shared" si="20"/>
        <v>1</v>
      </c>
      <c r="AB50">
        <f t="shared" si="21"/>
        <v>1</v>
      </c>
      <c r="AC50">
        <f t="shared" si="22"/>
        <v>0</v>
      </c>
      <c r="AD50" t="str" cm="1">
        <f t="array" ref="AD50">IF(G50="","",
  _xlfn.LET(
    _xlpm.starts, _xlfn._xlws.FILTER($C$26:$C$45, ($C$26:$C$45&lt;=G50+T50)*($D$26:$D$45&gt;=G50-T50)),
    IFERROR( MIN(_xlpm.starts) - T50 - 3, "" )
  )
)</f>
        <v/>
      </c>
      <c r="AE50" t="str" cm="1">
        <f t="array" ref="AE50">IF(G50="","",
  _xlfn.LET(
    _xlpm.clears, _xlfn._xlws.FILTER($D$26:$D$45, ($C$26:$C$45&lt;=G50+T50)*($D$26:$D$45&gt;=G50-T50)),
    IFERROR( MAX(_xlpm.clears) + T50 + 3, "" )
  )
)</f>
        <v/>
      </c>
      <c r="AF50" t="str">
        <f t="shared" si="23"/>
        <v/>
      </c>
      <c r="AG50">
        <f t="shared" si="24"/>
        <v>8.7100000000000009</v>
      </c>
    </row>
    <row r="51" spans="1:33" x14ac:dyDescent="0.25">
      <c r="A51" s="7" t="s">
        <v>448</v>
      </c>
      <c r="B51" s="13" t="s">
        <v>297</v>
      </c>
      <c r="C51" s="13" t="s">
        <v>319</v>
      </c>
      <c r="D51" s="10">
        <v>251</v>
      </c>
      <c r="E51" s="10">
        <f t="shared" si="2"/>
        <v>253.51</v>
      </c>
      <c r="F51" s="10">
        <f t="shared" si="3"/>
        <v>253.51999999999998</v>
      </c>
      <c r="G51" s="7" cm="1">
        <f t="array" ref="G51">IF(D51="","",
  _xlfn.LET(
    _xlpm.stock,--D51,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256.88676666666669</v>
      </c>
      <c r="H51" s="10">
        <f t="shared" si="4"/>
        <v>91.603233333333321</v>
      </c>
      <c r="I51" s="7" cm="1">
        <f t="array" ref="I51">IF(E51="","",SUMPRODUCT((--($A$26:$A$45="bunker")) *(--(E51&gt;=$F$26:$F$45)) *(--(E51&lt;$G$26:$G$45)) *(0.25 * IF(ISNUMBER($E$26:$E$45), $E$26:$E$45, 0))) +IF(AND(ISNUMBER($B$18), $B$18=TRUE),SUMPRODUCT((--($A$26:$A$45="greenside")) *(--(E51&gt;=$F$26:$F$45)) *(--(E51&lt;$G$26:$G$45)) *(0.2 * IF(ISNUMBER($E$26:$E$45), $E$26:$E$45, 0))),0))</f>
        <v>0</v>
      </c>
      <c r="J51" s="7" t="b" cm="1">
        <f t="array" ref="J51">IF(E51="","",SUMPRODUCT(($A$26:$A$45="water")*(E51&gt;=$F$26:$F$45)*(E51&lt;$G$26:$G$45))&gt;0)</f>
        <v>0</v>
      </c>
      <c r="K51" s="7">
        <f t="shared" si="5"/>
        <v>6.9465588888888892</v>
      </c>
      <c r="L51" s="7" t="b">
        <f t="shared" si="6"/>
        <v>0</v>
      </c>
      <c r="M51" s="7" t="b">
        <f t="shared" si="7"/>
        <v>0</v>
      </c>
      <c r="N51" s="7">
        <f t="shared" si="8"/>
        <v>0</v>
      </c>
      <c r="O51" s="7">
        <f t="shared" si="9"/>
        <v>1</v>
      </c>
      <c r="P51" s="7">
        <f t="shared" si="10"/>
        <v>2.5575000000000001</v>
      </c>
      <c r="Q51" s="7">
        <f t="shared" si="11"/>
        <v>0</v>
      </c>
      <c r="R51" s="21">
        <f t="shared" si="12"/>
        <v>7.57</v>
      </c>
      <c r="S51" s="35">
        <f t="shared" si="25"/>
        <v>1.01</v>
      </c>
      <c r="T51">
        <f t="shared" si="13"/>
        <v>28</v>
      </c>
      <c r="U51" t="b">
        <f t="shared" si="14"/>
        <v>0</v>
      </c>
      <c r="V51" t="b">
        <f t="shared" si="15"/>
        <v>0</v>
      </c>
      <c r="W51" t="b">
        <f t="shared" si="16"/>
        <v>0</v>
      </c>
      <c r="X51" t="b">
        <f t="shared" si="17"/>
        <v>0</v>
      </c>
      <c r="Y51">
        <f t="shared" si="18"/>
        <v>0</v>
      </c>
      <c r="Z51" t="b">
        <f t="shared" si="19"/>
        <v>0</v>
      </c>
      <c r="AA51">
        <f t="shared" si="20"/>
        <v>1</v>
      </c>
      <c r="AB51">
        <f t="shared" si="21"/>
        <v>1</v>
      </c>
      <c r="AC51">
        <f t="shared" si="22"/>
        <v>0</v>
      </c>
      <c r="AD51" t="str" cm="1">
        <f t="array" ref="AD51">IF(G51="","",
  _xlfn.LET(
    _xlpm.starts, _xlfn._xlws.FILTER($C$26:$C$45, ($C$26:$C$45&lt;=G51+T51)*($D$26:$D$45&gt;=G51-T51)),
    IFERROR( MIN(_xlpm.starts) - T51 - 3, "" )
  )
)</f>
        <v/>
      </c>
      <c r="AE51" t="str" cm="1">
        <f t="array" ref="AE51">IF(G51="","",
  _xlfn.LET(
    _xlpm.clears, _xlfn._xlws.FILTER($D$26:$D$45, ($C$26:$C$45&lt;=G51+T51)*($D$26:$D$45&gt;=G51-T51)),
    IFERROR( MAX(_xlpm.clears) + T51 + 3, "" )
  )
)</f>
        <v/>
      </c>
      <c r="AF51" t="str">
        <f t="shared" si="23"/>
        <v/>
      </c>
      <c r="AG51">
        <f t="shared" si="24"/>
        <v>7.57</v>
      </c>
    </row>
    <row r="52" spans="1:33" x14ac:dyDescent="0.25">
      <c r="A52" s="7" t="s">
        <v>106</v>
      </c>
      <c r="B52" s="13" t="s">
        <v>297</v>
      </c>
      <c r="C52" s="13" t="s">
        <v>319</v>
      </c>
      <c r="D52" s="10">
        <v>250</v>
      </c>
      <c r="E52" s="10">
        <f t="shared" si="2"/>
        <v>252.5</v>
      </c>
      <c r="F52" s="10">
        <f t="shared" si="3"/>
        <v>252.51</v>
      </c>
      <c r="G52" s="7" cm="1">
        <f t="array" ref="G52">IF(D52="","",
  _xlfn.LET(
    _xlpm.stock,--D52,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255.86666666666667</v>
      </c>
      <c r="H52" s="10">
        <f t="shared" si="4"/>
        <v>92.623333333333335</v>
      </c>
      <c r="I52" s="7" cm="1">
        <f t="array" ref="I52">IF(E52="","",SUMPRODUCT((--($A$26:$A$45="bunker")) *(--(E52&gt;=$F$26:$F$45)) *(--(E52&lt;$G$26:$G$45)) *(0.25 * IF(ISNUMBER($E$26:$E$45), $E$26:$E$45, 0))) +IF(AND(ISNUMBER($B$18), $B$18=TRUE),SUMPRODUCT((--($A$26:$A$45="greenside")) *(--(E52&gt;=$F$26:$F$45)) *(--(E52&lt;$G$26:$G$45)) *(0.2 * IF(ISNUMBER($E$26:$E$45), $E$26:$E$45, 0))),0))</f>
        <v>0</v>
      </c>
      <c r="J52" s="7" t="b" cm="1">
        <f t="array" ref="J52">IF(E52="","",SUMPRODUCT(($A$26:$A$45="water")*(E52&gt;=$F$26:$F$45)*(E52&lt;$G$26:$G$45))&gt;0)</f>
        <v>0</v>
      </c>
      <c r="K52" s="7">
        <f t="shared" si="5"/>
        <v>6.9125555555555547</v>
      </c>
      <c r="L52" s="7" t="b">
        <f t="shared" si="6"/>
        <v>0</v>
      </c>
      <c r="M52" s="7" t="b">
        <f t="shared" si="7"/>
        <v>0</v>
      </c>
      <c r="N52" s="7">
        <f t="shared" si="8"/>
        <v>0</v>
      </c>
      <c r="O52" s="7">
        <f t="shared" si="9"/>
        <v>1</v>
      </c>
      <c r="P52" s="7">
        <f t="shared" si="10"/>
        <v>2.5575000000000001</v>
      </c>
      <c r="Q52" s="7">
        <f t="shared" si="11"/>
        <v>0</v>
      </c>
      <c r="R52" s="21">
        <f t="shared" si="12"/>
        <v>7.49</v>
      </c>
      <c r="S52" s="35">
        <f t="shared" si="25"/>
        <v>1.01</v>
      </c>
      <c r="T52">
        <f t="shared" si="13"/>
        <v>28</v>
      </c>
      <c r="U52" t="b">
        <f t="shared" si="14"/>
        <v>0</v>
      </c>
      <c r="V52" t="b">
        <f t="shared" si="15"/>
        <v>0</v>
      </c>
      <c r="W52" t="b">
        <f t="shared" si="16"/>
        <v>0</v>
      </c>
      <c r="X52" t="b">
        <f t="shared" si="17"/>
        <v>0</v>
      </c>
      <c r="Y52">
        <f t="shared" si="18"/>
        <v>0</v>
      </c>
      <c r="Z52" t="b">
        <f t="shared" si="19"/>
        <v>0</v>
      </c>
      <c r="AA52">
        <f t="shared" si="20"/>
        <v>1</v>
      </c>
      <c r="AB52">
        <f t="shared" si="21"/>
        <v>1</v>
      </c>
      <c r="AC52">
        <f t="shared" si="22"/>
        <v>0</v>
      </c>
      <c r="AD52" t="str" cm="1">
        <f t="array" ref="AD52">IF(G52="","",
  _xlfn.LET(
    _xlpm.starts, _xlfn._xlws.FILTER($C$26:$C$45, ($C$26:$C$45&lt;=G52+T52)*($D$26:$D$45&gt;=G52-T52)),
    IFERROR( MIN(_xlpm.starts) - T52 - 3, "" )
  )
)</f>
        <v/>
      </c>
      <c r="AE52" t="str" cm="1">
        <f t="array" ref="AE52">IF(G52="","",
  _xlfn.LET(
    _xlpm.clears, _xlfn._xlws.FILTER($D$26:$D$45, ($C$26:$C$45&lt;=G52+T52)*($D$26:$D$45&gt;=G52-T52)),
    IFERROR( MAX(_xlpm.clears) + T52 + 3, "" )
  )
)</f>
        <v/>
      </c>
      <c r="AF52" t="str">
        <f t="shared" si="23"/>
        <v/>
      </c>
      <c r="AG52">
        <f t="shared" si="24"/>
        <v>7.49</v>
      </c>
    </row>
    <row r="53" spans="1:33" x14ac:dyDescent="0.25">
      <c r="A53" s="7" t="s">
        <v>447</v>
      </c>
      <c r="B53" s="13" t="s">
        <v>297</v>
      </c>
      <c r="C53" s="13" t="s">
        <v>319</v>
      </c>
      <c r="D53" s="10">
        <v>230</v>
      </c>
      <c r="E53" s="10">
        <f t="shared" si="2"/>
        <v>232.3</v>
      </c>
      <c r="F53" s="10">
        <f t="shared" si="3"/>
        <v>232.31</v>
      </c>
      <c r="G53" s="7" cm="1">
        <f t="array" ref="G53">IF(D53="","",
  _xlfn.LET(
    _xlpm.stock,--D53,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235.46466666666669</v>
      </c>
      <c r="H53" s="10">
        <f t="shared" si="4"/>
        <v>113.02533333333332</v>
      </c>
      <c r="I53" s="7" cm="1">
        <f t="array" ref="I53">IF(E53="","",SUMPRODUCT((--($A$26:$A$45="bunker")) *(--(E53&gt;=$F$26:$F$45)) *(--(E53&lt;$G$26:$G$45)) *(0.25 * IF(ISNUMBER($E$26:$E$45), $E$26:$E$45, 0))) +IF(AND(ISNUMBER($B$18), $B$18=TRUE),SUMPRODUCT((--($A$26:$A$45="greenside")) *(--(E53&gt;=$F$26:$F$45)) *(--(E53&lt;$G$26:$G$45)) *(0.2 * IF(ISNUMBER($E$26:$E$45), $E$26:$E$45, 0))),0))</f>
        <v>0</v>
      </c>
      <c r="J53" s="7" t="b" cm="1">
        <f t="array" ref="J53">IF(E53="","",SUMPRODUCT(($A$26:$A$45="water")*(E53&gt;=$F$26:$F$45)*(E53&lt;$G$26:$G$45))&gt;0)</f>
        <v>0</v>
      </c>
      <c r="K53" s="7">
        <f t="shared" si="5"/>
        <v>6.2324888888888896</v>
      </c>
      <c r="L53" s="7" t="b">
        <f t="shared" si="6"/>
        <v>0</v>
      </c>
      <c r="M53" s="7" t="b">
        <f t="shared" si="7"/>
        <v>0</v>
      </c>
      <c r="N53" s="7">
        <f t="shared" si="8"/>
        <v>0</v>
      </c>
      <c r="O53" s="7">
        <f t="shared" si="9"/>
        <v>1</v>
      </c>
      <c r="P53" s="7">
        <f t="shared" si="10"/>
        <v>2.5575000000000001</v>
      </c>
      <c r="Q53" s="7">
        <f t="shared" si="11"/>
        <v>0</v>
      </c>
      <c r="R53" s="21">
        <f t="shared" si="12"/>
        <v>5.69</v>
      </c>
      <c r="S53" s="35">
        <f t="shared" si="25"/>
        <v>1.01</v>
      </c>
      <c r="T53">
        <f t="shared" si="13"/>
        <v>26</v>
      </c>
      <c r="U53" t="b">
        <f t="shared" si="14"/>
        <v>0</v>
      </c>
      <c r="V53" t="b">
        <f t="shared" si="15"/>
        <v>0</v>
      </c>
      <c r="W53" t="b">
        <f t="shared" si="16"/>
        <v>0</v>
      </c>
      <c r="X53" t="b">
        <f t="shared" si="17"/>
        <v>0</v>
      </c>
      <c r="Y53">
        <f t="shared" si="18"/>
        <v>0</v>
      </c>
      <c r="Z53" t="b">
        <f t="shared" si="19"/>
        <v>0</v>
      </c>
      <c r="AA53">
        <f t="shared" si="20"/>
        <v>1</v>
      </c>
      <c r="AB53">
        <f t="shared" si="21"/>
        <v>1</v>
      </c>
      <c r="AC53">
        <f t="shared" si="22"/>
        <v>0</v>
      </c>
      <c r="AD53" t="str" cm="1">
        <f t="array" ref="AD53">IF(G53="","",
  _xlfn.LET(
    _xlpm.starts, _xlfn._xlws.FILTER($C$26:$C$45, ($C$26:$C$45&lt;=G53+T53)*($D$26:$D$45&gt;=G53-T53)),
    IFERROR( MIN(_xlpm.starts) - T53 - 3, "" )
  )
)</f>
        <v/>
      </c>
      <c r="AE53" t="str" cm="1">
        <f t="array" ref="AE53">IF(G53="","",
  _xlfn.LET(
    _xlpm.clears, _xlfn._xlws.FILTER($D$26:$D$45, ($C$26:$C$45&lt;=G53+T53)*($D$26:$D$45&gt;=G53-T53)),
    IFERROR( MAX(_xlpm.clears) + T53 + 3, "" )
  )
)</f>
        <v/>
      </c>
      <c r="AF53" t="str">
        <f t="shared" si="23"/>
        <v/>
      </c>
      <c r="AG53">
        <f t="shared" si="24"/>
        <v>5.69</v>
      </c>
    </row>
    <row r="54" spans="1:33" x14ac:dyDescent="0.25">
      <c r="A54" s="7" t="s">
        <v>122</v>
      </c>
      <c r="B54" s="13" t="s">
        <v>297</v>
      </c>
      <c r="C54" s="13" t="s">
        <v>449</v>
      </c>
      <c r="D54" s="10">
        <v>195</v>
      </c>
      <c r="E54" s="10">
        <f t="shared" si="2"/>
        <v>196.95</v>
      </c>
      <c r="F54" s="10">
        <f t="shared" si="3"/>
        <v>196.95999999999998</v>
      </c>
      <c r="G54" s="7" cm="1">
        <f t="array" ref="G54">IF(D54="","",
  _xlfn.LET(
    _xlpm.stock,--D54,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199.76116666666667</v>
      </c>
      <c r="H54" s="10">
        <f t="shared" si="4"/>
        <v>148.72883333333334</v>
      </c>
      <c r="I54" s="7" cm="1">
        <f t="array" ref="I54">IF(E54="","",SUMPRODUCT((--($A$26:$A$45="bunker")) *(--(E54&gt;=$F$26:$F$45)) *(--(E54&lt;$G$26:$G$45)) *(0.25 * IF(ISNUMBER($E$26:$E$45), $E$26:$E$45, 0))) +IF(AND(ISNUMBER($B$18), $B$18=TRUE),SUMPRODUCT((--($A$26:$A$45="greenside")) *(--(E54&gt;=$F$26:$F$45)) *(--(E54&lt;$G$26:$G$45)) *(0.2 * IF(ISNUMBER($E$26:$E$45), $E$26:$E$45, 0))),0))</f>
        <v>0</v>
      </c>
      <c r="J54" s="7" t="b" cm="1">
        <f t="array" ref="J54">IF(E54="","",SUMPRODUCT(($A$26:$A$45="water")*(E54&gt;=$F$26:$F$45)*(E54&lt;$G$26:$G$45))&gt;0)</f>
        <v>0</v>
      </c>
      <c r="K54" s="7">
        <f t="shared" si="5"/>
        <v>5.0423722222222223</v>
      </c>
      <c r="L54" s="7" t="b">
        <f t="shared" si="6"/>
        <v>0</v>
      </c>
      <c r="M54" s="7" t="b">
        <f t="shared" si="7"/>
        <v>0</v>
      </c>
      <c r="N54" s="7">
        <f t="shared" si="8"/>
        <v>0</v>
      </c>
      <c r="O54" s="7">
        <f t="shared" si="9"/>
        <v>1</v>
      </c>
      <c r="P54" s="7">
        <f t="shared" si="10"/>
        <v>2.5575000000000001</v>
      </c>
      <c r="Q54" s="7">
        <f t="shared" si="11"/>
        <v>0</v>
      </c>
      <c r="R54" s="21">
        <f t="shared" si="12"/>
        <v>2.41</v>
      </c>
      <c r="S54" s="35">
        <f t="shared" si="25"/>
        <v>1.01</v>
      </c>
      <c r="T54">
        <f t="shared" si="13"/>
        <v>22</v>
      </c>
      <c r="U54" t="b">
        <f t="shared" si="14"/>
        <v>0</v>
      </c>
      <c r="V54" t="b">
        <f t="shared" si="15"/>
        <v>0</v>
      </c>
      <c r="W54" t="b">
        <f t="shared" si="16"/>
        <v>0</v>
      </c>
      <c r="X54" t="b">
        <f t="shared" si="17"/>
        <v>0</v>
      </c>
      <c r="Y54">
        <f t="shared" si="18"/>
        <v>0</v>
      </c>
      <c r="Z54" t="b">
        <f t="shared" si="19"/>
        <v>0</v>
      </c>
      <c r="AA54">
        <f t="shared" si="20"/>
        <v>1</v>
      </c>
      <c r="AB54">
        <f t="shared" si="21"/>
        <v>1</v>
      </c>
      <c r="AC54">
        <f t="shared" si="22"/>
        <v>0</v>
      </c>
      <c r="AD54" t="str" cm="1">
        <f t="array" ref="AD54">IF(G54="","",
  _xlfn.LET(
    _xlpm.starts, _xlfn._xlws.FILTER($C$26:$C$45, ($C$26:$C$45&lt;=G54+T54)*($D$26:$D$45&gt;=G54-T54)),
    IFERROR( MIN(_xlpm.starts) - T54 - 3, "" )
  )
)</f>
        <v/>
      </c>
      <c r="AE54" t="str" cm="1">
        <f t="array" ref="AE54">IF(G54="","",
  _xlfn.LET(
    _xlpm.clears, _xlfn._xlws.FILTER($D$26:$D$45, ($C$26:$C$45&lt;=G54+T54)*($D$26:$D$45&gt;=G54-T54)),
    IFERROR( MAX(_xlpm.clears) + T54 + 3, "" )
  )
)</f>
        <v/>
      </c>
      <c r="AF54" t="str">
        <f t="shared" si="23"/>
        <v/>
      </c>
      <c r="AG54">
        <f t="shared" si="24"/>
        <v>2.41</v>
      </c>
    </row>
    <row r="55" spans="1:33" x14ac:dyDescent="0.25">
      <c r="A55" s="7" t="s">
        <v>130</v>
      </c>
      <c r="B55" s="13" t="s">
        <v>297</v>
      </c>
      <c r="C55" s="13" t="s">
        <v>449</v>
      </c>
      <c r="D55" s="10">
        <v>180</v>
      </c>
      <c r="E55" s="10">
        <f t="shared" si="2"/>
        <v>181.8</v>
      </c>
      <c r="F55" s="10">
        <f t="shared" si="3"/>
        <v>181.81</v>
      </c>
      <c r="G55" s="7" cm="1">
        <f t="array" ref="G55">IF(D55="","",
  _xlfn.LET(
    _xlpm.stock,--D55,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184.45966666666669</v>
      </c>
      <c r="H55" s="10">
        <f t="shared" si="4"/>
        <v>164.03033333333332</v>
      </c>
      <c r="I55" s="7" cm="1">
        <f t="array" ref="I55">IF(E55="","",SUMPRODUCT((--($A$26:$A$45="bunker")) *(--(E55&gt;=$F$26:$F$45)) *(--(E55&lt;$G$26:$G$45)) *(0.25 * IF(ISNUMBER($E$26:$E$45), $E$26:$E$45, 0))) +IF(AND(ISNUMBER($B$18), $B$18=TRUE),SUMPRODUCT((--($A$26:$A$45="greenside")) *(--(E55&gt;=$F$26:$F$45)) *(--(E55&lt;$G$26:$G$45)) *(0.2 * IF(ISNUMBER($E$26:$E$45), $E$26:$E$45, 0))),0))</f>
        <v>0</v>
      </c>
      <c r="J55" s="7" t="b" cm="1">
        <f t="array" ref="J55">IF(E55="","",SUMPRODUCT(($A$26:$A$45="water")*(E55&gt;=$F$26:$F$45)*(E55&lt;$G$26:$G$45))&gt;0)</f>
        <v>0</v>
      </c>
      <c r="K55" s="7">
        <f t="shared" si="5"/>
        <v>4.5323222222222226</v>
      </c>
      <c r="L55" s="7" t="b">
        <f t="shared" si="6"/>
        <v>0</v>
      </c>
      <c r="M55" s="7" t="b">
        <f t="shared" si="7"/>
        <v>0</v>
      </c>
      <c r="N55" s="7">
        <f t="shared" si="8"/>
        <v>0</v>
      </c>
      <c r="O55" s="7">
        <f t="shared" si="9"/>
        <v>1</v>
      </c>
      <c r="P55" s="7">
        <f t="shared" si="10"/>
        <v>2.5575000000000001</v>
      </c>
      <c r="Q55" s="7">
        <f t="shared" si="11"/>
        <v>0</v>
      </c>
      <c r="R55" s="21">
        <f t="shared" si="12"/>
        <v>1.47</v>
      </c>
      <c r="S55" s="35">
        <f t="shared" si="25"/>
        <v>1.01</v>
      </c>
      <c r="T55">
        <f t="shared" si="13"/>
        <v>20</v>
      </c>
      <c r="U55" t="b">
        <f t="shared" si="14"/>
        <v>0</v>
      </c>
      <c r="V55" t="b">
        <f t="shared" si="15"/>
        <v>0</v>
      </c>
      <c r="W55" t="b">
        <f t="shared" si="16"/>
        <v>0</v>
      </c>
      <c r="X55" t="b">
        <f t="shared" si="17"/>
        <v>0</v>
      </c>
      <c r="Y55">
        <f t="shared" si="18"/>
        <v>0</v>
      </c>
      <c r="Z55" t="b">
        <f t="shared" si="19"/>
        <v>0</v>
      </c>
      <c r="AA55">
        <f t="shared" si="20"/>
        <v>1</v>
      </c>
      <c r="AB55">
        <f t="shared" si="21"/>
        <v>1</v>
      </c>
      <c r="AC55">
        <f t="shared" si="22"/>
        <v>0</v>
      </c>
      <c r="AD55" t="str" cm="1">
        <f t="array" ref="AD55">IF(G55="","",
  _xlfn.LET(
    _xlpm.starts, _xlfn._xlws.FILTER($C$26:$C$45, ($C$26:$C$45&lt;=G55+T55)*($D$26:$D$45&gt;=G55-T55)),
    IFERROR( MIN(_xlpm.starts) - T55 - 3, "" )
  )
)</f>
        <v/>
      </c>
      <c r="AE55" t="str" cm="1">
        <f t="array" ref="AE55">IF(G55="","",
  _xlfn.LET(
    _xlpm.clears, _xlfn._xlws.FILTER($D$26:$D$45, ($C$26:$C$45&lt;=G55+T55)*($D$26:$D$45&gt;=G55-T55)),
    IFERROR( MAX(_xlpm.clears) + T55 + 3, "" )
  )
)</f>
        <v/>
      </c>
      <c r="AF55" t="str">
        <f t="shared" si="23"/>
        <v/>
      </c>
      <c r="AG55">
        <f t="shared" si="24"/>
        <v>1.47</v>
      </c>
    </row>
    <row r="56" spans="1:33" x14ac:dyDescent="0.25">
      <c r="A56" s="7" t="s">
        <v>138</v>
      </c>
      <c r="B56" s="13" t="s">
        <v>297</v>
      </c>
      <c r="C56" s="13" t="s">
        <v>449</v>
      </c>
      <c r="D56" s="10">
        <v>165</v>
      </c>
      <c r="E56" s="10">
        <f t="shared" si="2"/>
        <v>166.65</v>
      </c>
      <c r="F56" s="10">
        <f t="shared" si="3"/>
        <v>166.66</v>
      </c>
      <c r="G56" s="7" cm="1">
        <f t="array" ref="G56">IF(D56="","",
  _xlfn.LET(
    _xlpm.stock,--D56,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169.15816666666669</v>
      </c>
      <c r="H56" s="10">
        <f t="shared" si="4"/>
        <v>179.33183333333332</v>
      </c>
      <c r="I56" s="7" cm="1">
        <f t="array" ref="I56">IF(E56="","",SUMPRODUCT((--($A$26:$A$45="bunker")) *(--(E56&gt;=$F$26:$F$45)) *(--(E56&lt;$G$26:$G$45)) *(0.25 * IF(ISNUMBER($E$26:$E$45), $E$26:$E$45, 0))) +IF(AND(ISNUMBER($B$18), $B$18=TRUE),SUMPRODUCT((--($A$26:$A$45="greenside")) *(--(E56&gt;=$F$26:$F$45)) *(--(E56&lt;$G$26:$G$45)) *(0.2 * IF(ISNUMBER($E$26:$E$45), $E$26:$E$45, 0))),0))</f>
        <v>0</v>
      </c>
      <c r="J56" s="7" t="b" cm="1">
        <f t="array" ref="J56">IF(E56="","",SUMPRODUCT(($A$26:$A$45="water")*(E56&gt;=$F$26:$F$45)*(E56&lt;$G$26:$G$45))&gt;0)</f>
        <v>0</v>
      </c>
      <c r="K56" s="7">
        <f t="shared" si="5"/>
        <v>4.0222722222222229</v>
      </c>
      <c r="L56" s="7" t="b">
        <f t="shared" si="6"/>
        <v>0</v>
      </c>
      <c r="M56" s="7" t="b">
        <f t="shared" si="7"/>
        <v>0</v>
      </c>
      <c r="N56" s="7">
        <f t="shared" si="8"/>
        <v>0</v>
      </c>
      <c r="O56" s="7">
        <f t="shared" si="9"/>
        <v>1</v>
      </c>
      <c r="P56" s="7">
        <f t="shared" si="10"/>
        <v>2.5575000000000001</v>
      </c>
      <c r="Q56" s="7">
        <f t="shared" si="11"/>
        <v>0</v>
      </c>
      <c r="R56" s="21">
        <f t="shared" si="12"/>
        <v>0.85</v>
      </c>
      <c r="S56" s="35">
        <f t="shared" si="25"/>
        <v>1.01</v>
      </c>
      <c r="T56">
        <f t="shared" si="13"/>
        <v>19</v>
      </c>
      <c r="U56" t="b">
        <f t="shared" si="14"/>
        <v>0</v>
      </c>
      <c r="V56" t="b">
        <f t="shared" si="15"/>
        <v>0</v>
      </c>
      <c r="W56" t="b">
        <f t="shared" si="16"/>
        <v>0</v>
      </c>
      <c r="X56" t="b">
        <f t="shared" si="17"/>
        <v>0</v>
      </c>
      <c r="Y56">
        <f t="shared" si="18"/>
        <v>0</v>
      </c>
      <c r="Z56" t="b">
        <f t="shared" si="19"/>
        <v>0</v>
      </c>
      <c r="AA56">
        <f t="shared" si="20"/>
        <v>1</v>
      </c>
      <c r="AB56">
        <f t="shared" si="21"/>
        <v>1</v>
      </c>
      <c r="AC56">
        <f t="shared" si="22"/>
        <v>0</v>
      </c>
      <c r="AD56" t="str" cm="1">
        <f t="array" ref="AD56">IF(G56="","",
  _xlfn.LET(
    _xlpm.starts, _xlfn._xlws.FILTER($C$26:$C$45, ($C$26:$C$45&lt;=G56+T56)*($D$26:$D$45&gt;=G56-T56)),
    IFERROR( MIN(_xlpm.starts) - T56 - 3, "" )
  )
)</f>
        <v/>
      </c>
      <c r="AE56" t="str" cm="1">
        <f t="array" ref="AE56">IF(G56="","",
  _xlfn.LET(
    _xlpm.clears, _xlfn._xlws.FILTER($D$26:$D$45, ($C$26:$C$45&lt;=G56+T56)*($D$26:$D$45&gt;=G56-T56)),
    IFERROR( MAX(_xlpm.clears) + T56 + 3, "" )
  )
)</f>
        <v/>
      </c>
      <c r="AF56" t="str">
        <f t="shared" si="23"/>
        <v/>
      </c>
      <c r="AG56">
        <f t="shared" si="24"/>
        <v>0.85</v>
      </c>
    </row>
    <row r="57" spans="1:33" x14ac:dyDescent="0.25">
      <c r="A57" s="7" t="s">
        <v>146</v>
      </c>
      <c r="B57" s="13" t="s">
        <v>297</v>
      </c>
      <c r="C57" s="13" t="s">
        <v>449</v>
      </c>
      <c r="D57" s="10">
        <v>150</v>
      </c>
      <c r="E57" s="10">
        <f t="shared" si="2"/>
        <v>151.5</v>
      </c>
      <c r="F57" s="10">
        <f t="shared" si="3"/>
        <v>151.51</v>
      </c>
      <c r="G57" s="7" cm="1">
        <f t="array" ref="G57">IF(D57="","",
  _xlfn.LET(
    _xlpm.stock,--D57,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153.85666666666668</v>
      </c>
      <c r="H57" s="10">
        <f t="shared" si="4"/>
        <v>194.63333333333333</v>
      </c>
      <c r="I57" s="7" cm="1">
        <f t="array" ref="I57">IF(E57="","",SUMPRODUCT((--($A$26:$A$45="bunker")) *(--(E57&gt;=$F$26:$F$45)) *(--(E57&lt;$G$26:$G$45)) *(0.25 * IF(ISNUMBER($E$26:$E$45), $E$26:$E$45, 0))) +IF(AND(ISNUMBER($B$18), $B$18=TRUE),SUMPRODUCT((--($A$26:$A$45="greenside")) *(--(E57&gt;=$F$26:$F$45)) *(--(E57&lt;$G$26:$G$45)) *(0.2 * IF(ISNUMBER($E$26:$E$45), $E$26:$E$45, 0))),0))</f>
        <v>0</v>
      </c>
      <c r="J57" s="7" t="b" cm="1">
        <f t="array" ref="J57">IF(E57="","",SUMPRODUCT(($A$26:$A$45="water")*(E57&gt;=$F$26:$F$45)*(E57&lt;$G$26:$G$45))&gt;0)</f>
        <v>0</v>
      </c>
      <c r="K57" s="7">
        <f t="shared" si="5"/>
        <v>3.5122222222222224</v>
      </c>
      <c r="L57" s="7" t="b">
        <f t="shared" si="6"/>
        <v>0</v>
      </c>
      <c r="M57" s="7" t="b">
        <f t="shared" si="7"/>
        <v>0</v>
      </c>
      <c r="N57" s="7">
        <f t="shared" si="8"/>
        <v>0</v>
      </c>
      <c r="O57" s="7">
        <f t="shared" si="9"/>
        <v>1</v>
      </c>
      <c r="P57" s="7">
        <f t="shared" si="10"/>
        <v>2.5575000000000001</v>
      </c>
      <c r="Q57" s="7">
        <f t="shared" si="11"/>
        <v>0</v>
      </c>
      <c r="R57" s="21">
        <f t="shared" si="12"/>
        <v>0.48</v>
      </c>
      <c r="S57" s="35">
        <f t="shared" si="25"/>
        <v>1.01</v>
      </c>
      <c r="T57">
        <f t="shared" si="13"/>
        <v>17</v>
      </c>
      <c r="U57" t="b">
        <f t="shared" si="14"/>
        <v>0</v>
      </c>
      <c r="V57" t="b">
        <f t="shared" si="15"/>
        <v>0</v>
      </c>
      <c r="W57" t="b">
        <f t="shared" si="16"/>
        <v>0</v>
      </c>
      <c r="X57" t="b">
        <f t="shared" si="17"/>
        <v>0</v>
      </c>
      <c r="Y57">
        <f t="shared" si="18"/>
        <v>0</v>
      </c>
      <c r="Z57" t="b">
        <f t="shared" si="19"/>
        <v>0</v>
      </c>
      <c r="AA57">
        <f t="shared" si="20"/>
        <v>1</v>
      </c>
      <c r="AB57">
        <f t="shared" si="21"/>
        <v>1</v>
      </c>
      <c r="AC57">
        <f t="shared" si="22"/>
        <v>0</v>
      </c>
      <c r="AD57" t="str" cm="1">
        <f t="array" ref="AD57">IF(G57="","",
  _xlfn.LET(
    _xlpm.starts, _xlfn._xlws.FILTER($C$26:$C$45, ($C$26:$C$45&lt;=G57+T57)*($D$26:$D$45&gt;=G57-T57)),
    IFERROR( MIN(_xlpm.starts) - T57 - 3, "" )
  )
)</f>
        <v/>
      </c>
      <c r="AE57" t="str" cm="1">
        <f t="array" ref="AE57">IF(G57="","",
  _xlfn.LET(
    _xlpm.clears, _xlfn._xlws.FILTER($D$26:$D$45, ($C$26:$C$45&lt;=G57+T57)*($D$26:$D$45&gt;=G57-T57)),
    IFERROR( MAX(_xlpm.clears) + T57 + 3, "" )
  )
)</f>
        <v/>
      </c>
      <c r="AF57" t="str">
        <f t="shared" si="23"/>
        <v/>
      </c>
      <c r="AG57">
        <f t="shared" si="24"/>
        <v>0.48</v>
      </c>
    </row>
    <row r="58" spans="1:33" x14ac:dyDescent="0.25">
      <c r="A58" s="7" t="s">
        <v>154</v>
      </c>
      <c r="B58" s="13" t="s">
        <v>297</v>
      </c>
      <c r="C58" s="13" t="s">
        <v>449</v>
      </c>
      <c r="D58" s="10">
        <v>135</v>
      </c>
      <c r="E58" s="10">
        <f t="shared" si="2"/>
        <v>136.35</v>
      </c>
      <c r="F58" s="10">
        <f t="shared" si="3"/>
        <v>136.35999999999999</v>
      </c>
      <c r="G58" s="7" cm="1">
        <f t="array" ref="G58">IF(D58="","",
  _xlfn.LET(
    _xlpm.stock,--D58,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138.40366666666665</v>
      </c>
      <c r="H58" s="10">
        <f t="shared" si="4"/>
        <v>210.08633333333336</v>
      </c>
      <c r="I58" s="7" cm="1">
        <f t="array" ref="I58">IF(E58="","",SUMPRODUCT((--($A$26:$A$45="bunker")) *(--(E58&gt;=$F$26:$F$45)) *(--(E58&lt;$G$26:$G$45)) *(0.25 * IF(ISNUMBER($E$26:$E$45), $E$26:$E$45, 0))) +IF(AND(ISNUMBER($B$18), $B$18=TRUE),SUMPRODUCT((--($A$26:$A$45="greenside")) *(--(E58&gt;=$F$26:$F$45)) *(--(E58&lt;$G$26:$G$45)) *(0.2 * IF(ISNUMBER($E$26:$E$45), $E$26:$E$45, 0))),0))</f>
        <v>0</v>
      </c>
      <c r="J58" s="7" t="b" cm="1">
        <f t="array" ref="J58">IF(E58="","",SUMPRODUCT(($A$26:$A$45="water")*(E58&gt;=$F$26:$F$45)*(E58&lt;$G$26:$G$45))&gt;0)</f>
        <v>0</v>
      </c>
      <c r="K58" s="7">
        <f t="shared" si="5"/>
        <v>2.9971222222222216</v>
      </c>
      <c r="L58" s="7" t="b">
        <f t="shared" si="6"/>
        <v>0</v>
      </c>
      <c r="M58" s="7" t="b">
        <f t="shared" si="7"/>
        <v>0</v>
      </c>
      <c r="N58" s="7">
        <f t="shared" si="8"/>
        <v>0</v>
      </c>
      <c r="O58" s="7">
        <f t="shared" si="9"/>
        <v>1</v>
      </c>
      <c r="P58" s="7">
        <f t="shared" si="10"/>
        <v>2.5575000000000001</v>
      </c>
      <c r="Q58" s="7">
        <f t="shared" si="11"/>
        <v>0</v>
      </c>
      <c r="R58" s="21">
        <f t="shared" si="12"/>
        <v>0.27</v>
      </c>
      <c r="S58" s="35">
        <f t="shared" si="25"/>
        <v>1.01</v>
      </c>
      <c r="T58">
        <f t="shared" si="13"/>
        <v>15</v>
      </c>
      <c r="U58" t="b">
        <f t="shared" si="14"/>
        <v>0</v>
      </c>
      <c r="V58" t="b">
        <f t="shared" si="15"/>
        <v>0</v>
      </c>
      <c r="W58" t="b">
        <f t="shared" si="16"/>
        <v>0</v>
      </c>
      <c r="X58" t="b">
        <f t="shared" si="17"/>
        <v>0</v>
      </c>
      <c r="Y58">
        <f t="shared" si="18"/>
        <v>0</v>
      </c>
      <c r="Z58" t="b">
        <f t="shared" si="19"/>
        <v>0</v>
      </c>
      <c r="AA58">
        <f t="shared" si="20"/>
        <v>1</v>
      </c>
      <c r="AB58">
        <f t="shared" si="21"/>
        <v>1</v>
      </c>
      <c r="AC58">
        <f t="shared" si="22"/>
        <v>0</v>
      </c>
      <c r="AD58" t="str" cm="1">
        <f t="array" ref="AD58">IF(G58="","",
  _xlfn.LET(
    _xlpm.starts, _xlfn._xlws.FILTER($C$26:$C$45, ($C$26:$C$45&lt;=G58+T58)*($D$26:$D$45&gt;=G58-T58)),
    IFERROR( MIN(_xlpm.starts) - T58 - 3, "" )
  )
)</f>
        <v/>
      </c>
      <c r="AE58" t="str" cm="1">
        <f t="array" ref="AE58">IF(G58="","",
  _xlfn.LET(
    _xlpm.clears, _xlfn._xlws.FILTER($D$26:$D$45, ($C$26:$C$45&lt;=G58+T58)*($D$26:$D$45&gt;=G58-T58)),
    IFERROR( MAX(_xlpm.clears) + T58 + 3, "" )
  )
)</f>
        <v/>
      </c>
      <c r="AF58" t="str">
        <f t="shared" si="23"/>
        <v/>
      </c>
      <c r="AG58">
        <f t="shared" si="24"/>
        <v>0.27</v>
      </c>
    </row>
    <row r="59" spans="1:33" x14ac:dyDescent="0.25">
      <c r="A59" s="7" t="s">
        <v>162</v>
      </c>
      <c r="B59" s="13" t="s">
        <v>297</v>
      </c>
      <c r="C59" s="13" t="s">
        <v>449</v>
      </c>
      <c r="D59" s="10">
        <v>125</v>
      </c>
      <c r="E59" s="10">
        <f t="shared" si="2"/>
        <v>126.25</v>
      </c>
      <c r="F59" s="10">
        <f t="shared" si="3"/>
        <v>126.26</v>
      </c>
      <c r="G59" s="7" cm="1">
        <f t="array" ref="G59">IF(D59="","",
  _xlfn.LET(
    _xlpm.stock,--D59,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128.10166666666666</v>
      </c>
      <c r="H59" s="10">
        <f t="shared" si="4"/>
        <v>220.38833333333335</v>
      </c>
      <c r="I59" s="7" cm="1">
        <f t="array" ref="I59">IF(E59="","",SUMPRODUCT((--($A$26:$A$45="bunker")) *(--(E59&gt;=$F$26:$F$45)) *(--(E59&lt;$G$26:$G$45)) *(0.25 * IF(ISNUMBER($E$26:$E$45), $E$26:$E$45, 0))) +IF(AND(ISNUMBER($B$18), $B$18=TRUE),SUMPRODUCT((--($A$26:$A$45="greenside")) *(--(E59&gt;=$F$26:$F$45)) *(--(E59&lt;$G$26:$G$45)) *(0.2 * IF(ISNUMBER($E$26:$E$45), $E$26:$E$45, 0))),0))</f>
        <v>0</v>
      </c>
      <c r="J59" s="7" t="b" cm="1">
        <f t="array" ref="J59">IF(E59="","",SUMPRODUCT(($A$26:$A$45="water")*(E59&gt;=$F$26:$F$45)*(E59&lt;$G$26:$G$45))&gt;0)</f>
        <v>0</v>
      </c>
      <c r="K59" s="7">
        <f t="shared" si="5"/>
        <v>2.6537222222222212</v>
      </c>
      <c r="L59" s="7" t="b">
        <f t="shared" si="6"/>
        <v>0</v>
      </c>
      <c r="M59" s="7" t="b">
        <f t="shared" si="7"/>
        <v>0</v>
      </c>
      <c r="N59" s="7">
        <f t="shared" si="8"/>
        <v>0</v>
      </c>
      <c r="O59" s="7">
        <f t="shared" si="9"/>
        <v>1</v>
      </c>
      <c r="P59" s="7">
        <f t="shared" si="10"/>
        <v>2.5575000000000001</v>
      </c>
      <c r="Q59" s="7">
        <f t="shared" si="11"/>
        <v>0</v>
      </c>
      <c r="R59" s="21">
        <f t="shared" si="12"/>
        <v>0.18</v>
      </c>
      <c r="S59" s="35">
        <f t="shared" si="25"/>
        <v>1.01</v>
      </c>
      <c r="T59">
        <f t="shared" si="13"/>
        <v>14</v>
      </c>
      <c r="U59" t="b">
        <f t="shared" si="14"/>
        <v>0</v>
      </c>
      <c r="V59" t="b">
        <f t="shared" si="15"/>
        <v>0</v>
      </c>
      <c r="W59" t="b">
        <f t="shared" si="16"/>
        <v>0</v>
      </c>
      <c r="X59" t="b">
        <f t="shared" si="17"/>
        <v>0</v>
      </c>
      <c r="Y59">
        <f t="shared" si="18"/>
        <v>0</v>
      </c>
      <c r="Z59" t="b">
        <f t="shared" si="19"/>
        <v>0</v>
      </c>
      <c r="AA59">
        <f t="shared" si="20"/>
        <v>1</v>
      </c>
      <c r="AB59">
        <f t="shared" si="21"/>
        <v>1</v>
      </c>
      <c r="AC59">
        <f t="shared" si="22"/>
        <v>0</v>
      </c>
      <c r="AD59" t="str" cm="1">
        <f t="array" ref="AD59">IF(G59="","",
  _xlfn.LET(
    _xlpm.starts, _xlfn._xlws.FILTER($C$26:$C$45, ($C$26:$C$45&lt;=G59+T59)*($D$26:$D$45&gt;=G59-T59)),
    IFERROR( MIN(_xlpm.starts) - T59 - 3, "" )
  )
)</f>
        <v/>
      </c>
      <c r="AE59" t="str" cm="1">
        <f t="array" ref="AE59">IF(G59="","",
  _xlfn.LET(
    _xlpm.clears, _xlfn._xlws.FILTER($D$26:$D$45, ($C$26:$C$45&lt;=G59+T59)*($D$26:$D$45&gt;=G59-T59)),
    IFERROR( MAX(_xlpm.clears) + T59 + 3, "" )
  )
)</f>
        <v/>
      </c>
      <c r="AF59" t="str">
        <f t="shared" si="23"/>
        <v/>
      </c>
      <c r="AG59">
        <f t="shared" si="24"/>
        <v>0.18</v>
      </c>
    </row>
    <row r="60" spans="1:33" x14ac:dyDescent="0.25">
      <c r="A60" s="14" t="s">
        <v>329</v>
      </c>
      <c r="B60" s="13" t="s">
        <v>297</v>
      </c>
      <c r="C60" s="13" t="s">
        <v>449</v>
      </c>
      <c r="D60" s="10">
        <v>105</v>
      </c>
      <c r="E60" s="10">
        <f t="shared" si="2"/>
        <v>106.05</v>
      </c>
      <c r="F60" s="10">
        <f t="shared" si="3"/>
        <v>106.06</v>
      </c>
      <c r="G60" s="7" cm="1">
        <f t="array" ref="G60">IF(D60="","",
  _xlfn.LET(
    _xlpm.stock,--D60,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107.49766666666666</v>
      </c>
      <c r="H60" s="10">
        <f t="shared" si="4"/>
        <v>240.99233333333336</v>
      </c>
      <c r="I60" s="7" cm="1">
        <f t="array" ref="I60">IF(E60="","",SUMPRODUCT((--($A$26:$A$45="bunker")) *(--(E60&gt;=$F$26:$F$45)) *(--(E60&lt;$G$26:$G$45)) *(0.25 * IF(ISNUMBER($E$26:$E$45), $E$26:$E$45, 0))) +IF(AND(ISNUMBER($B$18), $B$18=TRUE),SUMPRODUCT((--($A$26:$A$45="greenside")) *(--(E60&gt;=$F$26:$F$45)) *(--(E60&lt;$G$26:$G$45)) *(0.2 * IF(ISNUMBER($E$26:$E$45), $E$26:$E$45, 0))),0))</f>
        <v>0</v>
      </c>
      <c r="J60" s="7" t="b" cm="1">
        <f t="array" ref="J60">IF(E60="","",SUMPRODUCT(($A$26:$A$45="water")*(E60&gt;=$F$26:$F$45)*(E60&lt;$G$26:$G$45))&gt;0)</f>
        <v>0</v>
      </c>
      <c r="K60" s="7">
        <f t="shared" si="5"/>
        <v>1.9669222222222216</v>
      </c>
      <c r="L60" s="7" t="b">
        <f t="shared" si="6"/>
        <v>0</v>
      </c>
      <c r="M60" s="7" t="b">
        <f t="shared" si="7"/>
        <v>0</v>
      </c>
      <c r="N60" s="7">
        <f t="shared" si="8"/>
        <v>0</v>
      </c>
      <c r="O60" s="7">
        <f t="shared" si="9"/>
        <v>1</v>
      </c>
      <c r="P60" s="7">
        <f t="shared" si="10"/>
        <v>2.5575000000000001</v>
      </c>
      <c r="Q60" s="7">
        <f t="shared" si="11"/>
        <v>0</v>
      </c>
      <c r="R60" s="21">
        <f t="shared" si="12"/>
        <v>0.08</v>
      </c>
      <c r="S60" s="35">
        <f t="shared" si="25"/>
        <v>1.01</v>
      </c>
      <c r="T60">
        <f t="shared" si="13"/>
        <v>12</v>
      </c>
      <c r="U60" t="b">
        <f t="shared" si="14"/>
        <v>0</v>
      </c>
      <c r="V60" t="b">
        <f t="shared" si="15"/>
        <v>0</v>
      </c>
      <c r="W60" t="b">
        <f t="shared" si="16"/>
        <v>0</v>
      </c>
      <c r="X60" t="b">
        <f t="shared" si="17"/>
        <v>0</v>
      </c>
      <c r="Y60">
        <f t="shared" si="18"/>
        <v>0</v>
      </c>
      <c r="Z60" t="b">
        <f t="shared" si="19"/>
        <v>0</v>
      </c>
      <c r="AA60">
        <f t="shared" si="20"/>
        <v>1</v>
      </c>
      <c r="AB60">
        <f t="shared" si="21"/>
        <v>1</v>
      </c>
      <c r="AC60">
        <f t="shared" si="22"/>
        <v>0</v>
      </c>
      <c r="AD60" t="str" cm="1">
        <f t="array" ref="AD60">IF(G60="","",
  _xlfn.LET(
    _xlpm.starts, _xlfn._xlws.FILTER($C$26:$C$45, ($C$26:$C$45&lt;=G60+T60)*($D$26:$D$45&gt;=G60-T60)),
    IFERROR( MIN(_xlpm.starts) - T60 - 3, "" )
  )
)</f>
        <v/>
      </c>
      <c r="AE60" t="str" cm="1">
        <f t="array" ref="AE60">IF(G60="","",
  _xlfn.LET(
    _xlpm.clears, _xlfn._xlws.FILTER($D$26:$D$45, ($C$26:$C$45&lt;=G60+T60)*($D$26:$D$45&gt;=G60-T60)),
    IFERROR( MAX(_xlpm.clears) + T60 + 3, "" )
  )
)</f>
        <v/>
      </c>
      <c r="AF60" t="str">
        <f t="shared" si="23"/>
        <v/>
      </c>
      <c r="AG60">
        <f t="shared" si="24"/>
        <v>0.08</v>
      </c>
    </row>
    <row r="61" spans="1:33" x14ac:dyDescent="0.25">
      <c r="A61" s="15" t="s">
        <v>162</v>
      </c>
      <c r="B61" s="13" t="s">
        <v>297</v>
      </c>
      <c r="C61" s="13" t="s">
        <v>298</v>
      </c>
      <c r="D61" s="17">
        <v>100</v>
      </c>
      <c r="E61" s="17">
        <v>95</v>
      </c>
      <c r="F61" s="10">
        <f t="shared" si="3"/>
        <v>95.01</v>
      </c>
      <c r="G61" s="7" cm="1">
        <f t="array" ref="G61">IF(D61="","",
  _xlfn.LET(
    _xlpm.stock,--D61,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102.34666666666666</v>
      </c>
      <c r="H61" s="10">
        <f t="shared" si="4"/>
        <v>246.14333333333335</v>
      </c>
      <c r="I61" s="7" cm="1">
        <f t="array" ref="I61">IF(E61="","",SUMPRODUCT((--($A$26:$A$45="bunker")) *(--(E61&gt;=$F$26:$F$45)) *(--(E61&lt;$G$26:$G$45)) *(0.25 * IF(ISNUMBER($E$26:$E$45), $E$26:$E$45, 0))) +IF(AND(ISNUMBER($B$18), $B$18=TRUE),SUMPRODUCT((--($A$26:$A$45="greenside")) *(--(E61&gt;=$F$26:$F$45)) *(--(E61&lt;$G$26:$G$45)) *(0.2 * IF(ISNUMBER($E$26:$E$45), $E$26:$E$45, 0))),0))</f>
        <v>0</v>
      </c>
      <c r="J61" s="7" t="b" cm="1">
        <f t="array" ref="J61">IF(E61="","",SUMPRODUCT(($A$26:$A$45="water")*(E61&gt;=$F$26:$F$45)*(E61&lt;$G$26:$G$45))&gt;0)</f>
        <v>0</v>
      </c>
      <c r="K61" s="7">
        <f t="shared" si="5"/>
        <v>1.7952222222222214</v>
      </c>
      <c r="L61" s="7" t="b">
        <f t="shared" si="6"/>
        <v>0</v>
      </c>
      <c r="M61" s="7" t="b">
        <f t="shared" si="7"/>
        <v>0</v>
      </c>
      <c r="N61" s="7">
        <f t="shared" si="8"/>
        <v>0</v>
      </c>
      <c r="O61" s="7">
        <f t="shared" si="9"/>
        <v>1</v>
      </c>
      <c r="P61" s="7">
        <f t="shared" si="10"/>
        <v>2.5575000000000001</v>
      </c>
      <c r="Q61" s="7">
        <f t="shared" si="11"/>
        <v>0</v>
      </c>
      <c r="R61" s="21">
        <f t="shared" si="12"/>
        <v>0.06</v>
      </c>
      <c r="S61" s="35">
        <f t="shared" si="25"/>
        <v>1.01</v>
      </c>
      <c r="T61">
        <f t="shared" si="13"/>
        <v>11</v>
      </c>
      <c r="U61" t="b">
        <f t="shared" si="14"/>
        <v>0</v>
      </c>
      <c r="V61" t="b">
        <f t="shared" si="15"/>
        <v>0</v>
      </c>
      <c r="W61" t="b">
        <f t="shared" si="16"/>
        <v>0</v>
      </c>
      <c r="X61" t="b">
        <f t="shared" si="17"/>
        <v>0</v>
      </c>
      <c r="Y61">
        <f t="shared" si="18"/>
        <v>0</v>
      </c>
      <c r="Z61" t="b">
        <f t="shared" si="19"/>
        <v>0</v>
      </c>
      <c r="AA61">
        <f t="shared" si="20"/>
        <v>1</v>
      </c>
      <c r="AB61">
        <f t="shared" si="21"/>
        <v>1</v>
      </c>
      <c r="AC61">
        <f t="shared" si="22"/>
        <v>0</v>
      </c>
      <c r="AD61" t="str" cm="1">
        <f t="array" ref="AD61">IF(G61="","",
  _xlfn.LET(
    _xlpm.starts, _xlfn._xlws.FILTER($C$26:$C$45, ($C$26:$C$45&lt;=G61+T61)*($D$26:$D$45&gt;=G61-T61)),
    IFERROR( MIN(_xlpm.starts) - T61 - 3, "" )
  )
)</f>
        <v/>
      </c>
      <c r="AE61" t="str" cm="1">
        <f t="array" ref="AE61">IF(G61="","",
  _xlfn.LET(
    _xlpm.clears, _xlfn._xlws.FILTER($D$26:$D$45, ($C$26:$C$45&lt;=G61+T61)*($D$26:$D$45&gt;=G61-T61)),
    IFERROR( MAX(_xlpm.clears) + T61 + 3, "" )
  )
)</f>
        <v/>
      </c>
      <c r="AF61" t="str">
        <f t="shared" si="23"/>
        <v/>
      </c>
      <c r="AG61">
        <f t="shared" si="24"/>
        <v>0.06</v>
      </c>
    </row>
    <row r="62" spans="1:33" x14ac:dyDescent="0.25">
      <c r="A62" s="14" t="s">
        <v>162</v>
      </c>
      <c r="B62" s="13" t="s">
        <v>297</v>
      </c>
      <c r="C62" s="13" t="s">
        <v>309</v>
      </c>
      <c r="D62" s="18">
        <v>95</v>
      </c>
      <c r="E62" s="18">
        <v>90</v>
      </c>
      <c r="F62" s="10">
        <f t="shared" si="3"/>
        <v>90.01</v>
      </c>
      <c r="G62" s="7" cm="1">
        <f t="array" ref="G62">IF(D62="","",
  _xlfn.LET(
    _xlpm.stock,--D62,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97.195666666666668</v>
      </c>
      <c r="H62" s="10">
        <f t="shared" si="4"/>
        <v>251.29433333333333</v>
      </c>
      <c r="I62" s="7" cm="1">
        <f t="array" ref="I62">IF(E62="","",SUMPRODUCT((--($A$26:$A$45="bunker")) *(--(E62&gt;=$F$26:$F$45)) *(--(E62&lt;$G$26:$G$45)) *(0.25 * IF(ISNUMBER($E$26:$E$45), $E$26:$E$45, 0))) +IF(AND(ISNUMBER($B$18), $B$18=TRUE),SUMPRODUCT((--($A$26:$A$45="greenside")) *(--(E62&gt;=$F$26:$F$45)) *(--(E62&lt;$G$26:$G$45)) *(0.2 * IF(ISNUMBER($E$26:$E$45), $E$26:$E$45, 0))),0))</f>
        <v>0</v>
      </c>
      <c r="J62" s="7" t="b" cm="1">
        <f t="array" ref="J62">IF(E62="","",SUMPRODUCT(($A$26:$A$45="water")*(E62&gt;=$F$26:$F$45)*(E62&lt;$G$26:$G$45))&gt;0)</f>
        <v>0</v>
      </c>
      <c r="K62" s="7">
        <f t="shared" si="5"/>
        <v>1.6235222222222223</v>
      </c>
      <c r="L62" s="7" t="b">
        <f t="shared" si="6"/>
        <v>0</v>
      </c>
      <c r="M62" s="7" t="b">
        <f t="shared" si="7"/>
        <v>0</v>
      </c>
      <c r="N62" s="7">
        <f t="shared" si="8"/>
        <v>0</v>
      </c>
      <c r="O62" s="7">
        <f t="shared" si="9"/>
        <v>1</v>
      </c>
      <c r="P62" s="7">
        <f t="shared" si="10"/>
        <v>2.5575000000000001</v>
      </c>
      <c r="Q62" s="7">
        <f t="shared" si="11"/>
        <v>0</v>
      </c>
      <c r="R62" s="21">
        <f t="shared" si="12"/>
        <v>0.05</v>
      </c>
      <c r="S62" s="35">
        <f t="shared" si="25"/>
        <v>1.01</v>
      </c>
      <c r="T62">
        <f t="shared" si="13"/>
        <v>11</v>
      </c>
      <c r="U62" t="b">
        <f t="shared" si="14"/>
        <v>0</v>
      </c>
      <c r="V62" t="b">
        <f t="shared" si="15"/>
        <v>0</v>
      </c>
      <c r="W62" t="b">
        <f t="shared" si="16"/>
        <v>0</v>
      </c>
      <c r="X62" t="b">
        <f t="shared" si="17"/>
        <v>0</v>
      </c>
      <c r="Y62">
        <f t="shared" si="18"/>
        <v>0</v>
      </c>
      <c r="Z62" t="b">
        <f t="shared" si="19"/>
        <v>0</v>
      </c>
      <c r="AA62">
        <f t="shared" si="20"/>
        <v>1</v>
      </c>
      <c r="AB62">
        <f t="shared" si="21"/>
        <v>1</v>
      </c>
      <c r="AC62">
        <f t="shared" si="22"/>
        <v>0</v>
      </c>
      <c r="AD62" t="str" cm="1">
        <f t="array" ref="AD62">IF(G62="","",
  _xlfn.LET(
    _xlpm.starts, _xlfn._xlws.FILTER($C$26:$C$45, ($C$26:$C$45&lt;=G62+T62)*($D$26:$D$45&gt;=G62-T62)),
    IFERROR( MIN(_xlpm.starts) - T62 - 3, "" )
  )
)</f>
        <v/>
      </c>
      <c r="AE62" t="str" cm="1">
        <f t="array" ref="AE62">IF(G62="","",
  _xlfn.LET(
    _xlpm.clears, _xlfn._xlws.FILTER($D$26:$D$45, ($C$26:$C$45&lt;=G62+T62)*($D$26:$D$45&gt;=G62-T62)),
    IFERROR( MAX(_xlpm.clears) + T62 + 3, "" )
  )
)</f>
        <v/>
      </c>
      <c r="AF62" t="str">
        <f t="shared" si="23"/>
        <v/>
      </c>
      <c r="AG62">
        <f t="shared" si="24"/>
        <v>0.05</v>
      </c>
    </row>
    <row r="63" spans="1:33" x14ac:dyDescent="0.25">
      <c r="A63" s="15" t="s">
        <v>162</v>
      </c>
      <c r="B63" s="13" t="s">
        <v>318</v>
      </c>
      <c r="C63" s="16" t="s">
        <v>319</v>
      </c>
      <c r="D63" s="17">
        <v>95</v>
      </c>
      <c r="E63" s="17">
        <v>85</v>
      </c>
      <c r="F63" s="10">
        <f t="shared" si="3"/>
        <v>85.01</v>
      </c>
      <c r="G63" s="7" cm="1">
        <f t="array" ref="G63">IF(D63="","",
  _xlfn.LET(
    _xlpm.stock,--D63,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97.195666666666668</v>
      </c>
      <c r="H63" s="10">
        <f t="shared" si="4"/>
        <v>251.29433333333333</v>
      </c>
      <c r="I63" s="7" cm="1">
        <f t="array" ref="I63">IF(E63="","",SUMPRODUCT((--($A$26:$A$45="bunker")) *(--(E63&gt;=$F$26:$F$45)) *(--(E63&lt;$G$26:$G$45)) *(0.25 * IF(ISNUMBER($E$26:$E$45), $E$26:$E$45, 0))) +IF(AND(ISNUMBER($B$18), $B$18=TRUE),SUMPRODUCT((--($A$26:$A$45="greenside")) *(--(E63&gt;=$F$26:$F$45)) *(--(E63&lt;$G$26:$G$45)) *(0.2 * IF(ISNUMBER($E$26:$E$45), $E$26:$E$45, 0))),0))</f>
        <v>0</v>
      </c>
      <c r="J63" s="7" t="b" cm="1">
        <f t="array" ref="J63">IF(E63="","",SUMPRODUCT(($A$26:$A$45="water")*(E63&gt;=$F$26:$F$45)*(E63&lt;$G$26:$G$45))&gt;0)</f>
        <v>0</v>
      </c>
      <c r="K63" s="7">
        <f t="shared" si="5"/>
        <v>1.6235222222222223</v>
      </c>
      <c r="L63" s="7" t="b">
        <f t="shared" si="6"/>
        <v>0</v>
      </c>
      <c r="M63" s="7" t="b">
        <f t="shared" si="7"/>
        <v>0</v>
      </c>
      <c r="N63" s="7">
        <f t="shared" si="8"/>
        <v>0</v>
      </c>
      <c r="O63" s="7">
        <f t="shared" si="9"/>
        <v>1</v>
      </c>
      <c r="P63" s="7">
        <f t="shared" si="10"/>
        <v>2.5575000000000001</v>
      </c>
      <c r="Q63" s="7">
        <f t="shared" si="11"/>
        <v>0</v>
      </c>
      <c r="R63" s="21">
        <f t="shared" si="12"/>
        <v>0.05</v>
      </c>
      <c r="S63" s="35">
        <f t="shared" si="25"/>
        <v>1.01</v>
      </c>
      <c r="T63">
        <f t="shared" si="13"/>
        <v>11</v>
      </c>
      <c r="U63" t="b">
        <f t="shared" si="14"/>
        <v>0</v>
      </c>
      <c r="V63" t="b">
        <f t="shared" si="15"/>
        <v>0</v>
      </c>
      <c r="W63" t="b">
        <f t="shared" si="16"/>
        <v>0</v>
      </c>
      <c r="X63" t="b">
        <f t="shared" si="17"/>
        <v>0</v>
      </c>
      <c r="Y63">
        <f t="shared" si="18"/>
        <v>0</v>
      </c>
      <c r="Z63" t="b">
        <f t="shared" si="19"/>
        <v>0</v>
      </c>
      <c r="AA63">
        <f t="shared" si="20"/>
        <v>1</v>
      </c>
      <c r="AB63">
        <f t="shared" si="21"/>
        <v>1</v>
      </c>
      <c r="AC63">
        <f t="shared" si="22"/>
        <v>0</v>
      </c>
      <c r="AD63" t="str" cm="1">
        <f t="array" ref="AD63">IF(G63="","",
  _xlfn.LET(
    _xlpm.starts, _xlfn._xlws.FILTER($C$26:$C$45, ($C$26:$C$45&lt;=G63+T63)*($D$26:$D$45&gt;=G63-T63)),
    IFERROR( MIN(_xlpm.starts) - T63 - 3, "" )
  )
)</f>
        <v/>
      </c>
      <c r="AE63" t="str" cm="1">
        <f t="array" ref="AE63">IF(G63="","",
  _xlfn.LET(
    _xlpm.clears, _xlfn._xlws.FILTER($D$26:$D$45, ($C$26:$C$45&lt;=G63+T63)*($D$26:$D$45&gt;=G63-T63)),
    IFERROR( MAX(_xlpm.clears) + T63 + 3, "" )
  )
)</f>
        <v/>
      </c>
      <c r="AF63" t="str">
        <f t="shared" si="23"/>
        <v/>
      </c>
      <c r="AG63">
        <f t="shared" si="24"/>
        <v>0.05</v>
      </c>
    </row>
    <row r="64" spans="1:33" x14ac:dyDescent="0.25">
      <c r="A64" s="15" t="s">
        <v>359</v>
      </c>
      <c r="B64" s="13" t="s">
        <v>297</v>
      </c>
      <c r="C64" s="16" t="s">
        <v>449</v>
      </c>
      <c r="D64" s="10">
        <v>85</v>
      </c>
      <c r="E64" s="10">
        <f>IF(D64="","",D64*(1-$B$18))</f>
        <v>85.85</v>
      </c>
      <c r="F64" s="10">
        <f t="shared" si="3"/>
        <v>85.86</v>
      </c>
      <c r="G64" s="7" cm="1">
        <f t="array" ref="G64">IF(D64="","",
  _xlfn.LET(
    _xlpm.stock,--D64,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86.893666666666647</v>
      </c>
      <c r="H64" s="10">
        <f t="shared" si="4"/>
        <v>261.59633333333335</v>
      </c>
      <c r="I64" s="7" cm="1">
        <f t="array" ref="I64">IF(E64="","",SUMPRODUCT((--($A$26:$A$45="bunker")) *(--(E64&gt;=$F$26:$F$45)) *(--(E64&lt;$G$26:$G$45)) *(0.25 * IF(ISNUMBER($E$26:$E$45), $E$26:$E$45, 0))) +IF(AND(ISNUMBER($B$18), $B$18=TRUE),SUMPRODUCT((--($A$26:$A$45="greenside")) *(--(E64&gt;=$F$26:$F$45)) *(--(E64&lt;$G$26:$G$45)) *(0.2 * IF(ISNUMBER($E$26:$E$45), $E$26:$E$45, 0))),0))</f>
        <v>0</v>
      </c>
      <c r="J64" s="7" t="b" cm="1">
        <f t="array" ref="J64">IF(E64="","",SUMPRODUCT(($A$26:$A$45="water")*(E64&gt;=$F$26:$F$45)*(E64&lt;$G$26:$G$45))&gt;0)</f>
        <v>0</v>
      </c>
      <c r="K64" s="7">
        <f t="shared" si="5"/>
        <v>1.2801222222222219</v>
      </c>
      <c r="L64" s="7" t="b">
        <f t="shared" si="6"/>
        <v>0</v>
      </c>
      <c r="M64" s="7" t="b">
        <f t="shared" si="7"/>
        <v>0</v>
      </c>
      <c r="N64" s="7">
        <f t="shared" si="8"/>
        <v>0</v>
      </c>
      <c r="O64" s="7">
        <f t="shared" si="9"/>
        <v>1</v>
      </c>
      <c r="P64" s="7">
        <f t="shared" si="10"/>
        <v>2.5575000000000001</v>
      </c>
      <c r="Q64" s="7">
        <f t="shared" si="11"/>
        <v>0</v>
      </c>
      <c r="R64" s="21">
        <f t="shared" si="12"/>
        <v>0.03</v>
      </c>
      <c r="S64" s="35">
        <f t="shared" si="25"/>
        <v>1.01</v>
      </c>
      <c r="T64">
        <f t="shared" si="13"/>
        <v>10</v>
      </c>
      <c r="U64" t="b">
        <f t="shared" si="14"/>
        <v>0</v>
      </c>
      <c r="V64" t="b">
        <f t="shared" si="15"/>
        <v>0</v>
      </c>
      <c r="W64" t="b">
        <f t="shared" si="16"/>
        <v>0</v>
      </c>
      <c r="X64" t="b">
        <f t="shared" si="17"/>
        <v>0</v>
      </c>
      <c r="Y64">
        <f t="shared" si="18"/>
        <v>0</v>
      </c>
      <c r="Z64" t="b">
        <f t="shared" si="19"/>
        <v>0</v>
      </c>
      <c r="AA64">
        <f t="shared" si="20"/>
        <v>1</v>
      </c>
      <c r="AB64">
        <f t="shared" si="21"/>
        <v>1</v>
      </c>
      <c r="AC64">
        <f t="shared" si="22"/>
        <v>0</v>
      </c>
      <c r="AD64" t="str" cm="1">
        <f t="array" ref="AD64">IF(G64="","",
  _xlfn.LET(
    _xlpm.starts, _xlfn._xlws.FILTER($C$26:$C$45, ($C$26:$C$45&lt;=G64+T64)*($D$26:$D$45&gt;=G64-T64)),
    IFERROR( MIN(_xlpm.starts) - T64 - 3, "" )
  )
)</f>
        <v/>
      </c>
      <c r="AE64" t="str" cm="1">
        <f t="array" ref="AE64">IF(G64="","",
  _xlfn.LET(
    _xlpm.clears, _xlfn._xlws.FILTER($D$26:$D$45, ($C$26:$C$45&lt;=G64+T64)*($D$26:$D$45&gt;=G64-T64)),
    IFERROR( MAX(_xlpm.clears) + T64 + 3, "" )
  )
)</f>
        <v/>
      </c>
      <c r="AF64" t="str">
        <f t="shared" si="23"/>
        <v/>
      </c>
      <c r="AG64">
        <f t="shared" si="24"/>
        <v>0.03</v>
      </c>
    </row>
    <row r="65" spans="1:33" x14ac:dyDescent="0.25">
      <c r="A65" s="15" t="s">
        <v>359</v>
      </c>
      <c r="B65" s="13" t="s">
        <v>297</v>
      </c>
      <c r="C65" s="16" t="s">
        <v>319</v>
      </c>
      <c r="D65" s="18">
        <v>82</v>
      </c>
      <c r="E65" s="18">
        <v>80</v>
      </c>
      <c r="F65" s="10">
        <f t="shared" si="3"/>
        <v>80.010000000000005</v>
      </c>
      <c r="G65" s="7" cm="1">
        <f t="array" ref="G65">IF(D65="","",
  _xlfn.LET(
    _xlpm.stock,--D65,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83.803066666666666</v>
      </c>
      <c r="H65" s="10">
        <f t="shared" si="4"/>
        <v>264.68693333333334</v>
      </c>
      <c r="I65" s="7" cm="1">
        <f t="array" ref="I65">IF(E65="","",SUMPRODUCT((--($A$26:$A$45="bunker")) *(--(E65&gt;=$F$26:$F$45)) *(--(E65&lt;$G$26:$G$45)) *(0.25 * IF(ISNUMBER($E$26:$E$45), $E$26:$E$45, 0))) +IF(AND(ISNUMBER($B$18), $B$18=TRUE),SUMPRODUCT((--($A$26:$A$45="greenside")) *(--(E65&gt;=$F$26:$F$45)) *(--(E65&lt;$G$26:$G$45)) *(0.2 * IF(ISNUMBER($E$26:$E$45), $E$26:$E$45, 0))),0))</f>
        <v>0</v>
      </c>
      <c r="J65" s="7" t="b" cm="1">
        <f t="array" ref="J65">IF(E65="","",SUMPRODUCT(($A$26:$A$45="water")*(E65&gt;=$F$26:$F$45)*(E65&lt;$G$26:$G$45))&gt;0)</f>
        <v>0</v>
      </c>
      <c r="K65" s="7">
        <f t="shared" si="5"/>
        <v>1.1771022222222216</v>
      </c>
      <c r="L65" s="7" t="b">
        <f t="shared" si="6"/>
        <v>0</v>
      </c>
      <c r="M65" s="7" t="b">
        <f t="shared" si="7"/>
        <v>0</v>
      </c>
      <c r="N65" s="7">
        <f t="shared" si="8"/>
        <v>0</v>
      </c>
      <c r="O65" s="7">
        <f t="shared" si="9"/>
        <v>1</v>
      </c>
      <c r="P65" s="7">
        <f t="shared" si="10"/>
        <v>2.5575000000000001</v>
      </c>
      <c r="Q65" s="7">
        <f t="shared" si="11"/>
        <v>0</v>
      </c>
      <c r="R65" s="21">
        <f t="shared" si="12"/>
        <v>0.03</v>
      </c>
      <c r="S65" s="35">
        <f t="shared" si="25"/>
        <v>1.01</v>
      </c>
      <c r="T65">
        <f t="shared" si="13"/>
        <v>9</v>
      </c>
      <c r="U65" t="b">
        <f t="shared" si="14"/>
        <v>0</v>
      </c>
      <c r="V65" t="b">
        <f t="shared" si="15"/>
        <v>0</v>
      </c>
      <c r="W65" t="b">
        <f t="shared" si="16"/>
        <v>0</v>
      </c>
      <c r="X65" t="b">
        <f t="shared" si="17"/>
        <v>0</v>
      </c>
      <c r="Y65">
        <f t="shared" si="18"/>
        <v>0</v>
      </c>
      <c r="Z65" t="b">
        <f t="shared" si="19"/>
        <v>0</v>
      </c>
      <c r="AA65">
        <f t="shared" si="20"/>
        <v>1</v>
      </c>
      <c r="AB65">
        <f t="shared" si="21"/>
        <v>1</v>
      </c>
      <c r="AC65">
        <f t="shared" si="22"/>
        <v>0</v>
      </c>
      <c r="AD65" t="str" cm="1">
        <f t="array" ref="AD65">IF(G65="","",
  _xlfn.LET(
    _xlpm.starts, _xlfn._xlws.FILTER($C$26:$C$45, ($C$26:$C$45&lt;=G65+T65)*($D$26:$D$45&gt;=G65-T65)),
    IFERROR( MIN(_xlpm.starts) - T65 - 3, "" )
  )
)</f>
        <v/>
      </c>
      <c r="AE65" t="str" cm="1">
        <f t="array" ref="AE65">IF(G65="","",
  _xlfn.LET(
    _xlpm.clears, _xlfn._xlws.FILTER($D$26:$D$45, ($C$26:$C$45&lt;=G65+T65)*($D$26:$D$45&gt;=G65-T65)),
    IFERROR( MAX(_xlpm.clears) + T65 + 3, "" )
  )
)</f>
        <v/>
      </c>
      <c r="AF65" t="str">
        <f t="shared" si="23"/>
        <v/>
      </c>
      <c r="AG65">
        <f t="shared" si="24"/>
        <v>0.03</v>
      </c>
    </row>
    <row r="66" spans="1:33" x14ac:dyDescent="0.25">
      <c r="A66" s="15" t="s">
        <v>340</v>
      </c>
      <c r="B66" s="13" t="s">
        <v>297</v>
      </c>
      <c r="C66" s="16" t="s">
        <v>319</v>
      </c>
      <c r="D66" s="17">
        <v>75</v>
      </c>
      <c r="E66" s="17">
        <v>70</v>
      </c>
      <c r="F66" s="10">
        <f t="shared" si="3"/>
        <v>70.010000000000005</v>
      </c>
      <c r="G66" s="7" cm="1">
        <f t="array" ref="G66">IF(D66="","",
  _xlfn.LET(
    _xlpm.stock,--D66,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76.591666666666669</v>
      </c>
      <c r="H66" s="10">
        <f t="shared" si="4"/>
        <v>271.89833333333331</v>
      </c>
      <c r="I66" s="7" cm="1">
        <f t="array" ref="I66">IF(E66="","",SUMPRODUCT((--($A$26:$A$45="bunker")) *(--(E66&gt;=$F$26:$F$45)) *(--(E66&lt;$G$26:$G$45)) *(0.25 * IF(ISNUMBER($E$26:$E$45), $E$26:$E$45, 0))) +IF(AND(ISNUMBER($B$18), $B$18=TRUE),SUMPRODUCT((--($A$26:$A$45="greenside")) *(--(E66&gt;=$F$26:$F$45)) *(--(E66&lt;$G$26:$G$45)) *(0.2 * IF(ISNUMBER($E$26:$E$45), $E$26:$E$45, 0))),0))</f>
        <v>0</v>
      </c>
      <c r="J66" s="7" t="b" cm="1">
        <f t="array" ref="J66">IF(E66="","",SUMPRODUCT(($A$26:$A$45="water")*(E66&gt;=$F$26:$F$45)*(E66&lt;$G$26:$G$45))&gt;0)</f>
        <v>0</v>
      </c>
      <c r="K66" s="7">
        <f t="shared" si="5"/>
        <v>0.93672222222222268</v>
      </c>
      <c r="L66" s="7" t="b">
        <f t="shared" si="6"/>
        <v>0</v>
      </c>
      <c r="M66" s="7" t="b">
        <f t="shared" si="7"/>
        <v>0</v>
      </c>
      <c r="N66" s="7">
        <f t="shared" si="8"/>
        <v>0</v>
      </c>
      <c r="O66" s="7">
        <f t="shared" si="9"/>
        <v>1</v>
      </c>
      <c r="P66" s="7">
        <f t="shared" si="10"/>
        <v>2.5575000000000001</v>
      </c>
      <c r="Q66" s="7">
        <f t="shared" si="11"/>
        <v>0</v>
      </c>
      <c r="R66" s="21">
        <f t="shared" si="12"/>
        <v>0.02</v>
      </c>
      <c r="S66" s="35">
        <f t="shared" si="25"/>
        <v>1.01</v>
      </c>
      <c r="T66">
        <f t="shared" si="13"/>
        <v>9</v>
      </c>
      <c r="U66" t="b">
        <f t="shared" si="14"/>
        <v>0</v>
      </c>
      <c r="V66" t="b">
        <f t="shared" si="15"/>
        <v>0</v>
      </c>
      <c r="W66" t="b">
        <f t="shared" si="16"/>
        <v>0</v>
      </c>
      <c r="X66" t="b">
        <f t="shared" si="17"/>
        <v>0</v>
      </c>
      <c r="Y66">
        <f t="shared" si="18"/>
        <v>0</v>
      </c>
      <c r="Z66" t="b">
        <f t="shared" si="19"/>
        <v>0</v>
      </c>
      <c r="AA66">
        <f t="shared" si="20"/>
        <v>1</v>
      </c>
      <c r="AB66">
        <f t="shared" si="21"/>
        <v>1</v>
      </c>
      <c r="AC66">
        <f t="shared" si="22"/>
        <v>0</v>
      </c>
      <c r="AD66" t="str" cm="1">
        <f t="array" ref="AD66">IF(G66="","",
  _xlfn.LET(
    _xlpm.starts, _xlfn._xlws.FILTER($C$26:$C$45, ($C$26:$C$45&lt;=G66+T66)*($D$26:$D$45&gt;=G66-T66)),
    IFERROR( MIN(_xlpm.starts) - T66 - 3, "" )
  )
)</f>
        <v/>
      </c>
      <c r="AE66" t="str" cm="1">
        <f t="array" ref="AE66">IF(G66="","",
  _xlfn.LET(
    _xlpm.clears, _xlfn._xlws.FILTER($D$26:$D$45, ($C$26:$C$45&lt;=G66+T66)*($D$26:$D$45&gt;=G66-T66)),
    IFERROR( MAX(_xlpm.clears) + T66 + 3, "" )
  )
)</f>
        <v/>
      </c>
      <c r="AF66" t="str">
        <f t="shared" si="23"/>
        <v/>
      </c>
      <c r="AG66">
        <f t="shared" si="24"/>
        <v>0.02</v>
      </c>
    </row>
    <row r="67" spans="1:33" x14ac:dyDescent="0.25">
      <c r="A67" s="14" t="s">
        <v>329</v>
      </c>
      <c r="B67" s="13" t="s">
        <v>318</v>
      </c>
      <c r="C67" s="16" t="s">
        <v>319</v>
      </c>
      <c r="D67" s="18">
        <v>72</v>
      </c>
      <c r="E67" s="18">
        <v>65</v>
      </c>
      <c r="F67" s="10">
        <f t="shared" si="3"/>
        <v>65.010000000000005</v>
      </c>
      <c r="G67" s="7" cm="1">
        <f t="array" ref="G67">IF(D67="","",
  _xlfn.LET(
    _xlpm.stock,--D67,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73.501066666666659</v>
      </c>
      <c r="H67" s="10">
        <f t="shared" si="4"/>
        <v>274.98893333333336</v>
      </c>
      <c r="I67" s="7" cm="1">
        <f t="array" ref="I67">IF(E67="","",SUMPRODUCT((--($A$26:$A$45="bunker")) *(--(E67&gt;=$F$26:$F$45)) *(--(E67&lt;$G$26:$G$45)) *(0.25 * IF(ISNUMBER($E$26:$E$45), $E$26:$E$45, 0))) +IF(AND(ISNUMBER($B$18), $B$18=TRUE),SUMPRODUCT((--($A$26:$A$45="greenside")) *(--(E67&gt;=$F$26:$F$45)) *(--(E67&lt;$G$26:$G$45)) *(0.2 * IF(ISNUMBER($E$26:$E$45), $E$26:$E$45, 0))),0))</f>
        <v>0</v>
      </c>
      <c r="J67" s="7" t="b" cm="1">
        <f t="array" ref="J67">IF(E67="","",SUMPRODUCT(($A$26:$A$45="water")*(E67&gt;=$F$26:$F$45)*(E67&lt;$G$26:$G$45))&gt;0)</f>
        <v>0</v>
      </c>
      <c r="K67" s="7">
        <f t="shared" si="5"/>
        <v>0.83370222222222123</v>
      </c>
      <c r="L67" s="7" t="b">
        <f t="shared" si="6"/>
        <v>0</v>
      </c>
      <c r="M67" s="7" t="b">
        <f t="shared" si="7"/>
        <v>0</v>
      </c>
      <c r="N67" s="7">
        <f t="shared" si="8"/>
        <v>0</v>
      </c>
      <c r="O67" s="7">
        <f t="shared" si="9"/>
        <v>1</v>
      </c>
      <c r="P67" s="7">
        <f t="shared" si="10"/>
        <v>2.5575000000000001</v>
      </c>
      <c r="Q67" s="7">
        <f t="shared" si="11"/>
        <v>0</v>
      </c>
      <c r="R67" s="21">
        <f t="shared" si="12"/>
        <v>0.02</v>
      </c>
      <c r="S67" s="35">
        <f t="shared" si="25"/>
        <v>1.01</v>
      </c>
      <c r="T67">
        <f t="shared" si="13"/>
        <v>8</v>
      </c>
      <c r="U67" t="b">
        <f t="shared" si="14"/>
        <v>0</v>
      </c>
      <c r="V67" t="b">
        <f t="shared" si="15"/>
        <v>0</v>
      </c>
      <c r="W67" t="b">
        <f t="shared" si="16"/>
        <v>0</v>
      </c>
      <c r="X67" t="b">
        <f t="shared" si="17"/>
        <v>0</v>
      </c>
      <c r="Y67">
        <f t="shared" si="18"/>
        <v>0</v>
      </c>
      <c r="Z67" t="b">
        <f t="shared" si="19"/>
        <v>0</v>
      </c>
      <c r="AA67">
        <f t="shared" si="20"/>
        <v>1</v>
      </c>
      <c r="AB67">
        <f t="shared" si="21"/>
        <v>1</v>
      </c>
      <c r="AC67">
        <f t="shared" si="22"/>
        <v>0</v>
      </c>
      <c r="AD67" t="str" cm="1">
        <f t="array" ref="AD67">IF(G67="","",
  _xlfn.LET(
    _xlpm.starts, _xlfn._xlws.FILTER($C$26:$C$45, ($C$26:$C$45&lt;=G67+T67)*($D$26:$D$45&gt;=G67-T67)),
    IFERROR( MIN(_xlpm.starts) - T67 - 3, "" )
  )
)</f>
        <v/>
      </c>
      <c r="AE67" t="str" cm="1">
        <f t="array" ref="AE67">IF(G67="","",
  _xlfn.LET(
    _xlpm.clears, _xlfn._xlws.FILTER($D$26:$D$45, ($C$26:$C$45&lt;=G67+T67)*($D$26:$D$45&gt;=G67-T67)),
    IFERROR( MAX(_xlpm.clears) + T67 + 3, "" )
  )
)</f>
        <v/>
      </c>
      <c r="AF67" t="str">
        <f t="shared" si="23"/>
        <v/>
      </c>
      <c r="AG67">
        <f t="shared" si="24"/>
        <v>0.02</v>
      </c>
    </row>
    <row r="68" spans="1:33" x14ac:dyDescent="0.25">
      <c r="A68" s="15" t="s">
        <v>340</v>
      </c>
      <c r="B68" s="13" t="s">
        <v>297</v>
      </c>
      <c r="C68" s="16" t="s">
        <v>449</v>
      </c>
      <c r="D68" s="10">
        <v>70</v>
      </c>
      <c r="E68" s="10">
        <f>IF(D68="","",D68*(1-$B$18))</f>
        <v>70.7</v>
      </c>
      <c r="F68" s="10">
        <f t="shared" si="3"/>
        <v>70.710000000000008</v>
      </c>
      <c r="G68" s="7" cm="1">
        <f t="array" ref="G68">IF(D68="","",
  _xlfn.LET(
    _xlpm.stock,--D68,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71.440666666666672</v>
      </c>
      <c r="H68" s="10">
        <f t="shared" si="4"/>
        <v>277.04933333333332</v>
      </c>
      <c r="I68" s="7" cm="1">
        <f t="array" ref="I68">IF(E68="","",SUMPRODUCT((--($A$26:$A$45="bunker")) *(--(E68&gt;=$F$26:$F$45)) *(--(E68&lt;$G$26:$G$45)) *(0.25 * IF(ISNUMBER($E$26:$E$45), $E$26:$E$45, 0))) +IF(AND(ISNUMBER($B$18), $B$18=TRUE),SUMPRODUCT((--($A$26:$A$45="greenside")) *(--(E68&gt;=$F$26:$F$45)) *(--(E68&lt;$G$26:$G$45)) *(0.2 * IF(ISNUMBER($E$26:$E$45), $E$26:$E$45, 0))),0))</f>
        <v>0</v>
      </c>
      <c r="J68" s="7" t="b" cm="1">
        <f t="array" ref="J68">IF(E68="","",SUMPRODUCT(($A$26:$A$45="water")*(E68&gt;=$F$26:$F$45)*(E68&lt;$G$26:$G$45))&gt;0)</f>
        <v>0</v>
      </c>
      <c r="K68" s="7">
        <f t="shared" si="5"/>
        <v>0.76502222222222249</v>
      </c>
      <c r="L68" s="7" t="b">
        <f t="shared" si="6"/>
        <v>0</v>
      </c>
      <c r="M68" s="7" t="b">
        <f t="shared" si="7"/>
        <v>0</v>
      </c>
      <c r="N68" s="7">
        <f t="shared" si="8"/>
        <v>0</v>
      </c>
      <c r="O68" s="7">
        <f t="shared" si="9"/>
        <v>1</v>
      </c>
      <c r="P68" s="7">
        <f t="shared" si="10"/>
        <v>2.5575000000000001</v>
      </c>
      <c r="Q68" s="7">
        <f t="shared" si="11"/>
        <v>0</v>
      </c>
      <c r="R68" s="21">
        <f t="shared" si="12"/>
        <v>0.02</v>
      </c>
      <c r="S68" s="35">
        <f t="shared" si="25"/>
        <v>1.01</v>
      </c>
      <c r="T68">
        <f t="shared" si="13"/>
        <v>8</v>
      </c>
      <c r="U68" t="b">
        <f t="shared" si="14"/>
        <v>0</v>
      </c>
      <c r="V68" t="b">
        <f t="shared" si="15"/>
        <v>0</v>
      </c>
      <c r="W68" t="b">
        <f t="shared" si="16"/>
        <v>0</v>
      </c>
      <c r="X68" t="b">
        <f t="shared" si="17"/>
        <v>0</v>
      </c>
      <c r="Y68">
        <f t="shared" si="18"/>
        <v>0</v>
      </c>
      <c r="Z68" t="b">
        <f t="shared" si="19"/>
        <v>0</v>
      </c>
      <c r="AA68">
        <f t="shared" si="20"/>
        <v>1</v>
      </c>
      <c r="AB68">
        <f t="shared" si="21"/>
        <v>1</v>
      </c>
      <c r="AC68">
        <f t="shared" si="22"/>
        <v>0</v>
      </c>
      <c r="AD68" t="str" cm="1">
        <f t="array" ref="AD68">IF(G68="","",
  _xlfn.LET(
    _xlpm.starts, _xlfn._xlws.FILTER($C$26:$C$45, ($C$26:$C$45&lt;=G68+T68)*($D$26:$D$45&gt;=G68-T68)),
    IFERROR( MIN(_xlpm.starts) - T68 - 3, "" )
  )
)</f>
        <v/>
      </c>
      <c r="AE68" t="str" cm="1">
        <f t="array" ref="AE68">IF(G68="","",
  _xlfn.LET(
    _xlpm.clears, _xlfn._xlws.FILTER($D$26:$D$45, ($C$26:$C$45&lt;=G68+T68)*($D$26:$D$45&gt;=G68-T68)),
    IFERROR( MAX(_xlpm.clears) + T68 + 3, "" )
  )
)</f>
        <v/>
      </c>
      <c r="AF68" t="str">
        <f t="shared" si="23"/>
        <v/>
      </c>
      <c r="AG68">
        <f t="shared" si="24"/>
        <v>0.02</v>
      </c>
    </row>
    <row r="69" spans="1:33" x14ac:dyDescent="0.25">
      <c r="A69" s="14" t="s">
        <v>369</v>
      </c>
      <c r="B69" s="13" t="s">
        <v>297</v>
      </c>
      <c r="C69" s="16" t="s">
        <v>319</v>
      </c>
      <c r="D69" s="17">
        <v>61</v>
      </c>
      <c r="E69" s="17">
        <v>60</v>
      </c>
      <c r="F69" s="10">
        <f t="shared" si="3"/>
        <v>60.01</v>
      </c>
      <c r="G69" s="7" cm="1">
        <f t="array" ref="G69">IF(D69="","",
  _xlfn.LET(
    _xlpm.stock,--D69,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62.168866666666666</v>
      </c>
      <c r="H69" s="10">
        <f t="shared" si="4"/>
        <v>286.32113333333336</v>
      </c>
      <c r="I69" s="7" cm="1">
        <f t="array" ref="I69">IF(E69="","",SUMPRODUCT((--($A$26:$A$45="bunker")) *(--(E69&gt;=$F$26:$F$45)) *(--(E69&lt;$G$26:$G$45)) *(0.25 * IF(ISNUMBER($E$26:$E$45), $E$26:$E$45, 0))) +IF(AND(ISNUMBER($B$18), $B$18=TRUE),SUMPRODUCT((--($A$26:$A$45="greenside")) *(--(E69&gt;=$F$26:$F$45)) *(--(E69&lt;$G$26:$G$45)) *(0.2 * IF(ISNUMBER($E$26:$E$45), $E$26:$E$45, 0))),0))</f>
        <v>0</v>
      </c>
      <c r="J69" s="7" t="b" cm="1">
        <f t="array" ref="J69">IF(E69="","",SUMPRODUCT(($A$26:$A$45="water")*(E69&gt;=$F$26:$F$45)*(E69&lt;$G$26:$G$45))&gt;0)</f>
        <v>0</v>
      </c>
      <c r="K69" s="7">
        <f t="shared" si="5"/>
        <v>0.45596222222222149</v>
      </c>
      <c r="L69" s="7" t="b">
        <f t="shared" si="6"/>
        <v>0</v>
      </c>
      <c r="M69" s="7" t="b">
        <f t="shared" si="7"/>
        <v>0</v>
      </c>
      <c r="N69" s="7">
        <f t="shared" si="8"/>
        <v>0</v>
      </c>
      <c r="O69" s="7">
        <f t="shared" si="9"/>
        <v>1</v>
      </c>
      <c r="P69" s="7">
        <f t="shared" si="10"/>
        <v>2.5575000000000001</v>
      </c>
      <c r="Q69" s="7">
        <f t="shared" si="11"/>
        <v>0</v>
      </c>
      <c r="R69" s="21">
        <f t="shared" si="12"/>
        <v>0.01</v>
      </c>
      <c r="S69" s="35">
        <f t="shared" si="25"/>
        <v>1.01</v>
      </c>
      <c r="T69">
        <f t="shared" si="13"/>
        <v>7</v>
      </c>
      <c r="U69" t="b">
        <f t="shared" si="14"/>
        <v>0</v>
      </c>
      <c r="V69" t="b">
        <f t="shared" si="15"/>
        <v>0</v>
      </c>
      <c r="W69" t="b">
        <f t="shared" si="16"/>
        <v>0</v>
      </c>
      <c r="X69" t="b">
        <f t="shared" si="17"/>
        <v>0</v>
      </c>
      <c r="Y69">
        <f t="shared" si="18"/>
        <v>0</v>
      </c>
      <c r="Z69" t="b">
        <f t="shared" si="19"/>
        <v>0</v>
      </c>
      <c r="AA69">
        <f t="shared" si="20"/>
        <v>1</v>
      </c>
      <c r="AB69">
        <f t="shared" si="21"/>
        <v>1</v>
      </c>
      <c r="AC69">
        <f t="shared" si="22"/>
        <v>0</v>
      </c>
      <c r="AD69" t="str" cm="1">
        <f t="array" ref="AD69">IF(G69="","",
  _xlfn.LET(
    _xlpm.starts, _xlfn._xlws.FILTER($C$26:$C$45, ($C$26:$C$45&lt;=G69+T69)*($D$26:$D$45&gt;=G69-T69)),
    IFERROR( MIN(_xlpm.starts) - T69 - 3, "" )
  )
)</f>
        <v/>
      </c>
      <c r="AE69" t="str" cm="1">
        <f t="array" ref="AE69">IF(G69="","",
  _xlfn.LET(
    _xlpm.clears, _xlfn._xlws.FILTER($D$26:$D$45, ($C$26:$C$45&lt;=G69+T69)*($D$26:$D$45&gt;=G69-T69)),
    IFERROR( MAX(_xlpm.clears) + T69 + 3, "" )
  )
)</f>
        <v/>
      </c>
      <c r="AF69" t="str">
        <f t="shared" si="23"/>
        <v/>
      </c>
      <c r="AG69">
        <f t="shared" si="24"/>
        <v>0.01</v>
      </c>
    </row>
    <row r="70" spans="1:33" x14ac:dyDescent="0.25">
      <c r="A70" s="15" t="s">
        <v>359</v>
      </c>
      <c r="B70" s="13" t="s">
        <v>318</v>
      </c>
      <c r="C70" s="16" t="s">
        <v>319</v>
      </c>
      <c r="D70" s="18">
        <v>60</v>
      </c>
      <c r="E70" s="18">
        <v>55</v>
      </c>
      <c r="F70" s="10">
        <f t="shared" si="3"/>
        <v>55.01</v>
      </c>
      <c r="G70" s="7" cm="1">
        <f t="array" ref="G70">IF(D70="","",
  _xlfn.LET(
    _xlpm.stock,--D70,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61.138666666666673</v>
      </c>
      <c r="H70" s="10">
        <f t="shared" si="4"/>
        <v>287.35133333333334</v>
      </c>
      <c r="I70" s="7" cm="1">
        <f t="array" ref="I70">IF(E70="","",SUMPRODUCT((--($A$26:$A$45="bunker")) *(--(E70&gt;=$F$26:$F$45)) *(--(E70&lt;$G$26:$G$45)) *(0.25 * IF(ISNUMBER($E$26:$E$45), $E$26:$E$45, 0))) +IF(AND(ISNUMBER($B$18), $B$18=TRUE),SUMPRODUCT((--($A$26:$A$45="greenside")) *(--(E70&gt;=$F$26:$F$45)) *(--(E70&lt;$G$26:$G$45)) *(0.2 * IF(ISNUMBER($E$26:$E$45), $E$26:$E$45, 0))),0))</f>
        <v>0</v>
      </c>
      <c r="J70" s="7" t="b" cm="1">
        <f t="array" ref="J70">IF(E70="","",SUMPRODUCT(($A$26:$A$45="water")*(E70&gt;=$F$26:$F$45)*(E70&lt;$G$26:$G$45))&gt;0)</f>
        <v>0</v>
      </c>
      <c r="K70" s="7">
        <f t="shared" si="5"/>
        <v>0.42162222222222212</v>
      </c>
      <c r="L70" s="7" t="b">
        <f t="shared" si="6"/>
        <v>0</v>
      </c>
      <c r="M70" s="7" t="b">
        <f t="shared" si="7"/>
        <v>0</v>
      </c>
      <c r="N70" s="7">
        <f t="shared" si="8"/>
        <v>0</v>
      </c>
      <c r="O70" s="7">
        <f t="shared" si="9"/>
        <v>1</v>
      </c>
      <c r="P70" s="7">
        <f t="shared" si="10"/>
        <v>2.5575000000000001</v>
      </c>
      <c r="Q70" s="7">
        <f t="shared" si="11"/>
        <v>0</v>
      </c>
      <c r="R70" s="21">
        <f t="shared" si="12"/>
        <v>0.01</v>
      </c>
      <c r="S70" s="35">
        <f t="shared" si="25"/>
        <v>1.01</v>
      </c>
      <c r="T70">
        <f t="shared" si="13"/>
        <v>7</v>
      </c>
      <c r="U70" t="b">
        <f t="shared" si="14"/>
        <v>0</v>
      </c>
      <c r="V70" t="b">
        <f t="shared" si="15"/>
        <v>0</v>
      </c>
      <c r="W70" t="b">
        <f t="shared" si="16"/>
        <v>0</v>
      </c>
      <c r="X70" t="b">
        <f t="shared" si="17"/>
        <v>0</v>
      </c>
      <c r="Y70">
        <f t="shared" si="18"/>
        <v>0</v>
      </c>
      <c r="Z70" t="b">
        <f t="shared" si="19"/>
        <v>0</v>
      </c>
      <c r="AA70">
        <f t="shared" si="20"/>
        <v>1</v>
      </c>
      <c r="AB70">
        <f t="shared" si="21"/>
        <v>1</v>
      </c>
      <c r="AC70">
        <f t="shared" si="22"/>
        <v>0</v>
      </c>
      <c r="AD70" t="str" cm="1">
        <f t="array" ref="AD70">IF(G70="","",
  _xlfn.LET(
    _xlpm.starts, _xlfn._xlws.FILTER($C$26:$C$45, ($C$26:$C$45&lt;=G70+T70)*($D$26:$D$45&gt;=G70-T70)),
    IFERROR( MIN(_xlpm.starts) - T70 - 3, "" )
  )
)</f>
        <v/>
      </c>
      <c r="AE70" t="str" cm="1">
        <f t="array" ref="AE70">IF(G70="","",
  _xlfn.LET(
    _xlpm.clears, _xlfn._xlws.FILTER($D$26:$D$45, ($C$26:$C$45&lt;=G70+T70)*($D$26:$D$45&gt;=G70-T70)),
    IFERROR( MAX(_xlpm.clears) + T70 + 3, "" )
  )
)</f>
        <v/>
      </c>
      <c r="AF70" t="str">
        <f t="shared" si="23"/>
        <v/>
      </c>
      <c r="AG70">
        <f t="shared" si="24"/>
        <v>0.01</v>
      </c>
    </row>
    <row r="71" spans="1:33" x14ac:dyDescent="0.25">
      <c r="A71" s="15" t="s">
        <v>162</v>
      </c>
      <c r="B71" s="13" t="s">
        <v>378</v>
      </c>
      <c r="C71" s="16" t="s">
        <v>319</v>
      </c>
      <c r="D71" s="17">
        <v>50</v>
      </c>
      <c r="E71" s="17">
        <v>45</v>
      </c>
      <c r="F71" s="10">
        <f t="shared" si="3"/>
        <v>45.01</v>
      </c>
      <c r="G71" s="7" cm="1">
        <f t="array" ref="G71">IF(D71="","",
  _xlfn.LET(
    _xlpm.stock,--D71,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50.836666666666666</v>
      </c>
      <c r="H71" s="10">
        <f t="shared" si="4"/>
        <v>297.65333333333336</v>
      </c>
      <c r="I71" s="7" cm="1">
        <f t="array" ref="I71">IF(E71="","",SUMPRODUCT((--($A$26:$A$45="bunker")) *(--(E71&gt;=$F$26:$F$45)) *(--(E71&lt;$G$26:$G$45)) *(0.25 * IF(ISNUMBER($E$26:$E$45), $E$26:$E$45, 0))) +IF(AND(ISNUMBER($B$18), $B$18=TRUE),SUMPRODUCT((--($A$26:$A$45="greenside")) *(--(E71&gt;=$F$26:$F$45)) *(--(E71&lt;$G$26:$G$45)) *(0.2 * IF(ISNUMBER($E$26:$E$45), $E$26:$E$45, 0))),0))</f>
        <v>0</v>
      </c>
      <c r="J71" s="7" t="b" cm="1">
        <f t="array" ref="J71">IF(E71="","",SUMPRODUCT(($A$26:$A$45="water")*(E71&gt;=$F$26:$F$45)*(E71&lt;$G$26:$G$45))&gt;0)</f>
        <v>0</v>
      </c>
      <c r="K71" s="7">
        <f t="shared" si="5"/>
        <v>7.8222222222220639E-2</v>
      </c>
      <c r="L71" s="7" t="b">
        <f t="shared" si="6"/>
        <v>0</v>
      </c>
      <c r="M71" s="7" t="b">
        <f t="shared" si="7"/>
        <v>0</v>
      </c>
      <c r="N71" s="7">
        <f t="shared" si="8"/>
        <v>0</v>
      </c>
      <c r="O71" s="7">
        <f t="shared" si="9"/>
        <v>1</v>
      </c>
      <c r="P71" s="7">
        <f t="shared" si="10"/>
        <v>2.5575000000000001</v>
      </c>
      <c r="Q71" s="7">
        <f t="shared" si="11"/>
        <v>0</v>
      </c>
      <c r="R71" s="21">
        <f t="shared" si="12"/>
        <v>0.01</v>
      </c>
      <c r="S71" s="35">
        <f t="shared" si="25"/>
        <v>1.01</v>
      </c>
      <c r="T71">
        <f t="shared" si="13"/>
        <v>6</v>
      </c>
      <c r="U71" t="b">
        <f t="shared" si="14"/>
        <v>0</v>
      </c>
      <c r="V71" t="b">
        <f t="shared" si="15"/>
        <v>0</v>
      </c>
      <c r="W71" t="b">
        <f t="shared" si="16"/>
        <v>0</v>
      </c>
      <c r="X71" t="b">
        <f t="shared" si="17"/>
        <v>0</v>
      </c>
      <c r="Y71">
        <f t="shared" si="18"/>
        <v>0</v>
      </c>
      <c r="Z71" t="b">
        <f t="shared" si="19"/>
        <v>0</v>
      </c>
      <c r="AA71">
        <f t="shared" si="20"/>
        <v>1</v>
      </c>
      <c r="AB71">
        <f t="shared" si="21"/>
        <v>1</v>
      </c>
      <c r="AC71">
        <f t="shared" si="22"/>
        <v>0</v>
      </c>
      <c r="AD71" t="str" cm="1">
        <f t="array" ref="AD71">IF(G71="","",
  _xlfn.LET(
    _xlpm.starts, _xlfn._xlws.FILTER($C$26:$C$45, ($C$26:$C$45&lt;=G71+T71)*($D$26:$D$45&gt;=G71-T71)),
    IFERROR( MIN(_xlpm.starts) - T71 - 3, "" )
  )
)</f>
        <v/>
      </c>
      <c r="AE71" t="str" cm="1">
        <f t="array" ref="AE71">IF(G71="","",
  _xlfn.LET(
    _xlpm.clears, _xlfn._xlws.FILTER($D$26:$D$45, ($C$26:$C$45&lt;=G71+T71)*($D$26:$D$45&gt;=G71-T71)),
    IFERROR( MAX(_xlpm.clears) + T71 + 3, "" )
  )
)</f>
        <v/>
      </c>
      <c r="AF71" t="str">
        <f t="shared" si="23"/>
        <v/>
      </c>
      <c r="AG71">
        <f t="shared" si="24"/>
        <v>0.01</v>
      </c>
    </row>
    <row r="72" spans="1:33" x14ac:dyDescent="0.25">
      <c r="A72" s="14" t="s">
        <v>340</v>
      </c>
      <c r="B72" s="13" t="s">
        <v>297</v>
      </c>
      <c r="C72" s="16" t="s">
        <v>319</v>
      </c>
      <c r="D72" s="18">
        <v>38</v>
      </c>
      <c r="E72" s="18">
        <v>35</v>
      </c>
      <c r="F72" s="10">
        <f t="shared" si="3"/>
        <v>35.01</v>
      </c>
      <c r="G72" s="7" cm="1">
        <f t="array" ref="G72">IF(D72="","",
  _xlfn.LET(
    _xlpm.stock,--D72,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38.474266666666672</v>
      </c>
      <c r="H72" s="10">
        <f t="shared" si="4"/>
        <v>310.01573333333334</v>
      </c>
      <c r="I72" s="7" cm="1">
        <f t="array" ref="I72">IF(E72="","",SUMPRODUCT((--($A$26:$A$45="bunker")) *(--(E72&gt;=$F$26:$F$45)) *(--(E72&lt;$G$26:$G$45)) *(0.25 * IF(ISNUMBER($E$26:$E$45), $E$26:$E$45, 0))) +IF(AND(ISNUMBER($B$18), $B$18=TRUE),SUMPRODUCT((--($A$26:$A$45="greenside")) *(--(E72&gt;=$F$26:$F$45)) *(--(E72&lt;$G$26:$G$45)) *(0.2 * IF(ISNUMBER($E$26:$E$45), $E$26:$E$45, 0))),0))</f>
        <v>0</v>
      </c>
      <c r="J72" s="7" t="b" cm="1">
        <f t="array" ref="J72">IF(E72="","",SUMPRODUCT(($A$26:$A$45="water")*(E72&gt;=$F$26:$F$45)*(E72&lt;$G$26:$G$45))&gt;0)</f>
        <v>0</v>
      </c>
      <c r="K72" s="7">
        <f t="shared" si="5"/>
        <v>0</v>
      </c>
      <c r="L72" s="7" t="b">
        <f t="shared" si="6"/>
        <v>0</v>
      </c>
      <c r="M72" s="7" t="b">
        <f t="shared" si="7"/>
        <v>0</v>
      </c>
      <c r="N72" s="7">
        <f t="shared" si="8"/>
        <v>0</v>
      </c>
      <c r="O72" s="7">
        <f t="shared" si="9"/>
        <v>1</v>
      </c>
      <c r="P72" s="7">
        <f t="shared" si="10"/>
        <v>2.5575000000000001</v>
      </c>
      <c r="Q72" s="7">
        <f t="shared" si="11"/>
        <v>0</v>
      </c>
      <c r="R72" s="21">
        <f t="shared" si="12"/>
        <v>0</v>
      </c>
      <c r="S72" s="35">
        <f t="shared" si="25"/>
        <v>1.01</v>
      </c>
      <c r="T72">
        <f t="shared" si="13"/>
        <v>6</v>
      </c>
      <c r="U72" t="b">
        <f t="shared" si="14"/>
        <v>0</v>
      </c>
      <c r="V72" t="b">
        <f t="shared" si="15"/>
        <v>0</v>
      </c>
      <c r="W72" t="b">
        <f t="shared" si="16"/>
        <v>0</v>
      </c>
      <c r="X72" t="b">
        <f t="shared" si="17"/>
        <v>0</v>
      </c>
      <c r="Y72">
        <f t="shared" si="18"/>
        <v>0</v>
      </c>
      <c r="Z72" t="b">
        <f t="shared" si="19"/>
        <v>0</v>
      </c>
      <c r="AA72">
        <f t="shared" si="20"/>
        <v>1</v>
      </c>
      <c r="AB72">
        <f t="shared" si="21"/>
        <v>1</v>
      </c>
      <c r="AC72">
        <f t="shared" si="22"/>
        <v>0</v>
      </c>
      <c r="AD72" t="str" cm="1">
        <f t="array" ref="AD72">IF(G72="","",
  _xlfn.LET(
    _xlpm.starts, _xlfn._xlws.FILTER($C$26:$C$45, ($C$26:$C$45&lt;=G72+T72)*($D$26:$D$45&gt;=G72-T72)),
    IFERROR( MIN(_xlpm.starts) - T72 - 3, "" )
  )
)</f>
        <v/>
      </c>
      <c r="AE72" t="str" cm="1">
        <f t="array" ref="AE72">IF(G72="","",
  _xlfn.LET(
    _xlpm.clears, _xlfn._xlws.FILTER($D$26:$D$45, ($C$26:$C$45&lt;=G72+T72)*($D$26:$D$45&gt;=G72-T72)),
    IFERROR( MAX(_xlpm.clears) + T72 + 3, "" )
  )
)</f>
        <v/>
      </c>
      <c r="AF72" t="str">
        <f t="shared" si="23"/>
        <v/>
      </c>
      <c r="AG72">
        <f t="shared" si="24"/>
        <v>0</v>
      </c>
    </row>
    <row r="73" spans="1:33" x14ac:dyDescent="0.25">
      <c r="A73" s="15" t="s">
        <v>340</v>
      </c>
      <c r="B73" s="13" t="s">
        <v>378</v>
      </c>
      <c r="C73" s="16" t="s">
        <v>319</v>
      </c>
      <c r="D73" s="17">
        <v>33</v>
      </c>
      <c r="E73" s="17">
        <v>20</v>
      </c>
      <c r="F73" s="10">
        <f t="shared" si="3"/>
        <v>20.010000000000002</v>
      </c>
      <c r="G73" s="7" cm="1">
        <f t="array" ref="G73">IF(D73="","",
  _xlfn.LET(
    _xlpm.stock,--D73,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33.323266666666669</v>
      </c>
      <c r="H73" s="10">
        <f t="shared" si="4"/>
        <v>315.16673333333335</v>
      </c>
      <c r="I73" s="7" cm="1">
        <f t="array" ref="I73">IF(E73="","",SUMPRODUCT((--($A$26:$A$45="bunker")) *(--(E73&gt;=$F$26:$F$45)) *(--(E73&lt;$G$26:$G$45)) *(0.25 * IF(ISNUMBER($E$26:$E$45), $E$26:$E$45, 0))) +IF(AND(ISNUMBER($B$18), $B$18=TRUE),SUMPRODUCT((--($A$26:$A$45="greenside")) *(--(E73&gt;=$F$26:$F$45)) *(--(E73&lt;$G$26:$G$45)) *(0.2 * IF(ISNUMBER($E$26:$E$45), $E$26:$E$45, 0))),0))</f>
        <v>0</v>
      </c>
      <c r="J73" s="7" t="b" cm="1">
        <f t="array" ref="J73">IF(E73="","",SUMPRODUCT(($A$26:$A$45="water")*(E73&gt;=$F$26:$F$45)*(E73&lt;$G$26:$G$45))&gt;0)</f>
        <v>0</v>
      </c>
      <c r="K73" s="7">
        <f t="shared" si="5"/>
        <v>0</v>
      </c>
      <c r="L73" s="7" t="b">
        <f t="shared" si="6"/>
        <v>0</v>
      </c>
      <c r="M73" s="7" t="b">
        <f t="shared" si="7"/>
        <v>0</v>
      </c>
      <c r="N73" s="7">
        <f t="shared" si="8"/>
        <v>0</v>
      </c>
      <c r="O73" s="7">
        <f t="shared" si="9"/>
        <v>1</v>
      </c>
      <c r="P73" s="7">
        <f t="shared" si="10"/>
        <v>2.5575000000000001</v>
      </c>
      <c r="Q73" s="7">
        <f t="shared" si="11"/>
        <v>0</v>
      </c>
      <c r="R73" s="21">
        <f t="shared" si="12"/>
        <v>0</v>
      </c>
      <c r="S73" s="35">
        <f t="shared" si="25"/>
        <v>1.01</v>
      </c>
      <c r="T73">
        <f t="shared" si="13"/>
        <v>6</v>
      </c>
      <c r="U73" t="b">
        <f t="shared" si="14"/>
        <v>0</v>
      </c>
      <c r="V73" t="b">
        <f t="shared" si="15"/>
        <v>0</v>
      </c>
      <c r="W73" t="b">
        <f t="shared" si="16"/>
        <v>0</v>
      </c>
      <c r="X73" t="b">
        <f t="shared" si="17"/>
        <v>0</v>
      </c>
      <c r="Y73">
        <f t="shared" si="18"/>
        <v>0</v>
      </c>
      <c r="Z73" t="b">
        <f t="shared" si="19"/>
        <v>0</v>
      </c>
      <c r="AA73">
        <f t="shared" si="20"/>
        <v>1</v>
      </c>
      <c r="AB73">
        <f t="shared" si="21"/>
        <v>1</v>
      </c>
      <c r="AC73">
        <f t="shared" si="22"/>
        <v>0</v>
      </c>
      <c r="AD73" t="str" cm="1">
        <f t="array" ref="AD73">IF(G73="","",
  _xlfn.LET(
    _xlpm.starts, _xlfn._xlws.FILTER($C$26:$C$45, ($C$26:$C$45&lt;=G73+T73)*($D$26:$D$45&gt;=G73-T73)),
    IFERROR( MIN(_xlpm.starts) - T73 - 3, "" )
  )
)</f>
        <v/>
      </c>
      <c r="AE73" t="str" cm="1">
        <f t="array" ref="AE73">IF(G73="","",
  _xlfn.LET(
    _xlpm.clears, _xlfn._xlws.FILTER($D$26:$D$45, ($C$26:$C$45&lt;=G73+T73)*($D$26:$D$45&gt;=G73-T73)),
    IFERROR( MAX(_xlpm.clears) + T73 + 3, "" )
  )
)</f>
        <v/>
      </c>
      <c r="AF73" t="str">
        <f t="shared" si="23"/>
        <v/>
      </c>
      <c r="AG73">
        <f t="shared" si="24"/>
        <v>0</v>
      </c>
    </row>
    <row r="74" spans="1:33" x14ac:dyDescent="0.25">
      <c r="A74" s="14" t="s">
        <v>369</v>
      </c>
      <c r="B74" s="13" t="s">
        <v>378</v>
      </c>
      <c r="C74" s="16" t="s">
        <v>309</v>
      </c>
      <c r="D74" s="18">
        <v>20</v>
      </c>
      <c r="E74" s="18">
        <v>15</v>
      </c>
      <c r="F74" s="10">
        <f t="shared" si="3"/>
        <v>15.01</v>
      </c>
      <c r="G74" s="7" cm="1">
        <f t="array" ref="G74">IF(D74="","",
  _xlfn.LET(
    _xlpm.stock,--D74,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19.930666666666664</v>
      </c>
      <c r="H74" s="10">
        <f t="shared" si="4"/>
        <v>328.55933333333337</v>
      </c>
      <c r="I74" s="7" cm="1">
        <f t="array" ref="I74">IF(E74="","",SUMPRODUCT((--($A$26:$A$45="bunker")) *(--(E74&gt;=$F$26:$F$45)) *(--(E74&lt;$G$26:$G$45)) *(0.25 * IF(ISNUMBER($E$26:$E$45), $E$26:$E$45, 0))) +IF(AND(ISNUMBER($B$18), $B$18=TRUE),SUMPRODUCT((--($A$26:$A$45="greenside")) *(--(E74&gt;=$F$26:$F$45)) *(--(E74&lt;$G$26:$G$45)) *(0.2 * IF(ISNUMBER($E$26:$E$45), $E$26:$E$45, 0))),0))</f>
        <v>0</v>
      </c>
      <c r="J74" s="7" t="b" cm="1">
        <f t="array" ref="J74">IF(E74="","",SUMPRODUCT(($A$26:$A$45="water")*(E74&gt;=$F$26:$F$45)*(E74&lt;$G$26:$G$45))&gt;0)</f>
        <v>0</v>
      </c>
      <c r="K74" s="7">
        <f t="shared" si="5"/>
        <v>0</v>
      </c>
      <c r="L74" s="7" t="b">
        <f t="shared" si="6"/>
        <v>0</v>
      </c>
      <c r="M74" s="7" t="b">
        <f t="shared" si="7"/>
        <v>0</v>
      </c>
      <c r="N74" s="7">
        <f t="shared" si="8"/>
        <v>0</v>
      </c>
      <c r="O74" s="7">
        <f t="shared" si="9"/>
        <v>1</v>
      </c>
      <c r="P74" s="7">
        <f t="shared" si="10"/>
        <v>2.5575000000000001</v>
      </c>
      <c r="Q74" s="7">
        <f t="shared" si="11"/>
        <v>0</v>
      </c>
      <c r="R74" s="21">
        <f t="shared" si="12"/>
        <v>0</v>
      </c>
      <c r="S74" s="35">
        <f t="shared" si="25"/>
        <v>1.01</v>
      </c>
      <c r="T74">
        <f t="shared" si="13"/>
        <v>6</v>
      </c>
      <c r="U74" t="b">
        <f t="shared" si="14"/>
        <v>0</v>
      </c>
      <c r="V74" t="b">
        <f t="shared" si="15"/>
        <v>0</v>
      </c>
      <c r="W74" t="b">
        <f t="shared" si="16"/>
        <v>0</v>
      </c>
      <c r="X74" t="b">
        <f t="shared" si="17"/>
        <v>0</v>
      </c>
      <c r="Y74">
        <f t="shared" si="18"/>
        <v>0</v>
      </c>
      <c r="Z74" t="b">
        <f t="shared" si="19"/>
        <v>0</v>
      </c>
      <c r="AA74">
        <f t="shared" si="20"/>
        <v>1</v>
      </c>
      <c r="AB74">
        <f t="shared" si="21"/>
        <v>1</v>
      </c>
      <c r="AC74">
        <f t="shared" si="22"/>
        <v>0</v>
      </c>
      <c r="AD74" t="str" cm="1">
        <f t="array" ref="AD74">IF(G74="","",
  _xlfn.LET(
    _xlpm.starts, _xlfn._xlws.FILTER($C$26:$C$45, ($C$26:$C$45&lt;=G74+T74)*($D$26:$D$45&gt;=G74-T74)),
    IFERROR( MIN(_xlpm.starts) - T74 - 3, "" )
  )
)</f>
        <v/>
      </c>
      <c r="AE74" t="str" cm="1">
        <f t="array" ref="AE74">IF(G74="","",
  _xlfn.LET(
    _xlpm.clears, _xlfn._xlws.FILTER($D$26:$D$45, ($C$26:$C$45&lt;=G74+T74)*($D$26:$D$45&gt;=G74-T74)),
    IFERROR( MAX(_xlpm.clears) + T74 + 3, "" )
  )
)</f>
        <v/>
      </c>
      <c r="AF74" t="str">
        <f t="shared" si="23"/>
        <v/>
      </c>
      <c r="AG74">
        <f t="shared" si="24"/>
        <v>0</v>
      </c>
    </row>
    <row r="75" spans="1:33" x14ac:dyDescent="0.25">
      <c r="A75" s="15" t="s">
        <v>369</v>
      </c>
      <c r="B75" s="13" t="s">
        <v>378</v>
      </c>
      <c r="C75" s="16" t="s">
        <v>574</v>
      </c>
      <c r="D75" s="17">
        <v>18</v>
      </c>
      <c r="E75" s="17">
        <v>10</v>
      </c>
      <c r="F75" s="10">
        <f t="shared" si="3"/>
        <v>10.01</v>
      </c>
      <c r="G75" s="7" cm="1">
        <f t="array" ref="G75">IF(D75="","",
  _xlfn.LET(
    _xlpm.stock,--D75,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17.870266666666666</v>
      </c>
      <c r="H75" s="10">
        <f t="shared" si="4"/>
        <v>330.61973333333333</v>
      </c>
      <c r="I75" s="7" cm="1">
        <f t="array" ref="I75">IF(E75="","",SUMPRODUCT((--($A$26:$A$45="bunker")) *(--(E75&gt;=$F$26:$F$45)) *(--(E75&lt;$G$26:$G$45)) *(0.25 * IF(ISNUMBER($E$26:$E$45), $E$26:$E$45, 0))) +IF(AND(ISNUMBER($B$18), $B$18=TRUE),SUMPRODUCT((--($A$26:$A$45="greenside")) *(--(E75&gt;=$F$26:$F$45)) *(--(E75&lt;$G$26:$G$45)) *(0.2 * IF(ISNUMBER($E$26:$E$45), $E$26:$E$45, 0))),0))</f>
        <v>0</v>
      </c>
      <c r="J75" s="7" t="b" cm="1">
        <f t="array" ref="J75">IF(E75="","",SUMPRODUCT(($A$26:$A$45="water")*(E75&gt;=$F$26:$F$45)*(E75&lt;$G$26:$G$45))&gt;0)</f>
        <v>0</v>
      </c>
      <c r="K75" s="7">
        <f t="shared" si="5"/>
        <v>0</v>
      </c>
      <c r="L75" s="7" t="b">
        <f t="shared" si="6"/>
        <v>0</v>
      </c>
      <c r="M75" s="7" t="b">
        <f t="shared" si="7"/>
        <v>0</v>
      </c>
      <c r="N75" s="7">
        <f t="shared" si="8"/>
        <v>0</v>
      </c>
      <c r="O75" s="7">
        <f t="shared" si="9"/>
        <v>1</v>
      </c>
      <c r="P75" s="7">
        <f t="shared" si="10"/>
        <v>2.5575000000000001</v>
      </c>
      <c r="Q75" s="7">
        <f t="shared" si="11"/>
        <v>0</v>
      </c>
      <c r="R75" s="21">
        <f t="shared" si="12"/>
        <v>0</v>
      </c>
      <c r="S75" s="35">
        <f t="shared" si="25"/>
        <v>1.01</v>
      </c>
      <c r="T75">
        <f t="shared" si="13"/>
        <v>6</v>
      </c>
      <c r="U75" t="b">
        <f t="shared" si="14"/>
        <v>0</v>
      </c>
      <c r="V75" t="b">
        <f t="shared" si="15"/>
        <v>0</v>
      </c>
      <c r="W75" t="b">
        <f t="shared" si="16"/>
        <v>0</v>
      </c>
      <c r="X75" t="b">
        <f t="shared" si="17"/>
        <v>0</v>
      </c>
      <c r="Y75">
        <f t="shared" si="18"/>
        <v>0</v>
      </c>
      <c r="Z75" t="b">
        <f t="shared" si="19"/>
        <v>0</v>
      </c>
      <c r="AA75">
        <f t="shared" si="20"/>
        <v>1</v>
      </c>
      <c r="AB75">
        <f t="shared" si="21"/>
        <v>1</v>
      </c>
      <c r="AC75">
        <f t="shared" si="22"/>
        <v>0</v>
      </c>
      <c r="AD75" t="str" cm="1">
        <f t="array" ref="AD75">IF(G75="","",
  _xlfn.LET(
    _xlpm.starts, _xlfn._xlws.FILTER($C$26:$C$45, ($C$26:$C$45&lt;=G75+T75)*($D$26:$D$45&gt;=G75-T75)),
    IFERROR( MIN(_xlpm.starts) - T75 - 3, "" )
  )
)</f>
        <v/>
      </c>
      <c r="AE75" t="str" cm="1">
        <f t="array" ref="AE75">IF(G75="","",
  _xlfn.LET(
    _xlpm.clears, _xlfn._xlws.FILTER($D$26:$D$45, ($C$26:$C$45&lt;=G75+T75)*($D$26:$D$45&gt;=G75-T75)),
    IFERROR( MAX(_xlpm.clears) + T75 + 3, "" )
  )
)</f>
        <v/>
      </c>
      <c r="AF75" t="str">
        <f t="shared" si="23"/>
        <v/>
      </c>
      <c r="AG75">
        <f t="shared" si="24"/>
        <v>0</v>
      </c>
    </row>
    <row r="76" spans="1:33" x14ac:dyDescent="0.25">
      <c r="A76" s="15" t="s">
        <v>369</v>
      </c>
      <c r="B76" s="13" t="s">
        <v>429</v>
      </c>
      <c r="C76" s="16" t="s">
        <v>319</v>
      </c>
      <c r="D76" s="17">
        <v>12</v>
      </c>
      <c r="E76" s="17">
        <v>8</v>
      </c>
      <c r="F76" s="10">
        <f t="shared" si="3"/>
        <v>8.01</v>
      </c>
      <c r="G76" s="7" cm="1">
        <f t="array" ref="G76">IF(D76="","",
  _xlfn.LET(
    _xlpm.stock,--D76,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11.689066666666667</v>
      </c>
      <c r="H76" s="10">
        <f t="shared" si="4"/>
        <v>336.80093333333332</v>
      </c>
      <c r="I76" s="7" cm="1">
        <f t="array" ref="I76">IF(E76="","",SUMPRODUCT((--($A$26:$A$45="bunker")) *(--(E76&gt;=$F$26:$F$45)) *(--(E76&lt;$G$26:$G$45)) *(0.25 * IF(ISNUMBER($E$26:$E$45), $E$26:$E$45, 0))) +IF(AND(ISNUMBER($B$18), $B$18=TRUE),SUMPRODUCT((--($A$26:$A$45="greenside")) *(--(E76&gt;=$F$26:$F$45)) *(--(E76&lt;$G$26:$G$45)) *(0.2 * IF(ISNUMBER($E$26:$E$45), $E$26:$E$45, 0))),0))</f>
        <v>0</v>
      </c>
      <c r="J76" s="7" t="b" cm="1">
        <f t="array" ref="J76">IF(E76="","",SUMPRODUCT(($A$26:$A$45="water")*(E76&gt;=$F$26:$F$45)*(E76&lt;$G$26:$G$45))&gt;0)</f>
        <v>0</v>
      </c>
      <c r="K76" s="7">
        <f t="shared" si="5"/>
        <v>0</v>
      </c>
      <c r="L76" s="7" t="b">
        <f t="shared" si="6"/>
        <v>0</v>
      </c>
      <c r="M76" s="7" t="b">
        <f t="shared" si="7"/>
        <v>0</v>
      </c>
      <c r="N76" s="7">
        <f t="shared" si="8"/>
        <v>0</v>
      </c>
      <c r="O76" s="7">
        <f t="shared" si="9"/>
        <v>1</v>
      </c>
      <c r="P76" s="7">
        <f t="shared" si="10"/>
        <v>2.5575000000000001</v>
      </c>
      <c r="Q76" s="7">
        <f t="shared" si="11"/>
        <v>0</v>
      </c>
      <c r="R76" s="21">
        <f t="shared" si="12"/>
        <v>0</v>
      </c>
      <c r="S76" s="35">
        <f t="shared" si="25"/>
        <v>1.01</v>
      </c>
      <c r="T76">
        <f t="shared" si="13"/>
        <v>6</v>
      </c>
      <c r="U76" t="b">
        <f t="shared" si="14"/>
        <v>0</v>
      </c>
      <c r="V76" t="b">
        <f t="shared" si="15"/>
        <v>0</v>
      </c>
      <c r="W76" t="b">
        <f t="shared" si="16"/>
        <v>0</v>
      </c>
      <c r="X76" t="b">
        <f t="shared" si="17"/>
        <v>0</v>
      </c>
      <c r="Y76">
        <f t="shared" si="18"/>
        <v>0</v>
      </c>
      <c r="Z76" t="b">
        <f t="shared" si="19"/>
        <v>0</v>
      </c>
      <c r="AA76">
        <f t="shared" si="20"/>
        <v>1</v>
      </c>
      <c r="AB76">
        <f t="shared" si="21"/>
        <v>1</v>
      </c>
      <c r="AC76">
        <f t="shared" si="22"/>
        <v>0</v>
      </c>
      <c r="AD76" t="str" cm="1">
        <f t="array" ref="AD76">IF(G76="","",
  _xlfn.LET(
    _xlpm.starts, _xlfn._xlws.FILTER($C$26:$C$45, ($C$26:$C$45&lt;=G76+T76)*($D$26:$D$45&gt;=G76-T76)),
    IFERROR( MIN(_xlpm.starts) - T76 - 3, "" )
  )
)</f>
        <v/>
      </c>
      <c r="AE76" t="str" cm="1">
        <f t="array" ref="AE76">IF(G76="","",
  _xlfn.LET(
    _xlpm.clears, _xlfn._xlws.FILTER($D$26:$D$45, ($C$26:$C$45&lt;=G76+T76)*($D$26:$D$45&gt;=G76-T76)),
    IFERROR( MAX(_xlpm.clears) + T76 + 3, "" )
  )
)</f>
        <v/>
      </c>
      <c r="AF76" t="str">
        <f t="shared" si="23"/>
        <v/>
      </c>
      <c r="AG76">
        <f t="shared" si="24"/>
        <v>0</v>
      </c>
    </row>
    <row r="77" spans="1:33" x14ac:dyDescent="0.25">
      <c r="A77" s="14" t="s">
        <v>359</v>
      </c>
      <c r="B77" s="13" t="s">
        <v>429</v>
      </c>
      <c r="C77" s="16" t="s">
        <v>449</v>
      </c>
      <c r="D77" s="18">
        <v>7</v>
      </c>
      <c r="E77" s="18">
        <v>5</v>
      </c>
      <c r="F77" s="10">
        <f t="shared" si="3"/>
        <v>5.01</v>
      </c>
      <c r="G77" s="7" cm="1">
        <f t="array" ref="G77">IF(D77="","",
  _xlfn.LET(
    _xlpm.stock,--D77,
    _xlpm.lieMult,1-$B$18,
    _xlpm.spd,IF($B$11="","",VALUE(SUBSTITUTE($B$11,"mph",""))),
    _xlpm.dir,LOWER(TRIM($B$12)),
    _xlpm.ht,UPPER(TRIM($B$5)),
    _xlpm.stanceTxt,UPPER(SUBSTITUTE(TRIM($B$100),"THE ","")),
    _xlpm.htBaseMult,IF(_xlpm.ht="LOW",0.8,IF(_xlpm.ht="HIGH",1.25,1)),
    _xlpm.stanceHtMult,_xlfn.SWITCH(_xlpm.stanceTxt,"UPHILL",1.1,"DOWNHILL",0.9,1),
    _xlpm.htMult,_xlpm.htBaseMult*_xlpm.stanceHtMult,
    _xlpm.distScale,MIN(1,_xlpm.stock/150),
    _xlpm.perMPH,IF(ISNUMBER(SEARCH("head",_xlpm.dir)),-0.5,IF(ISNUMBER(SEARCH("tail",_xlpm.dir)),0.3,0))*_xlpm.distScale*_xlpm.htMult,
    _xlpm.windCarry,IF(_xlpm.spd="",0,_xlpm.spd*_xlpm.perMPH),
    _xlpm.elevCarry,-($B$10/3),
    _xlpm.altFt,IF($B$96="",0,VALUE(SUBSTITUTE($B$96,"ft",""))),
    _xlpm.altCoeff,IF($B$97="",0.0116,VALUE($B$97)),
    _xlpm.geoElevFactor,1 + _xlpm.altCoeff*(_xlpm.altFt/1000),
    _xlpm.stanceCarryMult,_xlfn.SWITCH(_xlpm.stanceTxt,"UPHILL",0.95,"DOWNHILL",0.96,1),
    (_xlpm.stock*_xlpm.lieMult + _xlpm.windCarry + _xlpm.elevCarry) * _xlpm.geoElevFactor * _xlpm.stanceCarryMult
  )
)</f>
        <v>6.5380666666666674</v>
      </c>
      <c r="H77" s="10">
        <f t="shared" si="4"/>
        <v>341.95193333333333</v>
      </c>
      <c r="I77" s="7" cm="1">
        <f t="array" ref="I77">IF(E77="","",SUMPRODUCT((--($A$26:$A$45="bunker")) *(--(E77&gt;=$F$26:$F$45)) *(--(E77&lt;$G$26:$G$45)) *(0.25 * IF(ISNUMBER($E$26:$E$45), $E$26:$E$45, 0))) +IF(AND(ISNUMBER($B$18), $B$18=TRUE),SUMPRODUCT((--($A$26:$A$45="greenside")) *(--(E77&gt;=$F$26:$F$45)) *(--(E77&lt;$G$26:$G$45)) *(0.2 * IF(ISNUMBER($E$26:$E$45), $E$26:$E$45, 0))),0))</f>
        <v>0</v>
      </c>
      <c r="J77" s="7" t="b" cm="1">
        <f t="array" ref="J77">IF(E77="","",SUMPRODUCT(($A$26:$A$45="water")*(E77&gt;=$F$26:$F$45)*(E77&lt;$G$26:$G$45))&gt;0)</f>
        <v>0</v>
      </c>
      <c r="K77" s="7">
        <f t="shared" si="5"/>
        <v>0</v>
      </c>
      <c r="L77" s="7" t="b">
        <f t="shared" si="6"/>
        <v>0</v>
      </c>
      <c r="M77" s="7" t="b">
        <f t="shared" si="7"/>
        <v>0</v>
      </c>
      <c r="N77" s="7">
        <f t="shared" si="8"/>
        <v>0</v>
      </c>
      <c r="O77" s="7">
        <f t="shared" si="9"/>
        <v>1</v>
      </c>
      <c r="P77" s="7">
        <f t="shared" si="10"/>
        <v>2.5575000000000001</v>
      </c>
      <c r="Q77" s="7">
        <f t="shared" si="11"/>
        <v>0</v>
      </c>
      <c r="R77" s="21">
        <f t="shared" si="12"/>
        <v>0</v>
      </c>
      <c r="S77" s="35">
        <f t="shared" si="25"/>
        <v>1.01</v>
      </c>
      <c r="T77">
        <f t="shared" si="13"/>
        <v>6</v>
      </c>
      <c r="U77" t="b">
        <f t="shared" si="14"/>
        <v>0</v>
      </c>
      <c r="V77" t="b">
        <f t="shared" si="15"/>
        <v>0</v>
      </c>
      <c r="W77" t="b">
        <f t="shared" si="16"/>
        <v>0</v>
      </c>
      <c r="X77" t="b">
        <f t="shared" si="17"/>
        <v>0</v>
      </c>
      <c r="Y77">
        <f t="shared" si="18"/>
        <v>0</v>
      </c>
      <c r="Z77" t="b">
        <f t="shared" si="19"/>
        <v>0</v>
      </c>
      <c r="AA77">
        <f t="shared" si="20"/>
        <v>1</v>
      </c>
      <c r="AB77">
        <f t="shared" si="21"/>
        <v>1</v>
      </c>
      <c r="AC77">
        <f t="shared" si="22"/>
        <v>0</v>
      </c>
      <c r="AD77" t="str" cm="1">
        <f t="array" ref="AD77">IF(G77="","",
  _xlfn.LET(
    _xlpm.starts, _xlfn._xlws.FILTER($C$26:$C$45, ($C$26:$C$45&lt;=G77+T77)*($D$26:$D$45&gt;=G77-T77)),
    IFERROR( MIN(_xlpm.starts) - T77 - 3, "" )
  )
)</f>
        <v/>
      </c>
      <c r="AE77" t="str" cm="1">
        <f t="array" ref="AE77">IF(G77="","",
  _xlfn.LET(
    _xlpm.clears, _xlfn._xlws.FILTER($D$26:$D$45, ($C$26:$C$45&lt;=G77+T77)*($D$26:$D$45&gt;=G77-T77)),
    IFERROR( MAX(_xlpm.clears) + T77 + 3, "" )
  )
)</f>
        <v/>
      </c>
      <c r="AF77" t="str">
        <f t="shared" si="23"/>
        <v/>
      </c>
      <c r="AG77">
        <f t="shared" si="24"/>
        <v>0</v>
      </c>
    </row>
    <row r="78" spans="1:33" x14ac:dyDescent="0.25">
      <c r="A78" t="s">
        <v>10</v>
      </c>
      <c r="B78" t="str">
        <f t="shared" ref="B78" si="26">IF(A78="","",A78*(1-$B$18))</f>
        <v/>
      </c>
      <c r="C78" t="s">
        <v>10</v>
      </c>
    </row>
    <row r="79" spans="1:33" x14ac:dyDescent="0.25">
      <c r="A79" t="s">
        <v>254</v>
      </c>
    </row>
    <row r="80" spans="1:33" x14ac:dyDescent="0.25">
      <c r="A80" t="s">
        <v>268</v>
      </c>
      <c r="B80" s="19">
        <f>MAX(AG49:AG77)</f>
        <v>9.58</v>
      </c>
      <c r="C80">
        <f>_xlfn.XMATCH(MAX(K49:K77), K49:K77, 0)</f>
        <v>1</v>
      </c>
    </row>
    <row r="81" spans="1:12" x14ac:dyDescent="0.25">
      <c r="A81" t="s">
        <v>269</v>
      </c>
      <c r="B81" t="str">
        <f>INDEX(A49:A77, MATCH(MAX(AG49:AG77), AG49:AG77, 0))</f>
        <v>Driver</v>
      </c>
      <c r="C81" t="str">
        <f>INDEX(B49:B77, MATCH(MAX(AG49:AG77), AG49:AG77, 0))</f>
        <v>Full</v>
      </c>
      <c r="D81" t="str">
        <f>INDEX(C49:C77, MATCH(MAX(AG49:AG77), AG49:AG77, 0))</f>
        <v>Square</v>
      </c>
      <c r="E81" s="32">
        <f>INDEX(G49:G77, MATCH(MAX(AG49:AG77), AG49:AG77, 0))</f>
        <v>306.87166666666667</v>
      </c>
      <c r="F81" t="str">
        <f>_xlfn.CONCAT(C81," | ",D81)</f>
        <v>Full | Square</v>
      </c>
      <c r="G81" t="str">
        <f>_xlfn.CONCAT(B81," ","(expected dist ",ROUND(E81,0),")")</f>
        <v>Driver (expected dist 307)</v>
      </c>
    </row>
    <row r="82" spans="1:12" x14ac:dyDescent="0.25">
      <c r="A82" t="s">
        <v>270</v>
      </c>
      <c r="B82" s="19" cm="1">
        <f t="array" ref="B82">_xlfn.LET(
    _xlpm.vals, $AG$49:$AG$77,
    _xlpm.maxVal, MAX(_xlpm.vals),
    _xlpm.filtered, _xlfn._xlws.FILTER(_xlpm.vals, _xlpm.vals &lt;&gt; _xlpm.maxVal),
    MAX(_xlpm.filtered)
)</f>
        <v>8.7100000000000009</v>
      </c>
      <c r="J82" cm="1">
        <f t="array" ref="J82">_xlfn.LET(_xlpm.hand,$B$2,_xlpm.shape,$B$4,_xlpm.hdcp,$B$3,_xlpm.carry,D82,_xlpm.leave,G82,_xlpm.disq,I82,_xlpm.loc,$B$26:$B$45,_xlpm.start,$C$26:$C$45,_xlpm.clear,$D$26:$D$45,_xlpm.risk,$E$26:$E$45,_xlpm.buf,IF(_xlpm.hdcp&gt;10,10,5),_xlpm.inLeft,SUMPRODUCT((ISNUMBER(SEARCH("LEFT",_xlpm.loc)))*(_xlpm.carry&gt;=_xlpm.start-_xlpm.buf)*(_xlpm.carry&lt;=_xlpm.clear+_xlpm.buf))&gt;0,_xlpm.inRight,SUMPRODUCT((ISNUMBER(SEARCH("RIGHT",_xlpm.loc)))*(_xlpm.carry&gt;=_xlpm.start-_xlpm.buf)*(_xlpm.carry&lt;=_xlpm.clear+_xlpm.buf))&gt;0,_xlpm.riskSum,SUMPRODUCT((_xlpm.carry&gt;=_xlpm.start)*(_xlpm.carry&lt;=_xlpm.clear)*_xlpm.risk),_xlpm.alignLeft,OR(AND(_xlpm.shape="Draw",_xlpm.hand="Right"),AND(_xlpm.shape="Fade",_xlpm.hand="Left")),_xlpm.alignRight,OR(AND(_xlpm.shape="Fade",_xlpm.hand="Right"),AND(_xlpm.shape="Draw",_xlpm.hand="Left")),_xlpm.alignFactor,1+0.5*(_xlpm.inLeft*--_xlpm.alignLeft+_xlpm.inRight*--_xlpm.alignRight),_xlpm.hdcpScale,MIN(1+_xlpm.hdcp/10,3),_xlpm.hazPen,_xlpm.riskSum*_xlpm.alignFactor*_xlpm.hdcpScale,_xlpm.base,10-0.05*_xlpm.leave,IF(_xlpm.disq,-1000000000,MAX(0,_xlpm.base-IF(OR(_xlpm.inLeft,_xlpm.inRight),_xlpm.hazPen,0))))</f>
        <v>10</v>
      </c>
      <c r="K82" t="s">
        <v>590</v>
      </c>
      <c r="L82" t="s">
        <v>591</v>
      </c>
    </row>
    <row r="83" spans="1:12" x14ac:dyDescent="0.25">
      <c r="A83" t="s">
        <v>271</v>
      </c>
      <c r="B83" t="str">
        <f>_xlfn.XLOOKUP(B82,AG49:AG77,A49:A77)</f>
        <v>3w</v>
      </c>
      <c r="C83" t="str">
        <f>_xlfn.XLOOKUP(B82,AG49:AG77,B49:B77)</f>
        <v>Full</v>
      </c>
      <c r="D83" t="str">
        <f>_xlfn.XLOOKUP(B82,AG49:AG77,C49:C77)</f>
        <v>Square</v>
      </c>
      <c r="E83" s="32">
        <f>_xlfn.XLOOKUP(B82,AG49:AG77,G49:G77)</f>
        <v>276.26866666666666</v>
      </c>
      <c r="F83" t="str">
        <f>_xlfn.CONCAT(C83," | ",D83)</f>
        <v>Full | Square</v>
      </c>
      <c r="G83" t="str">
        <f>_xlfn.CONCAT(B83," ","(expected dist ",ROUND(E83,0),")")</f>
        <v>3w (expected dist 276)</v>
      </c>
      <c r="K83" t="b" cm="1">
        <f t="array" ref="K83">SUMPRODUCT(
  (ISNUMBER(SEARCH("LEFT",$B$26:$B$45)))*
  (B81 &gt;= $C$26:$C$45)*
  (B81 &lt;= $D$26:$D$45)
)&gt;0</f>
        <v>0</v>
      </c>
    </row>
    <row r="84" spans="1:12" x14ac:dyDescent="0.25">
      <c r="A84" t="s">
        <v>202</v>
      </c>
      <c r="G84" t="s">
        <v>536</v>
      </c>
      <c r="H84" t="s">
        <v>535</v>
      </c>
    </row>
    <row r="85" spans="1:12" x14ac:dyDescent="0.25">
      <c r="A85" t="s">
        <v>259</v>
      </c>
      <c r="B85" t="s">
        <v>584</v>
      </c>
      <c r="C85" t="s">
        <v>563</v>
      </c>
      <c r="F85" t="s">
        <v>589</v>
      </c>
      <c r="G85">
        <f>IF(OR(AND($B$4="Draw",$B$2="Right"),AND($B$4="Fade",$B$2="Left")),1,0)</f>
        <v>1</v>
      </c>
      <c r="H85">
        <f>IF(OR(AND($B$4="Fade",$B$2="Right"),AND($B$4="Draw",$B$2="Left")),1,0)</f>
        <v>0</v>
      </c>
    </row>
    <row r="86" spans="1:12" x14ac:dyDescent="0.25">
      <c r="A86" t="s">
        <v>582</v>
      </c>
      <c r="B86" s="19">
        <f>_xlfn.XLOOKUP(B81,Lookup!P2:P17,Lookup!Q2:Q17,0)</f>
        <v>1.6</v>
      </c>
      <c r="C86" s="19">
        <f>_xlfn.XLOOKUP(B81,Lookup!P2:P17,Lookup!R2:R17,0)</f>
        <v>1.1499999999999999</v>
      </c>
    </row>
    <row r="87" spans="1:12" x14ac:dyDescent="0.25">
      <c r="A87" t="s">
        <v>583</v>
      </c>
      <c r="B87" s="19">
        <f>_xlfn.XLOOKUP(B83,Lookup!P2:P17,Lookup!Q2:Q17,0)</f>
        <v>1.5</v>
      </c>
      <c r="C87" s="19">
        <f>_xlfn.XLOOKUP(B83,Lookup!P2:P17,Lookup!R2:R17)</f>
        <v>1.1200000000000001</v>
      </c>
    </row>
    <row r="88" spans="1:12" x14ac:dyDescent="0.25">
      <c r="A88" t="s">
        <v>274</v>
      </c>
      <c r="B88" s="19" cm="1">
        <f t="array" ref="B88">_xlfn.LET(
  _xlpm.carry, _xlfn.XLOOKUP(B81, A49:A77, E49:E77, 0),
  _xlpm.spd, B11,
  _xlpm.windDir, B12,
  _xlpm.ang, _xlfn.XLOOKUP(_xlpm.windDir, {"Cross_R_to_L","Cross_L_to_R"}, {-90,90}, 0),
  _xlpm.base5i, B6,
  _xlpm.hand, B2,
  _xlpm.natShape, B4,
  _xlpm.shapeMult, B86,
  _xlpm.heightMult, C86,
  _xlpm.ydsPerMPH, _xlpm.carry / 100,
  _xlpm.crossMPH, IF(OR(_xlpm.windDir="Head", _xlpm.windDir="Tail"), 0, _xlpm.spd * SIN(RADIANS(_xlpm.ang))),
  _xlpm.windDrift, _xlpm.crossMPH * _xlpm.ydsPerMPH * _xlpm.heightMult,
  _xlpm.curveSign, IF(_xlpm.natShape = "Draw", IF(_xlpm.hand = "Right", -1, 1), IF(_xlpm.natShape = "Fade", IF(_xlpm.hand = "Right", 1, -1), 0)),
  _xlpm.naturalCurve, _xlpm.base5i * _xlpm.shapeMult * _xlpm.curveSign,
  -(_xlpm.windDrift + _xlpm.naturalCurve)
)</f>
        <v>8</v>
      </c>
      <c r="C88" s="19" cm="1">
        <f t="array" ref="C88">_xlfn.LET(
  _xlpm.carry, _xlfn.XLOOKUP(B83, A49:A77, E49:E77, 0),
  _xlpm.spd, B11,
  _xlpm.windDir, B12,
  _xlpm.ang, _xlfn.XLOOKUP(_xlpm.windDir, {"Cross_R_to_L","Cross_L_to_R"}, {-90,90}, 0),
  _xlpm.base5i, B6,
  _xlpm.hand, B2,
  _xlpm.natShape, B4,
  _xlpm.shapeMult, B87,
  _xlpm.heightMult, C87,
  _xlpm.ydsPerMPH, _xlpm.carry / 100,
  _xlpm.crossMPH, IF(OR(_xlpm.windDir = "Head", _xlpm.windDir = "Tail"), 0, _xlpm.spd * SIN(RADIANS(_xlpm.ang))),
  _xlpm.windDrift, _xlpm.crossMPH * _xlpm.ydsPerMPH * _xlpm.heightMult,
  _xlpm.curveSign, IF(_xlpm.natShape = "Draw", IF(_xlpm.hand = "Right", -1, 1), IF(_xlpm.natShape = "Fade", IF(_xlpm.hand = "Right", 1, -1), 0)),
  _xlpm.naturalCurve, _xlpm.base5i * _xlpm.shapeMult * _xlpm.curveSign,
  -(_xlpm.windDrift + _xlpm.naturalCurve)
)</f>
        <v>7.5</v>
      </c>
    </row>
    <row r="89" spans="1:12" x14ac:dyDescent="0.25">
      <c r="A89" t="s">
        <v>273</v>
      </c>
      <c r="B89" s="19" t="b" cm="1">
        <f t="array" ref="B89">SUMPRODUCT(($A$26:$A$45="water")*($B$26:$B$45="left")*(E49&gt;=$F$26:$F$45)*(E49&lt;$G$26:$G$45))&gt;0</f>
        <v>0</v>
      </c>
    </row>
    <row r="90" spans="1:12" x14ac:dyDescent="0.25">
      <c r="A90" t="s">
        <v>272</v>
      </c>
      <c r="B90" s="20" t="b" cm="1">
        <f t="array" ref="B90">SUMPRODUCT((($A$26:$A$45="bunker")+($A$26:$A$45="greenside"))*($B$26:$B$45="left")*(E49&gt;=$F$26:$F$45)*(E49&lt;$G$26:$G$45))&gt;0</f>
        <v>0</v>
      </c>
    </row>
    <row r="91" spans="1:12" x14ac:dyDescent="0.25">
      <c r="A91" t="s">
        <v>275</v>
      </c>
      <c r="B91" s="19" t="b" cm="1">
        <f t="array" ref="B91">SUMPRODUCT(($A$26:$A$45="water")*($B$26:$B$45="right")*(E51&gt;=$F$26:$F$45)*(E51&lt;$G$26:$G$45))&gt;0</f>
        <v>0</v>
      </c>
    </row>
    <row r="92" spans="1:12" x14ac:dyDescent="0.25">
      <c r="A92" t="s">
        <v>276</v>
      </c>
      <c r="B92" s="20" t="b" cm="1">
        <f t="array" ref="B92">SUMPRODUCT((($A$26:$A$45="bunker")+($A$26:$A$45="greenside"))*($B$26:$B$45="right")*(E51&gt;=$F$26:$F$45)*(E51&lt;$G$26:$G$45))&gt;0</f>
        <v>0</v>
      </c>
    </row>
    <row r="93" spans="1:12" x14ac:dyDescent="0.25">
      <c r="A93" t="s">
        <v>277</v>
      </c>
      <c r="B93" s="20" cm="1">
        <f t="array" ref="B93">_xlfn.LET(
 _xlpm.t, _xlfn.XLOOKUP(B81, A49:A77, E49:E77, 0),
 _xlpm.waterBias, 10, _xlpm.bunkerBias, 5,
 _xlpm.LW, SUMPRODUCT(($A$25:$A$44="water")*($B$25:$B$44="left")*(_xlpm.t&gt;=$F$25:$F$44)*(_xlpm.t&lt;$G$25:$G$44))&gt;0,
 _xlpm.RW, SUMPRODUCT(($A$25:$A$44="water")*($B$25:$B$44="right")*(_xlpm.t&gt;=$F$25:$F$44)*(_xlpm.t&lt;$G$25:$G$44))&gt;0,
 _xlpm.LB, SUMPRODUCT((($A$25:$A$44="bunker")+($A$25:$A$44="greenside"))*($B$25:$B$44="left")*(_xlpm.t&gt;=$F$25:$F$44)*(_xlpm.t&lt;$G$25:$G$44))&gt;0,
 _xlpm.RB, SUMPRODUCT((($A$25:$A$44="bunker")+($A$25:$A$44="greenside"))*($B$25:$B$44="right")*(_xlpm.t&gt;=$F$25:$F$44)*(_xlpm.t&lt;$G$25:$G$44))&gt;0,
 _xlpm.waterBias*(--_xlpm.LW- --_xlpm.RW) + _xlpm.bunkerBias*(--_xlpm.LB- --_xlpm.RB)
)</f>
        <v>0</v>
      </c>
    </row>
    <row r="94" spans="1:12" x14ac:dyDescent="0.25">
      <c r="A94" t="s">
        <v>279</v>
      </c>
      <c r="B94" s="19">
        <f>IF(AND(B88="",B93=""),"", N(B88) + N(B93) + N($C$99))</f>
        <v>8</v>
      </c>
      <c r="C94" s="19">
        <f>IF(AND(C88="",B93=""),"", N(C88) + N(B93) + N($E$99))</f>
        <v>7.5</v>
      </c>
    </row>
    <row r="95" spans="1:12" x14ac:dyDescent="0.25">
      <c r="A95" t="s">
        <v>278</v>
      </c>
      <c r="B95" t="str">
        <f>_xlfn.LET(_xlpm.t,N(B94),IF(B94="","","Aim "&amp;CHOOSE(SIGN(_xlpm.t)+2,"LEFT","CENTER","RIGHT")&amp;IF(_xlpm.t=0,""," "&amp;TEXT(ABS(ROUND(_xlpm.t,0)),"0")&amp;" yds")))</f>
        <v>Aim RIGHT 8 yds</v>
      </c>
      <c r="C95" t="str">
        <f>_xlfn.LET(_xlpm.t,N(C94),IF(C94="","","Aim "&amp;CHOOSE(SIGN(_xlpm.t)+2,"LEFT","CENTER","RIGHT")&amp;IF(_xlpm.t=0,""," "&amp;TEXT(ABS(ROUND(_xlpm.t,0)),"0")&amp;" yds")))</f>
        <v>Aim RIGHT 8 yds</v>
      </c>
    </row>
    <row r="96" spans="1:12" x14ac:dyDescent="0.25">
      <c r="A96" t="s">
        <v>617</v>
      </c>
      <c r="B96">
        <v>1000</v>
      </c>
    </row>
    <row r="97" spans="1:5" x14ac:dyDescent="0.25">
      <c r="A97" t="s">
        <v>618</v>
      </c>
      <c r="B97">
        <v>0.01</v>
      </c>
    </row>
    <row r="98" spans="1:5" x14ac:dyDescent="0.25">
      <c r="A98" t="s">
        <v>620</v>
      </c>
      <c r="B98">
        <v>3</v>
      </c>
    </row>
    <row r="99" spans="1:5" x14ac:dyDescent="0.25">
      <c r="A99" t="s">
        <v>621</v>
      </c>
      <c r="B99">
        <f>IF(OR(E81="",$B$100=""),0,
  (IF(ISNUMBER(SEARCH("ABOVE",$B$100)),
        IF($B$98="",3,VALUE($B$98))*E81/100,
     IF(ISNUMBER(SEARCH("BELOW",$B$100)),
        -IF($B$98="",3,VALUE($B$98))*E81/100,
        0)))
  *IF(LEFT(UPPER($B$2),1)="L",-1,1)
)</f>
        <v>0</v>
      </c>
      <c r="C99">
        <f>IF(OR(D50="",$B$100=""),0,
  (IF(ISNUMBER(SEARCH("ABOVE",$B$100)),
        IF($B$99="",9,$B$99)*D50/100,
     IF(ISNUMBER(SEARCH("BELOW",$B$100)),
        -IF($B$99="",9,$B$99)*D50/100,
        0)))
  *IF(LEFT(UPPER($B$2),1)="L",-1,1)
)</f>
        <v>0</v>
      </c>
      <c r="D99">
        <f>IF(OR(E83="",$B$100=""),0,
  (IF(ISNUMBER(SEARCH("ABOVE",$B$100)),
        IF($B$98="",3,VALUE($B$98))*E83/100,
     IF(ISNUMBER(SEARCH("BELOW",$B$100)),
        -IF($B$98="",3,VALUE($B$98))*E83/100,
        0)))
  *IF(LEFT(UPPER($B$2),1)="L",-1,1)
)</f>
        <v>0</v>
      </c>
      <c r="E99">
        <f>IF(OR(D50="",$B$100=""),0,
  (IF(ISNUMBER(SEARCH("ABOVE",$B$100)),
        IF($D$99="",9,$D$99)*D50/100,
     IF(ISNUMBER(SEARCH("BELOW",$B$100)),
        -IF($D$99="",9,$D$99)*D50/100,
        0)))
  *IF(LEFT(UPPER($B$2),1)="L",-1,1)
)</f>
        <v>0</v>
      </c>
    </row>
    <row r="100" spans="1:5" x14ac:dyDescent="0.25">
      <c r="A100" s="1" t="s">
        <v>550</v>
      </c>
      <c r="B100" s="7"/>
    </row>
  </sheetData>
  <sortState xmlns:xlrd2="http://schemas.microsoft.com/office/spreadsheetml/2017/richdata2" ref="A49:AG77">
    <sortCondition descending="1" ref="D49:D77"/>
  </sortState>
  <mergeCells count="15">
    <mergeCell ref="F21:H23"/>
    <mergeCell ref="F18:F19"/>
    <mergeCell ref="G18:G19"/>
    <mergeCell ref="F1:H1"/>
    <mergeCell ref="F8:H8"/>
    <mergeCell ref="F9:H11"/>
    <mergeCell ref="F13:H13"/>
    <mergeCell ref="F20:H20"/>
    <mergeCell ref="H18:H19"/>
    <mergeCell ref="F14:G17"/>
    <mergeCell ref="I2:I7"/>
    <mergeCell ref="G6:G7"/>
    <mergeCell ref="H6:H7"/>
    <mergeCell ref="F6:F7"/>
    <mergeCell ref="F2:G5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FC66357F-732E-47E5-9CEA-901F34305FEE}">
          <x14:formula1>
            <xm:f>Lookup!$A$2:$A$5</xm:f>
          </x14:formula1>
          <xm:sqref>B12</xm:sqref>
        </x14:dataValidation>
        <x14:dataValidation type="list" allowBlank="1" showInputMessage="1" showErrorMessage="1" xr:uid="{5AB2CC2D-D36D-4CA8-8AE7-FEFB0A9B2762}">
          <x14:formula1>
            <xm:f>Lookup!$C$2:$C$7</xm:f>
          </x14:formula1>
          <xm:sqref>B13</xm:sqref>
        </x14:dataValidation>
        <x14:dataValidation type="list" allowBlank="1" showInputMessage="1" showErrorMessage="1" xr:uid="{263AA67E-A706-42B8-ABB6-8BF0FD4E88DD}">
          <x14:formula1>
            <xm:f>Lookup!$B$2:$B$3</xm:f>
          </x14:formula1>
          <xm:sqref>B2</xm:sqref>
        </x14:dataValidation>
        <x14:dataValidation type="list" allowBlank="1" showInputMessage="1" showErrorMessage="1" xr:uid="{6ECBDA37-309B-4FB0-A538-D830E9348BD3}">
          <x14:formula1>
            <xm:f>Lookup!$H$2:$H$4</xm:f>
          </x14:formula1>
          <xm:sqref>B4</xm:sqref>
        </x14:dataValidation>
        <x14:dataValidation type="list" allowBlank="1" showInputMessage="1" showErrorMessage="1" xr:uid="{4F0D8C5F-18FB-4E03-BF25-DE13A0B2F411}">
          <x14:formula1>
            <xm:f>Lookup!$I$2:$I$4</xm:f>
          </x14:formula1>
          <xm:sqref>B5</xm:sqref>
        </x14:dataValidation>
        <x14:dataValidation type="list" allowBlank="1" showInputMessage="1" showErrorMessage="1" xr:uid="{31EB8A9D-71A6-4D59-9F39-791CF0941AB0}">
          <x14:formula1>
            <xm:f>Lookup!$K$2:$K$6</xm:f>
          </x14:formula1>
          <xm:sqref>B14</xm:sqref>
        </x14:dataValidation>
        <x14:dataValidation type="list" allowBlank="1" showInputMessage="1" showErrorMessage="1" xr:uid="{F0D6C8D8-55E7-4D49-8273-6F8C21E7833A}">
          <x14:formula1>
            <xm:f>Lookup!$L$2:$L$8</xm:f>
          </x14:formula1>
          <xm:sqref>B49:B77</xm:sqref>
        </x14:dataValidation>
        <x14:dataValidation type="list" allowBlank="1" showInputMessage="1" showErrorMessage="1" xr:uid="{FBAC8D9D-D46F-4FAE-BBC8-26EC38153CBD}">
          <x14:formula1>
            <xm:f>Lookup!$M$2:$M$7</xm:f>
          </x14:formula1>
          <xm:sqref>C49:C77</xm:sqref>
        </x14:dataValidation>
        <x14:dataValidation type="list" allowBlank="1" showInputMessage="1" showErrorMessage="1" xr:uid="{C2ED0F6B-A969-4E07-9450-32F5B422EA93}">
          <x14:formula1>
            <xm:f>Lookup!$N$2:$N$4</xm:f>
          </x14:formula1>
          <xm:sqref>B15</xm:sqref>
        </x14:dataValidation>
        <x14:dataValidation type="list" allowBlank="1" showInputMessage="1" showErrorMessage="1" xr:uid="{7BE14DD2-01BE-4A1E-B838-6A38080E69BB}">
          <x14:formula1>
            <xm:f>Lookup!$O$2:$O$4</xm:f>
          </x14:formula1>
          <xm:sqref>B16</xm:sqref>
        </x14:dataValidation>
        <x14:dataValidation type="list" allowBlank="1" showInputMessage="1" showErrorMessage="1" xr:uid="{33EE4E69-7317-4661-8D5D-DEAA2477F5AF}">
          <x14:formula1>
            <xm:f>Lookup!$E$2:$E$5</xm:f>
          </x14:formula1>
          <xm:sqref>A26:A45</xm:sqref>
        </x14:dataValidation>
        <x14:dataValidation type="list" allowBlank="1" showInputMessage="1" showErrorMessage="1" xr:uid="{315F8BCE-201A-45B6-B596-A05E86BA1847}">
          <x14:formula1>
            <xm:f>Lookup!$G$2:$G$9</xm:f>
          </x14:formula1>
          <xm:sqref>B26:B45</xm:sqref>
        </x14:dataValidation>
        <x14:dataValidation type="list" allowBlank="1" showInputMessage="1" showErrorMessage="1" xr:uid="{03AD2AD3-32FD-49D6-A43D-C63FFF33C642}">
          <x14:formula1>
            <xm:f>Lookup!$J$2:$J$7</xm:f>
          </x14:formula1>
          <xm:sqref>E26:E45</xm:sqref>
        </x14:dataValidation>
        <x14:dataValidation type="list" allowBlank="1" showInputMessage="1" showErrorMessage="1" xr:uid="{0B1C2FF0-114F-40CB-9B35-FF95FE7151F3}">
          <x14:formula1>
            <xm:f>Lookup!$D$2:$D$7</xm:f>
          </x14:formula1>
          <xm:sqref>B100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F91A-B6E9-40F7-8F7F-A7A46829559E}">
  <sheetPr codeName="Sheet2"/>
  <dimension ref="A1:R17"/>
  <sheetViews>
    <sheetView workbookViewId="0">
      <selection activeCell="E10" sqref="E10"/>
    </sheetView>
  </sheetViews>
  <sheetFormatPr defaultRowHeight="15" x14ac:dyDescent="0.25"/>
  <cols>
    <col min="17" max="17" width="12.42578125" bestFit="1" customWidth="1"/>
    <col min="18" max="18" width="12.85546875" bestFit="1" customWidth="1"/>
  </cols>
  <sheetData>
    <row r="1" spans="1:18" x14ac:dyDescent="0.25">
      <c r="A1" s="1" t="s">
        <v>199</v>
      </c>
      <c r="B1" s="1" t="s">
        <v>559</v>
      </c>
      <c r="C1" s="1" t="s">
        <v>200</v>
      </c>
      <c r="D1" s="1" t="s">
        <v>550</v>
      </c>
      <c r="E1" s="1" t="s">
        <v>530</v>
      </c>
      <c r="F1" s="1" t="s">
        <v>555</v>
      </c>
      <c r="G1" s="1" t="s">
        <v>534</v>
      </c>
      <c r="H1" s="1" t="s">
        <v>560</v>
      </c>
      <c r="I1" s="1" t="s">
        <v>563</v>
      </c>
      <c r="J1" s="1" t="s">
        <v>569</v>
      </c>
      <c r="K1" s="1" t="s">
        <v>570</v>
      </c>
      <c r="L1" s="1" t="s">
        <v>571</v>
      </c>
      <c r="M1" s="1" t="s">
        <v>288</v>
      </c>
      <c r="N1" s="31" t="s">
        <v>614</v>
      </c>
      <c r="O1" s="31" t="s">
        <v>615</v>
      </c>
      <c r="P1" s="4" t="s">
        <v>579</v>
      </c>
      <c r="Q1" s="4" t="s">
        <v>580</v>
      </c>
      <c r="R1" s="4" t="s">
        <v>581</v>
      </c>
    </row>
    <row r="2" spans="1:18" x14ac:dyDescent="0.25">
      <c r="A2" t="s">
        <v>542</v>
      </c>
      <c r="B2" t="s">
        <v>536</v>
      </c>
      <c r="C2" t="s">
        <v>544</v>
      </c>
      <c r="D2" t="s">
        <v>574</v>
      </c>
      <c r="E2" t="s">
        <v>531</v>
      </c>
      <c r="F2" t="s">
        <v>556</v>
      </c>
      <c r="G2" t="s">
        <v>535</v>
      </c>
      <c r="H2" t="s">
        <v>449</v>
      </c>
      <c r="I2" t="s">
        <v>564</v>
      </c>
      <c r="J2">
        <v>1</v>
      </c>
      <c r="K2">
        <v>1</v>
      </c>
      <c r="L2" s="2" t="s">
        <v>297</v>
      </c>
      <c r="M2" t="s">
        <v>449</v>
      </c>
      <c r="N2" t="s">
        <v>556</v>
      </c>
      <c r="O2" t="s">
        <v>535</v>
      </c>
      <c r="P2" s="3" t="s">
        <v>90</v>
      </c>
      <c r="Q2" s="3">
        <v>1.6</v>
      </c>
      <c r="R2" s="3">
        <v>1.1499999999999999</v>
      </c>
    </row>
    <row r="3" spans="1:18" x14ac:dyDescent="0.25">
      <c r="A3" t="s">
        <v>543</v>
      </c>
      <c r="B3" t="s">
        <v>535</v>
      </c>
      <c r="C3" t="s">
        <v>545</v>
      </c>
      <c r="D3" t="s">
        <v>551</v>
      </c>
      <c r="E3" t="s">
        <v>532</v>
      </c>
      <c r="F3" t="s">
        <v>557</v>
      </c>
      <c r="G3" t="s">
        <v>536</v>
      </c>
      <c r="H3" t="s">
        <v>561</v>
      </c>
      <c r="I3" t="s">
        <v>565</v>
      </c>
      <c r="J3">
        <v>2</v>
      </c>
      <c r="K3">
        <v>2</v>
      </c>
      <c r="L3" s="2" t="s">
        <v>318</v>
      </c>
      <c r="M3" t="s">
        <v>319</v>
      </c>
      <c r="N3" t="s">
        <v>557</v>
      </c>
      <c r="O3" t="s">
        <v>537</v>
      </c>
      <c r="P3" s="3" t="s">
        <v>98</v>
      </c>
      <c r="Q3" s="3">
        <v>1.5</v>
      </c>
      <c r="R3" s="3">
        <v>1.1200000000000001</v>
      </c>
    </row>
    <row r="4" spans="1:18" x14ac:dyDescent="0.25">
      <c r="A4" t="s">
        <v>576</v>
      </c>
      <c r="C4" t="s">
        <v>546</v>
      </c>
      <c r="D4" t="s">
        <v>552</v>
      </c>
      <c r="E4" t="s">
        <v>533</v>
      </c>
      <c r="F4" t="s">
        <v>558</v>
      </c>
      <c r="G4" t="s">
        <v>537</v>
      </c>
      <c r="H4" t="s">
        <v>562</v>
      </c>
      <c r="I4" t="s">
        <v>566</v>
      </c>
      <c r="J4">
        <v>3</v>
      </c>
      <c r="K4">
        <v>3</v>
      </c>
      <c r="L4" s="2" t="s">
        <v>388</v>
      </c>
      <c r="M4" t="s">
        <v>562</v>
      </c>
      <c r="N4" t="s">
        <v>558</v>
      </c>
      <c r="O4" t="s">
        <v>536</v>
      </c>
      <c r="P4" s="3" t="s">
        <v>106</v>
      </c>
      <c r="Q4" s="3">
        <v>1.4</v>
      </c>
      <c r="R4" s="3">
        <v>1.1000000000000001</v>
      </c>
    </row>
    <row r="5" spans="1:18" x14ac:dyDescent="0.25">
      <c r="A5" t="s">
        <v>577</v>
      </c>
      <c r="C5" t="s">
        <v>547</v>
      </c>
      <c r="D5" t="s">
        <v>553</v>
      </c>
      <c r="G5" t="s">
        <v>538</v>
      </c>
      <c r="J5">
        <v>4</v>
      </c>
      <c r="K5">
        <v>4</v>
      </c>
      <c r="L5" s="2" t="s">
        <v>378</v>
      </c>
      <c r="M5" t="s">
        <v>298</v>
      </c>
      <c r="P5" s="3" t="s">
        <v>448</v>
      </c>
      <c r="Q5" s="3">
        <v>1.25</v>
      </c>
      <c r="R5" s="3">
        <v>1.08</v>
      </c>
    </row>
    <row r="6" spans="1:18" x14ac:dyDescent="0.25">
      <c r="C6" t="s">
        <v>548</v>
      </c>
      <c r="D6" t="s">
        <v>554</v>
      </c>
      <c r="G6" t="s">
        <v>539</v>
      </c>
      <c r="J6">
        <v>5</v>
      </c>
      <c r="K6">
        <v>5</v>
      </c>
      <c r="L6" s="2" t="s">
        <v>572</v>
      </c>
      <c r="M6" t="s">
        <v>309</v>
      </c>
      <c r="P6" s="3" t="s">
        <v>447</v>
      </c>
      <c r="Q6" s="3">
        <v>1.18</v>
      </c>
      <c r="R6" s="3">
        <v>1.06</v>
      </c>
    </row>
    <row r="7" spans="1:18" x14ac:dyDescent="0.25">
      <c r="C7" t="s">
        <v>549</v>
      </c>
      <c r="G7" t="s">
        <v>540</v>
      </c>
      <c r="L7" s="2" t="s">
        <v>429</v>
      </c>
      <c r="M7" t="s">
        <v>574</v>
      </c>
      <c r="P7" s="3" t="s">
        <v>114</v>
      </c>
      <c r="Q7" s="3">
        <v>1.1000000000000001</v>
      </c>
      <c r="R7" s="3">
        <v>1.04</v>
      </c>
    </row>
    <row r="8" spans="1:18" x14ac:dyDescent="0.25">
      <c r="G8" t="s">
        <v>541</v>
      </c>
      <c r="L8" s="2" t="s">
        <v>573</v>
      </c>
      <c r="P8" s="5" t="s">
        <v>122</v>
      </c>
      <c r="Q8" s="5">
        <v>1</v>
      </c>
      <c r="R8" s="5">
        <v>1</v>
      </c>
    </row>
    <row r="9" spans="1:18" x14ac:dyDescent="0.25">
      <c r="P9" s="3" t="s">
        <v>130</v>
      </c>
      <c r="Q9" s="3">
        <v>0.9</v>
      </c>
      <c r="R9" s="3">
        <v>0.98</v>
      </c>
    </row>
    <row r="10" spans="1:18" x14ac:dyDescent="0.25">
      <c r="P10" s="3" t="s">
        <v>138</v>
      </c>
      <c r="Q10" s="3">
        <v>0.8</v>
      </c>
      <c r="R10" s="3">
        <v>0.96</v>
      </c>
    </row>
    <row r="11" spans="1:18" x14ac:dyDescent="0.25">
      <c r="P11" s="3" t="s">
        <v>146</v>
      </c>
      <c r="Q11" s="3">
        <v>0.7</v>
      </c>
      <c r="R11" s="3">
        <v>0.94</v>
      </c>
    </row>
    <row r="12" spans="1:18" x14ac:dyDescent="0.25">
      <c r="P12" s="3" t="s">
        <v>154</v>
      </c>
      <c r="Q12" s="3">
        <v>0.6</v>
      </c>
      <c r="R12" s="3">
        <v>0.92</v>
      </c>
    </row>
    <row r="13" spans="1:18" x14ac:dyDescent="0.25">
      <c r="P13" s="3" t="s">
        <v>162</v>
      </c>
      <c r="Q13" s="3">
        <v>0.5</v>
      </c>
      <c r="R13" s="3">
        <v>0.9</v>
      </c>
    </row>
    <row r="14" spans="1:18" x14ac:dyDescent="0.25">
      <c r="P14" s="3" t="s">
        <v>329</v>
      </c>
      <c r="Q14" s="3">
        <v>0.45</v>
      </c>
      <c r="R14" s="3">
        <v>0.88</v>
      </c>
    </row>
    <row r="15" spans="1:18" x14ac:dyDescent="0.25">
      <c r="P15" t="s">
        <v>359</v>
      </c>
      <c r="Q15" s="3">
        <v>0.45</v>
      </c>
      <c r="R15" s="3">
        <v>0.88</v>
      </c>
    </row>
    <row r="16" spans="1:18" x14ac:dyDescent="0.25">
      <c r="P16" s="3" t="s">
        <v>340</v>
      </c>
      <c r="Q16" s="3">
        <v>0.4</v>
      </c>
      <c r="R16" s="3">
        <v>0.86</v>
      </c>
    </row>
    <row r="17" spans="16:18" x14ac:dyDescent="0.25">
      <c r="P17" t="s">
        <v>369</v>
      </c>
      <c r="Q17" s="3">
        <v>0.4</v>
      </c>
      <c r="R17" s="3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7D80-056C-41FE-9040-2E6C4CEB8E44}">
  <sheetPr codeName="Sheet3"/>
  <dimension ref="A1"/>
  <sheetViews>
    <sheetView workbookViewId="0">
      <selection sqref="A1:G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57EA-BAE0-4DBE-890E-BAD7220F6ED4}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E0A7-AA7B-4D57-891D-3AAE19F61239}">
  <sheetPr codeName="Sheet5"/>
  <dimension ref="A1:A40"/>
  <sheetViews>
    <sheetView topLeftCell="A11" workbookViewId="0">
      <selection activeCell="A22" sqref="A22:U26"/>
    </sheetView>
  </sheetViews>
  <sheetFormatPr defaultRowHeight="15" x14ac:dyDescent="0.25"/>
  <cols>
    <col min="1" max="1" width="255.7109375" customWidth="1"/>
  </cols>
  <sheetData>
    <row r="1" spans="1:1" x14ac:dyDescent="0.25">
      <c r="A1" t="b">
        <f>MIN(C45,D45) =MAX(C45,D45)</f>
        <v>1</v>
      </c>
    </row>
    <row r="2" spans="1:1" x14ac:dyDescent="0.25">
      <c r="A2" t="b">
        <f>MIN(C46,D46) =MAX(C46,D46)</f>
        <v>1</v>
      </c>
    </row>
    <row r="3" spans="1:1" x14ac:dyDescent="0.25">
      <c r="A3" t="s">
        <v>10</v>
      </c>
    </row>
    <row r="4" spans="1:1" x14ac:dyDescent="0.25">
      <c r="A4" t="s">
        <v>495</v>
      </c>
    </row>
    <row r="5" spans="1:1" x14ac:dyDescent="0.25">
      <c r="A5" t="s">
        <v>496</v>
      </c>
    </row>
    <row r="6" spans="1:1" x14ac:dyDescent="0.25">
      <c r="A6" t="s">
        <v>497</v>
      </c>
    </row>
    <row r="7" spans="1:1" x14ac:dyDescent="0.25">
      <c r="A7" t="s">
        <v>498</v>
      </c>
    </row>
    <row r="8" spans="1:1" x14ac:dyDescent="0.25">
      <c r="A8" t="s">
        <v>499</v>
      </c>
    </row>
    <row r="9" spans="1:1" x14ac:dyDescent="0.25">
      <c r="A9" t="s">
        <v>500</v>
      </c>
    </row>
    <row r="10" spans="1:1" x14ac:dyDescent="0.25">
      <c r="A10" t="s">
        <v>501</v>
      </c>
    </row>
    <row r="11" spans="1:1" x14ac:dyDescent="0.25">
      <c r="A11" t="s">
        <v>502</v>
      </c>
    </row>
    <row r="12" spans="1:1" x14ac:dyDescent="0.25">
      <c r="A12" t="s">
        <v>503</v>
      </c>
    </row>
    <row r="13" spans="1:1" x14ac:dyDescent="0.25">
      <c r="A13" t="s">
        <v>504</v>
      </c>
    </row>
    <row r="14" spans="1:1" x14ac:dyDescent="0.25">
      <c r="A14" t="s">
        <v>505</v>
      </c>
    </row>
    <row r="15" spans="1:1" x14ac:dyDescent="0.25">
      <c r="A15" t="s">
        <v>506</v>
      </c>
    </row>
    <row r="16" spans="1:1" x14ac:dyDescent="0.25">
      <c r="A16" t="s">
        <v>507</v>
      </c>
    </row>
    <row r="17" spans="1:1" x14ac:dyDescent="0.25">
      <c r="A17" t="s">
        <v>508</v>
      </c>
    </row>
    <row r="18" spans="1:1" x14ac:dyDescent="0.25">
      <c r="A18" t="s">
        <v>509</v>
      </c>
    </row>
    <row r="19" spans="1:1" x14ac:dyDescent="0.25">
      <c r="A19" t="s">
        <v>10</v>
      </c>
    </row>
    <row r="20" spans="1:1" x14ac:dyDescent="0.25">
      <c r="A20" t="s">
        <v>510</v>
      </c>
    </row>
    <row r="21" spans="1:1" x14ac:dyDescent="0.25">
      <c r="A21" t="s">
        <v>511</v>
      </c>
    </row>
    <row r="22" spans="1:1" x14ac:dyDescent="0.25">
      <c r="A22" t="s">
        <v>512</v>
      </c>
    </row>
    <row r="23" spans="1:1" x14ac:dyDescent="0.25">
      <c r="A23" t="s">
        <v>513</v>
      </c>
    </row>
    <row r="24" spans="1:1" x14ac:dyDescent="0.25">
      <c r="A24" t="s">
        <v>514</v>
      </c>
    </row>
    <row r="25" spans="1:1" x14ac:dyDescent="0.25">
      <c r="A25" t="s">
        <v>515</v>
      </c>
    </row>
    <row r="26" spans="1:1" x14ac:dyDescent="0.25">
      <c r="A26" t="s">
        <v>516</v>
      </c>
    </row>
    <row r="27" spans="1:1" x14ac:dyDescent="0.25">
      <c r="A27" t="s">
        <v>10</v>
      </c>
    </row>
    <row r="28" spans="1:1" x14ac:dyDescent="0.25">
      <c r="A28" t="s">
        <v>517</v>
      </c>
    </row>
    <row r="29" spans="1:1" x14ac:dyDescent="0.25">
      <c r="A29" t="s">
        <v>518</v>
      </c>
    </row>
    <row r="30" spans="1:1" x14ac:dyDescent="0.25">
      <c r="A30" t="s">
        <v>519</v>
      </c>
    </row>
    <row r="31" spans="1:1" x14ac:dyDescent="0.25">
      <c r="A31" t="s">
        <v>520</v>
      </c>
    </row>
    <row r="32" spans="1:1" x14ac:dyDescent="0.25">
      <c r="A32" t="s">
        <v>521</v>
      </c>
    </row>
    <row r="33" spans="1:1" x14ac:dyDescent="0.25">
      <c r="A33" t="s">
        <v>522</v>
      </c>
    </row>
    <row r="34" spans="1:1" x14ac:dyDescent="0.25">
      <c r="A34" t="s">
        <v>523</v>
      </c>
    </row>
    <row r="35" spans="1:1" x14ac:dyDescent="0.25">
      <c r="A35" t="s">
        <v>524</v>
      </c>
    </row>
    <row r="36" spans="1:1" x14ac:dyDescent="0.25">
      <c r="A36" t="s">
        <v>525</v>
      </c>
    </row>
    <row r="37" spans="1:1" x14ac:dyDescent="0.25">
      <c r="A37" t="s">
        <v>526</v>
      </c>
    </row>
    <row r="38" spans="1:1" x14ac:dyDescent="0.25">
      <c r="A38" t="s">
        <v>527</v>
      </c>
    </row>
    <row r="39" spans="1:1" x14ac:dyDescent="0.25">
      <c r="A39" t="s">
        <v>528</v>
      </c>
    </row>
    <row r="40" spans="1:1" x14ac:dyDescent="0.25">
      <c r="A40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E593-9E1B-4D22-B33A-7FE2D53044FD}">
  <sheetPr codeName="Sheet6"/>
  <dimension ref="A1:A88"/>
  <sheetViews>
    <sheetView topLeftCell="A74" workbookViewId="0">
      <selection activeCell="A49" sqref="A49:A88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t="s">
        <v>450</v>
      </c>
    </row>
    <row r="3" spans="1:1" x14ac:dyDescent="0.25">
      <c r="A3" t="s">
        <v>10</v>
      </c>
    </row>
    <row r="4" spans="1:1" x14ac:dyDescent="0.25">
      <c r="A4" t="s">
        <v>451</v>
      </c>
    </row>
    <row r="5" spans="1:1" x14ac:dyDescent="0.25">
      <c r="A5" t="s">
        <v>452</v>
      </c>
    </row>
    <row r="6" spans="1:1" x14ac:dyDescent="0.25">
      <c r="A6" t="s">
        <v>453</v>
      </c>
    </row>
    <row r="7" spans="1:1" x14ac:dyDescent="0.25">
      <c r="A7" t="s">
        <v>454</v>
      </c>
    </row>
    <row r="8" spans="1:1" x14ac:dyDescent="0.25">
      <c r="A8" t="s">
        <v>455</v>
      </c>
    </row>
    <row r="9" spans="1:1" x14ac:dyDescent="0.25">
      <c r="A9" t="s">
        <v>456</v>
      </c>
    </row>
    <row r="10" spans="1:1" x14ac:dyDescent="0.25">
      <c r="A10" t="s">
        <v>457</v>
      </c>
    </row>
    <row r="11" spans="1:1" x14ac:dyDescent="0.25">
      <c r="A11" t="s">
        <v>10</v>
      </c>
    </row>
    <row r="12" spans="1:1" x14ac:dyDescent="0.25">
      <c r="A12" t="s">
        <v>458</v>
      </c>
    </row>
    <row r="13" spans="1:1" x14ac:dyDescent="0.25">
      <c r="A13" t="s">
        <v>459</v>
      </c>
    </row>
    <row r="14" spans="1:1" x14ac:dyDescent="0.25">
      <c r="A14" t="s">
        <v>460</v>
      </c>
    </row>
    <row r="15" spans="1:1" x14ac:dyDescent="0.25">
      <c r="A15" t="s">
        <v>461</v>
      </c>
    </row>
    <row r="16" spans="1:1" x14ac:dyDescent="0.25">
      <c r="A16" t="s">
        <v>462</v>
      </c>
    </row>
    <row r="17" spans="1:1" x14ac:dyDescent="0.25">
      <c r="A17" t="s">
        <v>463</v>
      </c>
    </row>
    <row r="18" spans="1:1" x14ac:dyDescent="0.25">
      <c r="A18" t="s">
        <v>10</v>
      </c>
    </row>
    <row r="19" spans="1:1" x14ac:dyDescent="0.25">
      <c r="A19" t="s">
        <v>464</v>
      </c>
    </row>
    <row r="20" spans="1:1" x14ac:dyDescent="0.25">
      <c r="A20" t="s">
        <v>465</v>
      </c>
    </row>
    <row r="21" spans="1:1" x14ac:dyDescent="0.25">
      <c r="A21" t="s">
        <v>466</v>
      </c>
    </row>
    <row r="22" spans="1:1" x14ac:dyDescent="0.25">
      <c r="A22" t="s">
        <v>467</v>
      </c>
    </row>
    <row r="23" spans="1:1" x14ac:dyDescent="0.25">
      <c r="A23" t="s">
        <v>468</v>
      </c>
    </row>
    <row r="24" spans="1:1" x14ac:dyDescent="0.25">
      <c r="A24" t="s">
        <v>469</v>
      </c>
    </row>
    <row r="25" spans="1:1" x14ac:dyDescent="0.25">
      <c r="A25" t="s">
        <v>470</v>
      </c>
    </row>
    <row r="26" spans="1:1" x14ac:dyDescent="0.25">
      <c r="A26" t="s">
        <v>471</v>
      </c>
    </row>
    <row r="27" spans="1:1" x14ac:dyDescent="0.25">
      <c r="A27" t="s">
        <v>472</v>
      </c>
    </row>
    <row r="28" spans="1:1" x14ac:dyDescent="0.25">
      <c r="A28" t="s">
        <v>10</v>
      </c>
    </row>
    <row r="29" spans="1:1" x14ac:dyDescent="0.25">
      <c r="A29" t="s">
        <v>473</v>
      </c>
    </row>
    <row r="30" spans="1:1" x14ac:dyDescent="0.25">
      <c r="A30" t="s">
        <v>474</v>
      </c>
    </row>
    <row r="31" spans="1:1" x14ac:dyDescent="0.25">
      <c r="A31" t="s">
        <v>475</v>
      </c>
    </row>
    <row r="32" spans="1:1" x14ac:dyDescent="0.25">
      <c r="A32" t="s">
        <v>476</v>
      </c>
    </row>
    <row r="33" spans="1:1" x14ac:dyDescent="0.25">
      <c r="A33" t="s">
        <v>477</v>
      </c>
    </row>
    <row r="34" spans="1:1" x14ac:dyDescent="0.25">
      <c r="A34" t="s">
        <v>478</v>
      </c>
    </row>
    <row r="35" spans="1:1" x14ac:dyDescent="0.25">
      <c r="A35" t="s">
        <v>479</v>
      </c>
    </row>
    <row r="36" spans="1:1" x14ac:dyDescent="0.25">
      <c r="A36" t="s">
        <v>480</v>
      </c>
    </row>
    <row r="37" spans="1:1" x14ac:dyDescent="0.25">
      <c r="A37" t="s">
        <v>481</v>
      </c>
    </row>
    <row r="38" spans="1:1" x14ac:dyDescent="0.25">
      <c r="A38" t="s">
        <v>482</v>
      </c>
    </row>
    <row r="39" spans="1:1" x14ac:dyDescent="0.25">
      <c r="A39" t="s">
        <v>483</v>
      </c>
    </row>
    <row r="40" spans="1:1" x14ac:dyDescent="0.25">
      <c r="A40" t="s">
        <v>484</v>
      </c>
    </row>
    <row r="41" spans="1:1" x14ac:dyDescent="0.25">
      <c r="A41" t="s">
        <v>485</v>
      </c>
    </row>
    <row r="42" spans="1:1" x14ac:dyDescent="0.25">
      <c r="A42" t="s">
        <v>486</v>
      </c>
    </row>
    <row r="43" spans="1:1" x14ac:dyDescent="0.25">
      <c r="A43" t="s">
        <v>487</v>
      </c>
    </row>
    <row r="44" spans="1:1" x14ac:dyDescent="0.25">
      <c r="A44" t="s">
        <v>488</v>
      </c>
    </row>
    <row r="45" spans="1:1" x14ac:dyDescent="0.25">
      <c r="A45" t="s">
        <v>489</v>
      </c>
    </row>
    <row r="46" spans="1:1" x14ac:dyDescent="0.25">
      <c r="A46" t="s">
        <v>490</v>
      </c>
    </row>
    <row r="47" spans="1:1" x14ac:dyDescent="0.25">
      <c r="A47" t="s">
        <v>491</v>
      </c>
    </row>
    <row r="48" spans="1:1" x14ac:dyDescent="0.25">
      <c r="A48" t="s">
        <v>492</v>
      </c>
    </row>
    <row r="49" spans="1:1" x14ac:dyDescent="0.25">
      <c r="A49" t="s">
        <v>493</v>
      </c>
    </row>
    <row r="50" spans="1:1" x14ac:dyDescent="0.25">
      <c r="A50" t="s">
        <v>494</v>
      </c>
    </row>
    <row r="51" spans="1:1" x14ac:dyDescent="0.25">
      <c r="A51" t="s">
        <v>10</v>
      </c>
    </row>
    <row r="52" spans="1:1" x14ac:dyDescent="0.25">
      <c r="A52" t="s">
        <v>495</v>
      </c>
    </row>
    <row r="53" spans="1:1" x14ac:dyDescent="0.25">
      <c r="A53" t="s">
        <v>496</v>
      </c>
    </row>
    <row r="54" spans="1:1" x14ac:dyDescent="0.25">
      <c r="A54" t="s">
        <v>497</v>
      </c>
    </row>
    <row r="55" spans="1:1" x14ac:dyDescent="0.25">
      <c r="A55" t="s">
        <v>498</v>
      </c>
    </row>
    <row r="56" spans="1:1" x14ac:dyDescent="0.25">
      <c r="A56" t="s">
        <v>499</v>
      </c>
    </row>
    <row r="57" spans="1:1" x14ac:dyDescent="0.25">
      <c r="A57" t="s">
        <v>500</v>
      </c>
    </row>
    <row r="58" spans="1:1" x14ac:dyDescent="0.25">
      <c r="A58" t="s">
        <v>501</v>
      </c>
    </row>
    <row r="59" spans="1:1" x14ac:dyDescent="0.25">
      <c r="A59" t="s">
        <v>502</v>
      </c>
    </row>
    <row r="60" spans="1:1" x14ac:dyDescent="0.25">
      <c r="A60" t="s">
        <v>503</v>
      </c>
    </row>
    <row r="61" spans="1:1" x14ac:dyDescent="0.25">
      <c r="A61" t="s">
        <v>504</v>
      </c>
    </row>
    <row r="62" spans="1:1" x14ac:dyDescent="0.25">
      <c r="A62" t="s">
        <v>505</v>
      </c>
    </row>
    <row r="63" spans="1:1" x14ac:dyDescent="0.25">
      <c r="A63" t="s">
        <v>506</v>
      </c>
    </row>
    <row r="64" spans="1:1" x14ac:dyDescent="0.25">
      <c r="A64" t="s">
        <v>507</v>
      </c>
    </row>
    <row r="65" spans="1:1" x14ac:dyDescent="0.25">
      <c r="A65" t="s">
        <v>508</v>
      </c>
    </row>
    <row r="66" spans="1:1" x14ac:dyDescent="0.25">
      <c r="A66" t="s">
        <v>509</v>
      </c>
    </row>
    <row r="67" spans="1:1" x14ac:dyDescent="0.25">
      <c r="A67" t="s">
        <v>10</v>
      </c>
    </row>
    <row r="68" spans="1:1" x14ac:dyDescent="0.25">
      <c r="A68" t="s">
        <v>510</v>
      </c>
    </row>
    <row r="69" spans="1:1" x14ac:dyDescent="0.25">
      <c r="A69" t="s">
        <v>511</v>
      </c>
    </row>
    <row r="70" spans="1:1" x14ac:dyDescent="0.25">
      <c r="A70" t="s">
        <v>512</v>
      </c>
    </row>
    <row r="71" spans="1:1" x14ac:dyDescent="0.25">
      <c r="A71" t="s">
        <v>513</v>
      </c>
    </row>
    <row r="72" spans="1:1" x14ac:dyDescent="0.25">
      <c r="A72" t="s">
        <v>514</v>
      </c>
    </row>
    <row r="73" spans="1:1" x14ac:dyDescent="0.25">
      <c r="A73" t="s">
        <v>515</v>
      </c>
    </row>
    <row r="74" spans="1:1" x14ac:dyDescent="0.25">
      <c r="A74" t="s">
        <v>516</v>
      </c>
    </row>
    <row r="75" spans="1:1" x14ac:dyDescent="0.25">
      <c r="A75" t="s">
        <v>10</v>
      </c>
    </row>
    <row r="76" spans="1:1" x14ac:dyDescent="0.25">
      <c r="A76" t="s">
        <v>517</v>
      </c>
    </row>
    <row r="77" spans="1:1" x14ac:dyDescent="0.25">
      <c r="A77" t="s">
        <v>518</v>
      </c>
    </row>
    <row r="78" spans="1:1" x14ac:dyDescent="0.25">
      <c r="A78" t="s">
        <v>519</v>
      </c>
    </row>
    <row r="79" spans="1:1" x14ac:dyDescent="0.25">
      <c r="A79" t="s">
        <v>520</v>
      </c>
    </row>
    <row r="80" spans="1:1" x14ac:dyDescent="0.25">
      <c r="A80" t="s">
        <v>521</v>
      </c>
    </row>
    <row r="81" spans="1:1" x14ac:dyDescent="0.25">
      <c r="A81" t="s">
        <v>522</v>
      </c>
    </row>
    <row r="82" spans="1:1" x14ac:dyDescent="0.25">
      <c r="A82" t="s">
        <v>523</v>
      </c>
    </row>
    <row r="83" spans="1:1" x14ac:dyDescent="0.25">
      <c r="A83" t="s">
        <v>524</v>
      </c>
    </row>
    <row r="84" spans="1:1" x14ac:dyDescent="0.25">
      <c r="A84" t="s">
        <v>525</v>
      </c>
    </row>
    <row r="85" spans="1:1" x14ac:dyDescent="0.25">
      <c r="A85" t="s">
        <v>526</v>
      </c>
    </row>
    <row r="86" spans="1:1" x14ac:dyDescent="0.25">
      <c r="A86" t="s">
        <v>527</v>
      </c>
    </row>
    <row r="87" spans="1:1" x14ac:dyDescent="0.25">
      <c r="A87" t="s">
        <v>528</v>
      </c>
    </row>
    <row r="88" spans="1:1" x14ac:dyDescent="0.25">
      <c r="A88" t="s">
        <v>529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C108-B921-4012-B28D-1CD5A6FE0EAF}">
  <sheetPr codeName="Sheet7"/>
  <dimension ref="A1:A74"/>
  <sheetViews>
    <sheetView topLeftCell="A20" workbookViewId="0">
      <selection activeCell="A60" sqref="A60:A74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t="s">
        <v>201</v>
      </c>
    </row>
    <row r="3" spans="1:1" x14ac:dyDescent="0.25">
      <c r="A3" t="s">
        <v>202</v>
      </c>
    </row>
    <row r="4" spans="1:1" x14ac:dyDescent="0.25">
      <c r="A4" t="s">
        <v>203</v>
      </c>
    </row>
    <row r="5" spans="1:1" x14ac:dyDescent="0.25">
      <c r="A5" t="s">
        <v>204</v>
      </c>
    </row>
    <row r="6" spans="1:1" x14ac:dyDescent="0.25">
      <c r="A6" t="s">
        <v>205</v>
      </c>
    </row>
    <row r="7" spans="1:1" x14ac:dyDescent="0.25">
      <c r="A7" t="s">
        <v>206</v>
      </c>
    </row>
    <row r="8" spans="1:1" x14ac:dyDescent="0.25">
      <c r="A8" t="s">
        <v>207</v>
      </c>
    </row>
    <row r="9" spans="1:1" x14ac:dyDescent="0.25">
      <c r="A9" t="s">
        <v>208</v>
      </c>
    </row>
    <row r="10" spans="1:1" x14ac:dyDescent="0.25">
      <c r="A10" t="s">
        <v>202</v>
      </c>
    </row>
    <row r="11" spans="1:1" x14ac:dyDescent="0.25">
      <c r="A11" t="s">
        <v>209</v>
      </c>
    </row>
    <row r="12" spans="1:1" x14ac:dyDescent="0.25">
      <c r="A12" t="s">
        <v>210</v>
      </c>
    </row>
    <row r="13" spans="1:1" x14ac:dyDescent="0.25">
      <c r="A13" t="s">
        <v>211</v>
      </c>
    </row>
    <row r="14" spans="1:1" x14ac:dyDescent="0.25">
      <c r="A14" t="s">
        <v>212</v>
      </c>
    </row>
    <row r="15" spans="1:1" x14ac:dyDescent="0.25">
      <c r="A15" t="s">
        <v>213</v>
      </c>
    </row>
    <row r="16" spans="1:1" x14ac:dyDescent="0.25">
      <c r="A16" t="s">
        <v>214</v>
      </c>
    </row>
    <row r="17" spans="1:1" x14ac:dyDescent="0.25">
      <c r="A17" t="s">
        <v>202</v>
      </c>
    </row>
    <row r="18" spans="1:1" x14ac:dyDescent="0.25">
      <c r="A18" t="s">
        <v>215</v>
      </c>
    </row>
    <row r="19" spans="1:1" x14ac:dyDescent="0.25">
      <c r="A19" t="s">
        <v>216</v>
      </c>
    </row>
    <row r="20" spans="1:1" x14ac:dyDescent="0.25">
      <c r="A20" t="s">
        <v>202</v>
      </c>
    </row>
    <row r="21" spans="1:1" x14ac:dyDescent="0.25">
      <c r="A21" t="s">
        <v>217</v>
      </c>
    </row>
    <row r="22" spans="1:1" x14ac:dyDescent="0.25">
      <c r="A22" t="s">
        <v>218</v>
      </c>
    </row>
    <row r="23" spans="1:1" x14ac:dyDescent="0.25">
      <c r="A23" t="s">
        <v>219</v>
      </c>
    </row>
    <row r="24" spans="1:1" x14ac:dyDescent="0.25">
      <c r="A24" t="s">
        <v>220</v>
      </c>
    </row>
    <row r="25" spans="1:1" x14ac:dyDescent="0.25">
      <c r="A25" t="s">
        <v>221</v>
      </c>
    </row>
    <row r="26" spans="1:1" x14ac:dyDescent="0.25">
      <c r="A26" t="s">
        <v>222</v>
      </c>
    </row>
    <row r="27" spans="1:1" x14ac:dyDescent="0.25">
      <c r="A27" t="s">
        <v>223</v>
      </c>
    </row>
    <row r="28" spans="1:1" x14ac:dyDescent="0.25">
      <c r="A28" t="s">
        <v>224</v>
      </c>
    </row>
    <row r="29" spans="1:1" x14ac:dyDescent="0.25">
      <c r="A29" t="s">
        <v>225</v>
      </c>
    </row>
    <row r="30" spans="1:1" x14ac:dyDescent="0.25">
      <c r="A30" t="s">
        <v>226</v>
      </c>
    </row>
    <row r="31" spans="1:1" x14ac:dyDescent="0.25">
      <c r="A31" t="s">
        <v>227</v>
      </c>
    </row>
    <row r="32" spans="1:1" x14ac:dyDescent="0.25">
      <c r="A32" t="s">
        <v>228</v>
      </c>
    </row>
    <row r="33" spans="1:1" x14ac:dyDescent="0.25">
      <c r="A33" t="s">
        <v>229</v>
      </c>
    </row>
    <row r="34" spans="1:1" x14ac:dyDescent="0.25">
      <c r="A34" t="s">
        <v>230</v>
      </c>
    </row>
    <row r="35" spans="1:1" x14ac:dyDescent="0.25">
      <c r="A35" t="s">
        <v>231</v>
      </c>
    </row>
    <row r="36" spans="1:1" x14ac:dyDescent="0.25">
      <c r="A36" t="s">
        <v>232</v>
      </c>
    </row>
    <row r="37" spans="1:1" x14ac:dyDescent="0.25">
      <c r="A37" t="s">
        <v>233</v>
      </c>
    </row>
    <row r="38" spans="1:1" x14ac:dyDescent="0.25">
      <c r="A38" t="s">
        <v>234</v>
      </c>
    </row>
    <row r="39" spans="1:1" x14ac:dyDescent="0.25">
      <c r="A39" t="s">
        <v>235</v>
      </c>
    </row>
    <row r="40" spans="1:1" x14ac:dyDescent="0.25">
      <c r="A40" t="s">
        <v>236</v>
      </c>
    </row>
    <row r="41" spans="1:1" x14ac:dyDescent="0.25">
      <c r="A41" t="s">
        <v>237</v>
      </c>
    </row>
    <row r="42" spans="1:1" x14ac:dyDescent="0.25">
      <c r="A42" t="s">
        <v>238</v>
      </c>
    </row>
    <row r="43" spans="1:1" x14ac:dyDescent="0.25">
      <c r="A43" t="s">
        <v>202</v>
      </c>
    </row>
    <row r="44" spans="1:1" x14ac:dyDescent="0.25">
      <c r="A44" t="s">
        <v>239</v>
      </c>
    </row>
    <row r="45" spans="1:1" x14ac:dyDescent="0.25">
      <c r="A45" t="s">
        <v>240</v>
      </c>
    </row>
    <row r="46" spans="1:1" x14ac:dyDescent="0.25">
      <c r="A46" t="s">
        <v>241</v>
      </c>
    </row>
    <row r="47" spans="1:1" x14ac:dyDescent="0.25">
      <c r="A47" t="s">
        <v>242</v>
      </c>
    </row>
    <row r="48" spans="1:1" x14ac:dyDescent="0.25">
      <c r="A48" t="s">
        <v>243</v>
      </c>
    </row>
    <row r="49" spans="1:1" x14ac:dyDescent="0.25">
      <c r="A49" t="s">
        <v>244</v>
      </c>
    </row>
    <row r="50" spans="1:1" x14ac:dyDescent="0.25">
      <c r="A50" t="s">
        <v>245</v>
      </c>
    </row>
    <row r="51" spans="1:1" x14ac:dyDescent="0.25">
      <c r="A51" t="s">
        <v>246</v>
      </c>
    </row>
    <row r="52" spans="1:1" x14ac:dyDescent="0.25">
      <c r="A52" t="s">
        <v>247</v>
      </c>
    </row>
    <row r="53" spans="1:1" x14ac:dyDescent="0.25">
      <c r="A53" t="s">
        <v>248</v>
      </c>
    </row>
    <row r="54" spans="1:1" x14ac:dyDescent="0.25">
      <c r="A54" t="s">
        <v>249</v>
      </c>
    </row>
    <row r="55" spans="1:1" x14ac:dyDescent="0.25">
      <c r="A55" t="s">
        <v>250</v>
      </c>
    </row>
    <row r="56" spans="1:1" x14ac:dyDescent="0.25">
      <c r="A56" t="s">
        <v>251</v>
      </c>
    </row>
    <row r="57" spans="1:1" x14ac:dyDescent="0.25">
      <c r="A57" t="s">
        <v>252</v>
      </c>
    </row>
    <row r="58" spans="1:1" x14ac:dyDescent="0.25">
      <c r="A58" t="s">
        <v>253</v>
      </c>
    </row>
    <row r="59" spans="1:1" x14ac:dyDescent="0.25">
      <c r="A59" t="s">
        <v>202</v>
      </c>
    </row>
    <row r="60" spans="1:1" x14ac:dyDescent="0.25">
      <c r="A60" t="s">
        <v>254</v>
      </c>
    </row>
    <row r="61" spans="1:1" x14ac:dyDescent="0.25">
      <c r="A61" t="s">
        <v>255</v>
      </c>
    </row>
    <row r="62" spans="1:1" x14ac:dyDescent="0.25">
      <c r="A62" t="s">
        <v>256</v>
      </c>
    </row>
    <row r="63" spans="1:1" x14ac:dyDescent="0.25">
      <c r="A63" t="s">
        <v>257</v>
      </c>
    </row>
    <row r="64" spans="1:1" x14ac:dyDescent="0.25">
      <c r="A64" t="s">
        <v>258</v>
      </c>
    </row>
    <row r="65" spans="1:1" x14ac:dyDescent="0.25">
      <c r="A65" t="s">
        <v>202</v>
      </c>
    </row>
    <row r="66" spans="1:1" x14ac:dyDescent="0.25">
      <c r="A66" t="s">
        <v>259</v>
      </c>
    </row>
    <row r="67" spans="1:1" x14ac:dyDescent="0.25">
      <c r="A67" t="s">
        <v>260</v>
      </c>
    </row>
    <row r="68" spans="1:1" x14ac:dyDescent="0.25">
      <c r="A68" t="s">
        <v>261</v>
      </c>
    </row>
    <row r="69" spans="1:1" x14ac:dyDescent="0.25">
      <c r="A69" t="s">
        <v>262</v>
      </c>
    </row>
    <row r="70" spans="1:1" x14ac:dyDescent="0.25">
      <c r="A70" t="s">
        <v>263</v>
      </c>
    </row>
    <row r="71" spans="1:1" x14ac:dyDescent="0.25">
      <c r="A71" t="s">
        <v>264</v>
      </c>
    </row>
    <row r="72" spans="1:1" x14ac:dyDescent="0.25">
      <c r="A72" t="s">
        <v>265</v>
      </c>
    </row>
    <row r="73" spans="1:1" x14ac:dyDescent="0.25">
      <c r="A73" t="s">
        <v>266</v>
      </c>
    </row>
    <row r="74" spans="1:1" x14ac:dyDescent="0.25">
      <c r="A74" t="s">
        <v>267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CE23-8603-494E-89E0-935535CF29F5}">
  <sheetPr codeName="Sheet8"/>
  <dimension ref="A1:I59"/>
  <sheetViews>
    <sheetView topLeftCell="A15" workbookViewId="0">
      <selection activeCell="F20" sqref="F20"/>
    </sheetView>
  </sheetViews>
  <sheetFormatPr defaultRowHeight="15" x14ac:dyDescent="0.25"/>
  <cols>
    <col min="1" max="1" width="60" bestFit="1" customWidth="1"/>
    <col min="2" max="2" width="81.140625" bestFit="1" customWidth="1"/>
    <col min="3" max="3" width="25" bestFit="1" customWidth="1"/>
    <col min="4" max="4" width="27.42578125" bestFit="1" customWidth="1"/>
    <col min="5" max="5" width="29.7109375" bestFit="1" customWidth="1"/>
    <col min="6" max="7" width="81.140625" bestFit="1" customWidth="1"/>
    <col min="8" max="8" width="41" bestFit="1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11</v>
      </c>
      <c r="B4" t="s">
        <v>12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13</v>
      </c>
      <c r="B5" t="s">
        <v>14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 t="s">
        <v>15</v>
      </c>
      <c r="B6" t="s">
        <v>16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17</v>
      </c>
      <c r="B7" t="s">
        <v>16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 t="s">
        <v>18</v>
      </c>
      <c r="B8" t="s">
        <v>19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20</v>
      </c>
      <c r="B9" t="s">
        <v>21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 t="s">
        <v>22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 t="s">
        <v>23</v>
      </c>
      <c r="B12" t="s">
        <v>24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 t="s">
        <v>25</v>
      </c>
      <c r="B13" t="s">
        <v>26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 t="s">
        <v>27</v>
      </c>
      <c r="B14" t="s">
        <v>28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 t="s">
        <v>29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 t="s">
        <v>31</v>
      </c>
      <c r="B16" t="s">
        <v>32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 t="s">
        <v>33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10</v>
      </c>
      <c r="H19" t="s">
        <v>10</v>
      </c>
      <c r="I19" t="s">
        <v>10</v>
      </c>
    </row>
    <row r="20" spans="1:9" x14ac:dyDescent="0.25">
      <c r="A20" t="s">
        <v>10</v>
      </c>
      <c r="B20" t="s">
        <v>10</v>
      </c>
      <c r="C20" t="s">
        <v>40</v>
      </c>
      <c r="D20" t="s">
        <v>10</v>
      </c>
      <c r="E20" t="s">
        <v>40</v>
      </c>
      <c r="F20" t="s">
        <v>10</v>
      </c>
      <c r="G20" t="s">
        <v>41</v>
      </c>
      <c r="H20" t="s">
        <v>42</v>
      </c>
      <c r="I20" t="s">
        <v>10</v>
      </c>
    </row>
    <row r="21" spans="1:9" x14ac:dyDescent="0.25">
      <c r="A21" t="s">
        <v>10</v>
      </c>
      <c r="B21" t="s">
        <v>10</v>
      </c>
      <c r="C21" t="s">
        <v>40</v>
      </c>
      <c r="D21" t="s">
        <v>10</v>
      </c>
      <c r="E21" t="s">
        <v>40</v>
      </c>
      <c r="F21" t="s">
        <v>10</v>
      </c>
      <c r="G21" t="s">
        <v>43</v>
      </c>
      <c r="H21" t="s">
        <v>44</v>
      </c>
      <c r="I21" t="s">
        <v>10</v>
      </c>
    </row>
    <row r="22" spans="1:9" x14ac:dyDescent="0.25">
      <c r="A22" t="s">
        <v>10</v>
      </c>
      <c r="B22" t="s">
        <v>10</v>
      </c>
      <c r="C22" t="s">
        <v>40</v>
      </c>
      <c r="D22" t="s">
        <v>10</v>
      </c>
      <c r="E22" t="s">
        <v>40</v>
      </c>
      <c r="F22" t="s">
        <v>10</v>
      </c>
      <c r="G22" t="s">
        <v>45</v>
      </c>
      <c r="H22" t="s">
        <v>46</v>
      </c>
      <c r="I22" t="s">
        <v>10</v>
      </c>
    </row>
    <row r="23" spans="1:9" x14ac:dyDescent="0.25">
      <c r="A23" t="s">
        <v>10</v>
      </c>
      <c r="B23" t="s">
        <v>10</v>
      </c>
      <c r="C23" t="s">
        <v>40</v>
      </c>
      <c r="D23" t="s">
        <v>10</v>
      </c>
      <c r="E23" t="s">
        <v>40</v>
      </c>
      <c r="F23" t="s">
        <v>10</v>
      </c>
      <c r="G23" t="s">
        <v>47</v>
      </c>
      <c r="H23" t="s">
        <v>48</v>
      </c>
      <c r="I23" t="s">
        <v>10</v>
      </c>
    </row>
    <row r="24" spans="1:9" x14ac:dyDescent="0.25">
      <c r="A24" t="s">
        <v>10</v>
      </c>
      <c r="B24" t="s">
        <v>10</v>
      </c>
      <c r="C24" t="s">
        <v>40</v>
      </c>
      <c r="D24" t="s">
        <v>10</v>
      </c>
      <c r="E24" t="s">
        <v>40</v>
      </c>
      <c r="F24" t="s">
        <v>10</v>
      </c>
      <c r="G24" t="s">
        <v>49</v>
      </c>
      <c r="H24" t="s">
        <v>50</v>
      </c>
      <c r="I24" t="s">
        <v>10</v>
      </c>
    </row>
    <row r="25" spans="1:9" x14ac:dyDescent="0.25">
      <c r="A25" t="s">
        <v>10</v>
      </c>
      <c r="B25" t="s">
        <v>10</v>
      </c>
      <c r="C25" t="s">
        <v>40</v>
      </c>
      <c r="D25" t="s">
        <v>10</v>
      </c>
      <c r="E25" t="s">
        <v>40</v>
      </c>
      <c r="F25" t="s">
        <v>10</v>
      </c>
      <c r="G25" t="s">
        <v>51</v>
      </c>
      <c r="H25" t="s">
        <v>52</v>
      </c>
      <c r="I25" t="s">
        <v>10</v>
      </c>
    </row>
    <row r="26" spans="1:9" x14ac:dyDescent="0.25">
      <c r="A26" t="s">
        <v>10</v>
      </c>
      <c r="B26" t="s">
        <v>10</v>
      </c>
      <c r="C26" t="s">
        <v>40</v>
      </c>
      <c r="D26" t="s">
        <v>10</v>
      </c>
      <c r="E26" t="s">
        <v>40</v>
      </c>
      <c r="F26" t="s">
        <v>10</v>
      </c>
      <c r="G26" t="s">
        <v>53</v>
      </c>
      <c r="H26" t="s">
        <v>54</v>
      </c>
      <c r="I26" t="s">
        <v>10</v>
      </c>
    </row>
    <row r="27" spans="1:9" x14ac:dyDescent="0.25">
      <c r="A27" t="s">
        <v>10</v>
      </c>
      <c r="B27" t="s">
        <v>10</v>
      </c>
      <c r="C27" t="s">
        <v>40</v>
      </c>
      <c r="D27" t="s">
        <v>10</v>
      </c>
      <c r="E27" t="s">
        <v>40</v>
      </c>
      <c r="F27" t="s">
        <v>10</v>
      </c>
      <c r="G27" t="s">
        <v>55</v>
      </c>
      <c r="H27" t="s">
        <v>56</v>
      </c>
      <c r="I27" t="s">
        <v>10</v>
      </c>
    </row>
    <row r="28" spans="1:9" x14ac:dyDescent="0.25">
      <c r="A28" t="s">
        <v>10</v>
      </c>
      <c r="B28" t="s">
        <v>10</v>
      </c>
      <c r="C28" t="s">
        <v>40</v>
      </c>
      <c r="D28" t="s">
        <v>10</v>
      </c>
      <c r="E28" t="s">
        <v>40</v>
      </c>
      <c r="F28" t="s">
        <v>10</v>
      </c>
      <c r="G28" t="s">
        <v>57</v>
      </c>
      <c r="H28" t="s">
        <v>58</v>
      </c>
      <c r="I28" t="s">
        <v>10</v>
      </c>
    </row>
    <row r="29" spans="1:9" x14ac:dyDescent="0.25">
      <c r="A29" t="s">
        <v>10</v>
      </c>
      <c r="B29" t="s">
        <v>10</v>
      </c>
      <c r="C29" t="s">
        <v>40</v>
      </c>
      <c r="D29" t="s">
        <v>10</v>
      </c>
      <c r="E29" t="s">
        <v>40</v>
      </c>
      <c r="F29" t="s">
        <v>10</v>
      </c>
      <c r="G29" t="s">
        <v>59</v>
      </c>
      <c r="H29" t="s">
        <v>60</v>
      </c>
      <c r="I29" t="s">
        <v>10</v>
      </c>
    </row>
    <row r="30" spans="1:9" x14ac:dyDescent="0.25">
      <c r="A30" t="s">
        <v>10</v>
      </c>
      <c r="B30" t="s">
        <v>10</v>
      </c>
      <c r="C30" t="s">
        <v>40</v>
      </c>
      <c r="D30" t="s">
        <v>10</v>
      </c>
      <c r="E30" t="s">
        <v>40</v>
      </c>
      <c r="F30" t="s">
        <v>10</v>
      </c>
      <c r="G30" t="s">
        <v>61</v>
      </c>
      <c r="H30" t="s">
        <v>62</v>
      </c>
      <c r="I30" t="s">
        <v>10</v>
      </c>
    </row>
    <row r="31" spans="1:9" x14ac:dyDescent="0.25">
      <c r="A31" t="s">
        <v>10</v>
      </c>
      <c r="B31" t="s">
        <v>10</v>
      </c>
      <c r="C31" t="s">
        <v>40</v>
      </c>
      <c r="D31" t="s">
        <v>10</v>
      </c>
      <c r="E31" t="s">
        <v>40</v>
      </c>
      <c r="F31" t="s">
        <v>10</v>
      </c>
      <c r="G31" t="s">
        <v>63</v>
      </c>
      <c r="H31" t="s">
        <v>64</v>
      </c>
      <c r="I31" t="s">
        <v>10</v>
      </c>
    </row>
    <row r="32" spans="1:9" x14ac:dyDescent="0.25">
      <c r="A32" t="s">
        <v>10</v>
      </c>
      <c r="B32" t="s">
        <v>10</v>
      </c>
      <c r="C32" t="s">
        <v>40</v>
      </c>
      <c r="D32" t="s">
        <v>10</v>
      </c>
      <c r="E32" t="s">
        <v>40</v>
      </c>
      <c r="F32" t="s">
        <v>10</v>
      </c>
      <c r="G32" t="s">
        <v>65</v>
      </c>
      <c r="H32" t="s">
        <v>66</v>
      </c>
      <c r="I32" t="s">
        <v>10</v>
      </c>
    </row>
    <row r="33" spans="1:9" x14ac:dyDescent="0.25">
      <c r="A33" t="s">
        <v>10</v>
      </c>
      <c r="B33" t="s">
        <v>10</v>
      </c>
      <c r="C33" t="s">
        <v>40</v>
      </c>
      <c r="D33" t="s">
        <v>10</v>
      </c>
      <c r="E33" t="s">
        <v>40</v>
      </c>
      <c r="F33" t="s">
        <v>10</v>
      </c>
      <c r="G33" t="s">
        <v>67</v>
      </c>
      <c r="H33" t="s">
        <v>68</v>
      </c>
      <c r="I33" t="s">
        <v>10</v>
      </c>
    </row>
    <row r="34" spans="1:9" x14ac:dyDescent="0.25">
      <c r="A34" t="s">
        <v>10</v>
      </c>
      <c r="B34" t="s">
        <v>10</v>
      </c>
      <c r="C34" t="s">
        <v>40</v>
      </c>
      <c r="D34" t="s">
        <v>10</v>
      </c>
      <c r="E34" t="s">
        <v>40</v>
      </c>
      <c r="F34" t="s">
        <v>10</v>
      </c>
      <c r="G34" t="s">
        <v>69</v>
      </c>
      <c r="H34" t="s">
        <v>70</v>
      </c>
      <c r="I34" t="s">
        <v>10</v>
      </c>
    </row>
    <row r="35" spans="1:9" x14ac:dyDescent="0.25">
      <c r="A35" t="s">
        <v>10</v>
      </c>
      <c r="B35" t="s">
        <v>10</v>
      </c>
      <c r="C35" t="s">
        <v>40</v>
      </c>
      <c r="D35" t="s">
        <v>10</v>
      </c>
      <c r="E35" t="s">
        <v>40</v>
      </c>
      <c r="F35" t="s">
        <v>10</v>
      </c>
      <c r="G35" t="s">
        <v>71</v>
      </c>
      <c r="H35" t="s">
        <v>72</v>
      </c>
      <c r="I35" t="s">
        <v>10</v>
      </c>
    </row>
    <row r="36" spans="1:9" x14ac:dyDescent="0.25">
      <c r="A36" t="s">
        <v>10</v>
      </c>
      <c r="B36" t="s">
        <v>10</v>
      </c>
      <c r="C36" t="s">
        <v>40</v>
      </c>
      <c r="D36" t="s">
        <v>10</v>
      </c>
      <c r="E36" t="s">
        <v>40</v>
      </c>
      <c r="F36" t="s">
        <v>10</v>
      </c>
      <c r="G36" t="s">
        <v>73</v>
      </c>
      <c r="H36" t="s">
        <v>74</v>
      </c>
      <c r="I36" t="s">
        <v>10</v>
      </c>
    </row>
    <row r="37" spans="1:9" x14ac:dyDescent="0.25">
      <c r="A37" t="s">
        <v>10</v>
      </c>
      <c r="B37" t="s">
        <v>10</v>
      </c>
      <c r="C37" t="s">
        <v>40</v>
      </c>
      <c r="D37" t="s">
        <v>10</v>
      </c>
      <c r="E37" t="s">
        <v>40</v>
      </c>
      <c r="F37" t="s">
        <v>10</v>
      </c>
      <c r="G37" t="s">
        <v>75</v>
      </c>
      <c r="H37" t="s">
        <v>76</v>
      </c>
      <c r="I37" t="s">
        <v>10</v>
      </c>
    </row>
    <row r="38" spans="1:9" x14ac:dyDescent="0.25">
      <c r="A38" t="s">
        <v>10</v>
      </c>
      <c r="B38" t="s">
        <v>10</v>
      </c>
      <c r="C38" t="s">
        <v>40</v>
      </c>
      <c r="D38" t="s">
        <v>10</v>
      </c>
      <c r="E38" t="s">
        <v>40</v>
      </c>
      <c r="F38" t="s">
        <v>10</v>
      </c>
      <c r="G38" t="s">
        <v>77</v>
      </c>
      <c r="H38" t="s">
        <v>78</v>
      </c>
      <c r="I38" t="s">
        <v>10</v>
      </c>
    </row>
    <row r="39" spans="1:9" x14ac:dyDescent="0.25">
      <c r="A39" t="s">
        <v>10</v>
      </c>
      <c r="B39" t="s">
        <v>10</v>
      </c>
      <c r="C39" t="s">
        <v>40</v>
      </c>
      <c r="D39" t="s">
        <v>10</v>
      </c>
      <c r="E39" t="s">
        <v>40</v>
      </c>
      <c r="F39" t="s">
        <v>10</v>
      </c>
      <c r="G39" t="s">
        <v>79</v>
      </c>
      <c r="H39" t="s">
        <v>80</v>
      </c>
      <c r="I39" t="s">
        <v>10</v>
      </c>
    </row>
    <row r="40" spans="1:9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5">
      <c r="A41" t="s">
        <v>81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5">
      <c r="A42" t="s">
        <v>82</v>
      </c>
      <c r="B42" t="s">
        <v>83</v>
      </c>
      <c r="C42" t="s">
        <v>84</v>
      </c>
      <c r="D42" t="s">
        <v>85</v>
      </c>
      <c r="E42" t="s">
        <v>86</v>
      </c>
      <c r="F42" t="s">
        <v>87</v>
      </c>
      <c r="G42" t="s">
        <v>88</v>
      </c>
      <c r="H42" t="s">
        <v>89</v>
      </c>
      <c r="I42" t="s">
        <v>10</v>
      </c>
    </row>
    <row r="43" spans="1:9" x14ac:dyDescent="0.25">
      <c r="A43" t="s">
        <v>90</v>
      </c>
      <c r="B43" t="s">
        <v>91</v>
      </c>
      <c r="C43" t="s">
        <v>92</v>
      </c>
      <c r="D43" t="s">
        <v>93</v>
      </c>
      <c r="E43" t="s">
        <v>94</v>
      </c>
      <c r="F43" t="s">
        <v>95</v>
      </c>
      <c r="G43" t="s">
        <v>96</v>
      </c>
      <c r="H43" t="s">
        <v>97</v>
      </c>
      <c r="I43" t="s">
        <v>10</v>
      </c>
    </row>
    <row r="44" spans="1:9" x14ac:dyDescent="0.25">
      <c r="A44" t="s">
        <v>98</v>
      </c>
      <c r="B44" t="s">
        <v>99</v>
      </c>
      <c r="C44" t="s">
        <v>100</v>
      </c>
      <c r="D44" t="s">
        <v>101</v>
      </c>
      <c r="E44" t="s">
        <v>102</v>
      </c>
      <c r="F44" t="s">
        <v>103</v>
      </c>
      <c r="G44" t="s">
        <v>104</v>
      </c>
      <c r="H44" t="s">
        <v>105</v>
      </c>
      <c r="I44" t="s">
        <v>10</v>
      </c>
    </row>
    <row r="45" spans="1:9" x14ac:dyDescent="0.25">
      <c r="A45" t="s">
        <v>106</v>
      </c>
      <c r="B45" t="s">
        <v>107</v>
      </c>
      <c r="C45" t="s">
        <v>108</v>
      </c>
      <c r="D45" t="s">
        <v>109</v>
      </c>
      <c r="E45" t="s">
        <v>110</v>
      </c>
      <c r="F45" t="s">
        <v>111</v>
      </c>
      <c r="G45" t="s">
        <v>112</v>
      </c>
      <c r="H45" t="s">
        <v>113</v>
      </c>
      <c r="I45" t="s">
        <v>10</v>
      </c>
    </row>
    <row r="46" spans="1:9" x14ac:dyDescent="0.25">
      <c r="A46" t="s">
        <v>114</v>
      </c>
      <c r="B46" t="s">
        <v>115</v>
      </c>
      <c r="C46" t="s">
        <v>116</v>
      </c>
      <c r="D46" t="s">
        <v>117</v>
      </c>
      <c r="E46" t="s">
        <v>118</v>
      </c>
      <c r="F46" t="s">
        <v>119</v>
      </c>
      <c r="G46" t="s">
        <v>120</v>
      </c>
      <c r="H46" t="s">
        <v>121</v>
      </c>
      <c r="I46" t="s">
        <v>10</v>
      </c>
    </row>
    <row r="47" spans="1:9" x14ac:dyDescent="0.25">
      <c r="A47" t="s">
        <v>122</v>
      </c>
      <c r="B47" t="s">
        <v>123</v>
      </c>
      <c r="C47" t="s">
        <v>124</v>
      </c>
      <c r="D47" t="s">
        <v>125</v>
      </c>
      <c r="E47" t="s">
        <v>126</v>
      </c>
      <c r="F47" t="s">
        <v>127</v>
      </c>
      <c r="G47" t="s">
        <v>128</v>
      </c>
      <c r="H47" t="s">
        <v>129</v>
      </c>
      <c r="I47" t="s">
        <v>10</v>
      </c>
    </row>
    <row r="48" spans="1:9" x14ac:dyDescent="0.25">
      <c r="A48" t="s">
        <v>130</v>
      </c>
      <c r="B48" t="s">
        <v>131</v>
      </c>
      <c r="C48" t="s">
        <v>132</v>
      </c>
      <c r="D48" t="s">
        <v>133</v>
      </c>
      <c r="E48" t="s">
        <v>134</v>
      </c>
      <c r="F48" t="s">
        <v>135</v>
      </c>
      <c r="G48" t="s">
        <v>136</v>
      </c>
      <c r="H48" t="s">
        <v>137</v>
      </c>
      <c r="I48" t="s">
        <v>10</v>
      </c>
    </row>
    <row r="49" spans="1:9" x14ac:dyDescent="0.25">
      <c r="A49" t="s">
        <v>138</v>
      </c>
      <c r="B49" t="s">
        <v>139</v>
      </c>
      <c r="C49" t="s">
        <v>140</v>
      </c>
      <c r="D49" t="s">
        <v>141</v>
      </c>
      <c r="E49" t="s">
        <v>142</v>
      </c>
      <c r="F49" t="s">
        <v>143</v>
      </c>
      <c r="G49" t="s">
        <v>144</v>
      </c>
      <c r="H49" t="s">
        <v>145</v>
      </c>
      <c r="I49" t="s">
        <v>10</v>
      </c>
    </row>
    <row r="50" spans="1:9" x14ac:dyDescent="0.25">
      <c r="A50" t="s">
        <v>146</v>
      </c>
      <c r="B50" t="s">
        <v>147</v>
      </c>
      <c r="C50" t="s">
        <v>148</v>
      </c>
      <c r="D50" t="s">
        <v>149</v>
      </c>
      <c r="E50" t="s">
        <v>150</v>
      </c>
      <c r="F50" t="s">
        <v>151</v>
      </c>
      <c r="G50" t="s">
        <v>152</v>
      </c>
      <c r="H50" t="s">
        <v>153</v>
      </c>
      <c r="I50" t="s">
        <v>10</v>
      </c>
    </row>
    <row r="51" spans="1:9" x14ac:dyDescent="0.25">
      <c r="A51" t="s">
        <v>154</v>
      </c>
      <c r="B51" t="s">
        <v>155</v>
      </c>
      <c r="C51" t="s">
        <v>156</v>
      </c>
      <c r="D51" t="s">
        <v>157</v>
      </c>
      <c r="E51" t="s">
        <v>158</v>
      </c>
      <c r="F51" t="s">
        <v>159</v>
      </c>
      <c r="G51" t="s">
        <v>160</v>
      </c>
      <c r="H51" t="s">
        <v>161</v>
      </c>
      <c r="I51" t="s">
        <v>10</v>
      </c>
    </row>
    <row r="52" spans="1:9" x14ac:dyDescent="0.25">
      <c r="A52" t="s">
        <v>162</v>
      </c>
      <c r="B52" t="s">
        <v>163</v>
      </c>
      <c r="C52" t="s">
        <v>164</v>
      </c>
      <c r="D52" t="s">
        <v>165</v>
      </c>
      <c r="E52" t="s">
        <v>166</v>
      </c>
      <c r="F52" t="s">
        <v>167</v>
      </c>
      <c r="G52" t="s">
        <v>168</v>
      </c>
      <c r="H52" t="s">
        <v>169</v>
      </c>
      <c r="I52" t="s">
        <v>10</v>
      </c>
    </row>
    <row r="53" spans="1:9" x14ac:dyDescent="0.25">
      <c r="A53" t="s">
        <v>170</v>
      </c>
      <c r="B53" t="s">
        <v>171</v>
      </c>
      <c r="C53" t="s">
        <v>172</v>
      </c>
      <c r="D53" t="s">
        <v>173</v>
      </c>
      <c r="E53" t="s">
        <v>174</v>
      </c>
      <c r="F53" t="s">
        <v>175</v>
      </c>
      <c r="G53" t="s">
        <v>176</v>
      </c>
      <c r="H53" t="s">
        <v>177</v>
      </c>
      <c r="I53" t="s">
        <v>10</v>
      </c>
    </row>
    <row r="54" spans="1:9" x14ac:dyDescent="0.25">
      <c r="A54" t="s">
        <v>178</v>
      </c>
      <c r="B54" t="s">
        <v>179</v>
      </c>
      <c r="C54" t="s">
        <v>180</v>
      </c>
      <c r="D54" t="s">
        <v>181</v>
      </c>
      <c r="E54" t="s">
        <v>182</v>
      </c>
      <c r="F54" t="s">
        <v>183</v>
      </c>
      <c r="G54" t="s">
        <v>184</v>
      </c>
      <c r="H54" t="s">
        <v>185</v>
      </c>
      <c r="I54" t="s">
        <v>10</v>
      </c>
    </row>
    <row r="55" spans="1:9" x14ac:dyDescent="0.25">
      <c r="A55" t="s">
        <v>186</v>
      </c>
      <c r="B55" t="s">
        <v>187</v>
      </c>
      <c r="C55" t="s">
        <v>188</v>
      </c>
      <c r="D55" t="s">
        <v>189</v>
      </c>
      <c r="E55" t="s">
        <v>190</v>
      </c>
      <c r="F55" t="s">
        <v>191</v>
      </c>
      <c r="G55" t="s">
        <v>192</v>
      </c>
      <c r="H55" t="s">
        <v>193</v>
      </c>
      <c r="I55" t="s">
        <v>10</v>
      </c>
    </row>
    <row r="56" spans="1:9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 t="s">
        <v>194</v>
      </c>
      <c r="B57" t="s">
        <v>12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 t="s">
        <v>195</v>
      </c>
      <c r="B58" t="s">
        <v>196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 t="s">
        <v>197</v>
      </c>
      <c r="B59" t="s">
        <v>198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E4F5-3C07-4F6C-82E3-E71E5CF3D38E}">
  <sheetPr codeName="Sheet9"/>
  <dimension ref="A1:M20"/>
  <sheetViews>
    <sheetView workbookViewId="0">
      <selection activeCell="B5" sqref="B5:D5"/>
    </sheetView>
  </sheetViews>
  <sheetFormatPr defaultRowHeight="15" x14ac:dyDescent="0.25"/>
  <cols>
    <col min="1" max="1" width="45.28515625" bestFit="1" customWidth="1"/>
    <col min="2" max="6" width="11.42578125" bestFit="1" customWidth="1"/>
    <col min="7" max="7" width="34.140625" bestFit="1" customWidth="1"/>
    <col min="8" max="8" width="24.7109375" bestFit="1" customWidth="1"/>
    <col min="9" max="9" width="27.7109375" bestFit="1" customWidth="1"/>
    <col min="10" max="10" width="30" bestFit="1" customWidth="1"/>
    <col min="11" max="12" width="81.140625" bestFit="1" customWidth="1"/>
    <col min="13" max="13" width="4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280</v>
      </c>
      <c r="K1" t="s">
        <v>281</v>
      </c>
      <c r="L1" t="s">
        <v>282</v>
      </c>
      <c r="M1" t="s">
        <v>283</v>
      </c>
    </row>
    <row r="2" spans="1:13" x14ac:dyDescent="0.25">
      <c r="A2" t="s">
        <v>284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x14ac:dyDescent="0.25">
      <c r="A3" t="s">
        <v>285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</row>
    <row r="5" spans="1:13" x14ac:dyDescent="0.25">
      <c r="A5" t="s">
        <v>286</v>
      </c>
      <c r="B5" t="s">
        <v>82</v>
      </c>
      <c r="C5" t="s">
        <v>287</v>
      </c>
      <c r="D5" t="s">
        <v>288</v>
      </c>
      <c r="E5" t="s">
        <v>289</v>
      </c>
      <c r="F5" t="s">
        <v>290</v>
      </c>
      <c r="G5" t="s">
        <v>291</v>
      </c>
      <c r="H5" t="s">
        <v>292</v>
      </c>
      <c r="I5" t="s">
        <v>293</v>
      </c>
      <c r="J5" t="s">
        <v>294</v>
      </c>
      <c r="K5" t="s">
        <v>295</v>
      </c>
      <c r="L5" t="s">
        <v>88</v>
      </c>
      <c r="M5" t="s">
        <v>89</v>
      </c>
    </row>
    <row r="6" spans="1:13" x14ac:dyDescent="0.25">
      <c r="A6" t="s">
        <v>296</v>
      </c>
      <c r="B6" t="s">
        <v>162</v>
      </c>
      <c r="C6" t="s">
        <v>297</v>
      </c>
      <c r="D6" t="s">
        <v>298</v>
      </c>
      <c r="E6" t="s">
        <v>299</v>
      </c>
      <c r="F6" t="s">
        <v>300</v>
      </c>
      <c r="G6" t="s">
        <v>301</v>
      </c>
      <c r="H6" t="s">
        <v>302</v>
      </c>
      <c r="I6" t="s">
        <v>303</v>
      </c>
      <c r="J6" t="s">
        <v>304</v>
      </c>
      <c r="K6" t="s">
        <v>305</v>
      </c>
      <c r="L6" t="s">
        <v>306</v>
      </c>
      <c r="M6" t="s">
        <v>307</v>
      </c>
    </row>
    <row r="7" spans="1:13" x14ac:dyDescent="0.25">
      <c r="A7" t="s">
        <v>308</v>
      </c>
      <c r="B7" t="s">
        <v>162</v>
      </c>
      <c r="C7" t="s">
        <v>297</v>
      </c>
      <c r="D7" t="s">
        <v>309</v>
      </c>
      <c r="E7" t="s">
        <v>10</v>
      </c>
      <c r="F7" t="s">
        <v>300</v>
      </c>
      <c r="G7" t="s">
        <v>310</v>
      </c>
      <c r="H7" t="s">
        <v>311</v>
      </c>
      <c r="I7" t="s">
        <v>312</v>
      </c>
      <c r="J7" t="s">
        <v>313</v>
      </c>
      <c r="K7" t="s">
        <v>314</v>
      </c>
      <c r="L7" t="s">
        <v>315</v>
      </c>
      <c r="M7" t="s">
        <v>316</v>
      </c>
    </row>
    <row r="8" spans="1:13" x14ac:dyDescent="0.25">
      <c r="A8" t="s">
        <v>317</v>
      </c>
      <c r="B8" t="s">
        <v>162</v>
      </c>
      <c r="C8" t="s">
        <v>318</v>
      </c>
      <c r="D8" t="s">
        <v>319</v>
      </c>
      <c r="E8" t="s">
        <v>171</v>
      </c>
      <c r="F8" t="s">
        <v>320</v>
      </c>
      <c r="G8" t="s">
        <v>321</v>
      </c>
      <c r="H8" t="s">
        <v>322</v>
      </c>
      <c r="I8" t="s">
        <v>323</v>
      </c>
      <c r="J8" t="s">
        <v>324</v>
      </c>
      <c r="K8" t="s">
        <v>325</v>
      </c>
      <c r="L8" t="s">
        <v>326</v>
      </c>
      <c r="M8" t="s">
        <v>327</v>
      </c>
    </row>
    <row r="9" spans="1:13" x14ac:dyDescent="0.25">
      <c r="A9" t="s">
        <v>328</v>
      </c>
      <c r="B9" t="s">
        <v>329</v>
      </c>
      <c r="C9" t="s">
        <v>297</v>
      </c>
      <c r="D9" t="s">
        <v>319</v>
      </c>
      <c r="E9" t="s">
        <v>330</v>
      </c>
      <c r="F9" t="s">
        <v>331</v>
      </c>
      <c r="G9" t="s">
        <v>332</v>
      </c>
      <c r="H9" t="s">
        <v>333</v>
      </c>
      <c r="I9" t="s">
        <v>334</v>
      </c>
      <c r="J9" t="s">
        <v>335</v>
      </c>
      <c r="K9" t="s">
        <v>336</v>
      </c>
      <c r="L9" t="s">
        <v>337</v>
      </c>
      <c r="M9" t="s">
        <v>338</v>
      </c>
    </row>
    <row r="10" spans="1:13" x14ac:dyDescent="0.25">
      <c r="A10" t="s">
        <v>339</v>
      </c>
      <c r="B10" t="s">
        <v>340</v>
      </c>
      <c r="C10" t="s">
        <v>297</v>
      </c>
      <c r="D10" t="s">
        <v>319</v>
      </c>
      <c r="E10" t="s">
        <v>179</v>
      </c>
      <c r="F10" t="s">
        <v>300</v>
      </c>
      <c r="G10" t="s">
        <v>341</v>
      </c>
      <c r="H10" t="s">
        <v>342</v>
      </c>
      <c r="I10" t="s">
        <v>343</v>
      </c>
      <c r="J10" t="s">
        <v>344</v>
      </c>
      <c r="K10" t="s">
        <v>345</v>
      </c>
      <c r="L10" t="s">
        <v>346</v>
      </c>
      <c r="M10" t="s">
        <v>347</v>
      </c>
    </row>
    <row r="11" spans="1:13" x14ac:dyDescent="0.25">
      <c r="A11" t="s">
        <v>348</v>
      </c>
      <c r="B11" t="s">
        <v>329</v>
      </c>
      <c r="C11" t="s">
        <v>318</v>
      </c>
      <c r="D11" t="s">
        <v>319</v>
      </c>
      <c r="E11" t="s">
        <v>349</v>
      </c>
      <c r="F11" t="s">
        <v>350</v>
      </c>
      <c r="G11" t="s">
        <v>351</v>
      </c>
      <c r="H11" t="s">
        <v>352</v>
      </c>
      <c r="I11" t="s">
        <v>353</v>
      </c>
      <c r="J11" t="s">
        <v>354</v>
      </c>
      <c r="K11" t="s">
        <v>355</v>
      </c>
      <c r="L11" t="s">
        <v>356</v>
      </c>
      <c r="M11" t="s">
        <v>357</v>
      </c>
    </row>
    <row r="12" spans="1:13" x14ac:dyDescent="0.25">
      <c r="A12" t="s">
        <v>358</v>
      </c>
      <c r="B12" t="s">
        <v>359</v>
      </c>
      <c r="C12" t="s">
        <v>318</v>
      </c>
      <c r="D12" t="s">
        <v>319</v>
      </c>
      <c r="E12" t="s">
        <v>360</v>
      </c>
      <c r="F12" t="s">
        <v>16</v>
      </c>
      <c r="G12" t="s">
        <v>361</v>
      </c>
      <c r="H12" t="s">
        <v>362</v>
      </c>
      <c r="I12" t="s">
        <v>363</v>
      </c>
      <c r="J12" t="s">
        <v>364</v>
      </c>
      <c r="K12" t="s">
        <v>365</v>
      </c>
      <c r="L12" t="s">
        <v>366</v>
      </c>
      <c r="M12" t="s">
        <v>367</v>
      </c>
    </row>
    <row r="13" spans="1:13" x14ac:dyDescent="0.25">
      <c r="A13" t="s">
        <v>368</v>
      </c>
      <c r="B13" t="s">
        <v>369</v>
      </c>
      <c r="C13" t="s">
        <v>297</v>
      </c>
      <c r="D13" t="s">
        <v>319</v>
      </c>
      <c r="E13" t="s">
        <v>187</v>
      </c>
      <c r="F13" t="s">
        <v>300</v>
      </c>
      <c r="G13" t="s">
        <v>370</v>
      </c>
      <c r="H13" t="s">
        <v>371</v>
      </c>
      <c r="I13" t="s">
        <v>372</v>
      </c>
      <c r="J13" t="s">
        <v>373</v>
      </c>
      <c r="K13" t="s">
        <v>374</v>
      </c>
      <c r="L13" t="s">
        <v>375</v>
      </c>
      <c r="M13" t="s">
        <v>376</v>
      </c>
    </row>
    <row r="14" spans="1:13" x14ac:dyDescent="0.25">
      <c r="A14" t="s">
        <v>377</v>
      </c>
      <c r="B14" t="s">
        <v>162</v>
      </c>
      <c r="C14" t="s">
        <v>378</v>
      </c>
      <c r="D14" t="s">
        <v>319</v>
      </c>
      <c r="E14" t="s">
        <v>379</v>
      </c>
      <c r="F14" t="s">
        <v>300</v>
      </c>
      <c r="G14" t="s">
        <v>380</v>
      </c>
      <c r="H14" t="s">
        <v>381</v>
      </c>
      <c r="I14" t="s">
        <v>382</v>
      </c>
      <c r="J14" t="s">
        <v>383</v>
      </c>
      <c r="K14" t="s">
        <v>384</v>
      </c>
      <c r="L14" t="s">
        <v>385</v>
      </c>
      <c r="M14" t="s">
        <v>386</v>
      </c>
    </row>
    <row r="15" spans="1:13" x14ac:dyDescent="0.25">
      <c r="A15" t="s">
        <v>387</v>
      </c>
      <c r="B15" t="s">
        <v>340</v>
      </c>
      <c r="C15" t="s">
        <v>388</v>
      </c>
      <c r="D15" t="s">
        <v>319</v>
      </c>
      <c r="E15" t="s">
        <v>389</v>
      </c>
      <c r="F15" t="s">
        <v>390</v>
      </c>
      <c r="G15" t="s">
        <v>391</v>
      </c>
      <c r="H15" t="s">
        <v>392</v>
      </c>
      <c r="I15" t="s">
        <v>393</v>
      </c>
      <c r="J15" t="s">
        <v>394</v>
      </c>
      <c r="K15" t="s">
        <v>395</v>
      </c>
      <c r="L15" t="s">
        <v>396</v>
      </c>
      <c r="M15" t="s">
        <v>397</v>
      </c>
    </row>
    <row r="16" spans="1:13" x14ac:dyDescent="0.25">
      <c r="A16" t="s">
        <v>398</v>
      </c>
      <c r="B16" t="s">
        <v>340</v>
      </c>
      <c r="C16" t="s">
        <v>378</v>
      </c>
      <c r="D16" t="s">
        <v>319</v>
      </c>
      <c r="E16" t="s">
        <v>399</v>
      </c>
      <c r="F16" t="s">
        <v>400</v>
      </c>
      <c r="G16" t="s">
        <v>401</v>
      </c>
      <c r="H16" t="s">
        <v>402</v>
      </c>
      <c r="I16" t="s">
        <v>403</v>
      </c>
      <c r="J16" t="s">
        <v>404</v>
      </c>
      <c r="K16" t="s">
        <v>405</v>
      </c>
      <c r="L16" t="s">
        <v>406</v>
      </c>
      <c r="M16" t="s">
        <v>407</v>
      </c>
    </row>
    <row r="17" spans="1:13" x14ac:dyDescent="0.25">
      <c r="A17" t="s">
        <v>408</v>
      </c>
      <c r="B17" t="s">
        <v>369</v>
      </c>
      <c r="C17" t="s">
        <v>378</v>
      </c>
      <c r="D17" t="s">
        <v>409</v>
      </c>
      <c r="E17" t="s">
        <v>410</v>
      </c>
      <c r="F17" t="s">
        <v>300</v>
      </c>
      <c r="G17" t="s">
        <v>411</v>
      </c>
      <c r="H17" t="s">
        <v>412</v>
      </c>
      <c r="I17" t="s">
        <v>413</v>
      </c>
      <c r="J17" t="s">
        <v>414</v>
      </c>
      <c r="K17" t="s">
        <v>415</v>
      </c>
      <c r="L17" t="s">
        <v>416</v>
      </c>
      <c r="M17" t="s">
        <v>417</v>
      </c>
    </row>
    <row r="18" spans="1:13" x14ac:dyDescent="0.25">
      <c r="A18" t="s">
        <v>418</v>
      </c>
      <c r="B18" t="s">
        <v>369</v>
      </c>
      <c r="C18" t="s">
        <v>378</v>
      </c>
      <c r="D18" t="s">
        <v>419</v>
      </c>
      <c r="E18" t="s">
        <v>320</v>
      </c>
      <c r="F18" t="s">
        <v>420</v>
      </c>
      <c r="G18" t="s">
        <v>421</v>
      </c>
      <c r="H18" t="s">
        <v>422</v>
      </c>
      <c r="I18" t="s">
        <v>423</v>
      </c>
      <c r="J18" t="s">
        <v>424</v>
      </c>
      <c r="K18" t="s">
        <v>425</v>
      </c>
      <c r="L18" t="s">
        <v>426</v>
      </c>
      <c r="M18" t="s">
        <v>427</v>
      </c>
    </row>
    <row r="19" spans="1:13" x14ac:dyDescent="0.25">
      <c r="A19" t="s">
        <v>428</v>
      </c>
      <c r="B19" t="s">
        <v>359</v>
      </c>
      <c r="C19" t="s">
        <v>429</v>
      </c>
      <c r="D19" t="s">
        <v>319</v>
      </c>
      <c r="E19" t="s">
        <v>300</v>
      </c>
      <c r="F19" t="s">
        <v>331</v>
      </c>
      <c r="G19" t="s">
        <v>430</v>
      </c>
      <c r="H19" t="s">
        <v>431</v>
      </c>
      <c r="I19" t="s">
        <v>432</v>
      </c>
      <c r="J19" t="s">
        <v>433</v>
      </c>
      <c r="K19" t="s">
        <v>434</v>
      </c>
      <c r="L19" t="s">
        <v>435</v>
      </c>
      <c r="M19" t="s">
        <v>436</v>
      </c>
    </row>
    <row r="20" spans="1:13" x14ac:dyDescent="0.25">
      <c r="A20" t="s">
        <v>437</v>
      </c>
      <c r="B20" t="s">
        <v>369</v>
      </c>
      <c r="C20" t="s">
        <v>429</v>
      </c>
      <c r="D20" t="s">
        <v>438</v>
      </c>
      <c r="E20" t="s">
        <v>420</v>
      </c>
      <c r="F20" t="s">
        <v>439</v>
      </c>
      <c r="G20" t="s">
        <v>440</v>
      </c>
      <c r="H20" t="s">
        <v>441</v>
      </c>
      <c r="I20" t="s">
        <v>442</v>
      </c>
      <c r="J20" t="s">
        <v>443</v>
      </c>
      <c r="K20" t="s">
        <v>444</v>
      </c>
      <c r="L20" t="s">
        <v>445</v>
      </c>
      <c r="M20" t="s">
        <v>446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4F691-D1AB-429C-82B5-36C90BE947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Lookup</vt:lpstr>
      <vt:lpstr>display</vt:lpstr>
      <vt:lpstr>PlayerProfile</vt:lpstr>
      <vt:lpstr>Sheet1</vt:lpstr>
      <vt:lpstr>CaddyAI Excel Model v1</vt:lpstr>
      <vt:lpstr>PPM Excel Template (2)</vt:lpstr>
      <vt:lpstr>PPM Excel Template</vt:lpstr>
      <vt:lpstr>Short Game 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Roelofs</dc:creator>
  <cp:lastModifiedBy>Scott Roelofs</cp:lastModifiedBy>
  <dcterms:created xsi:type="dcterms:W3CDTF">2025-08-29T16:51:57Z</dcterms:created>
  <dcterms:modified xsi:type="dcterms:W3CDTF">2025-09-21T00:18:40Z</dcterms:modified>
</cp:coreProperties>
</file>