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https://d.docs.live.net/f41fb749a7616103/Desktop/"/>
    </mc:Choice>
  </mc:AlternateContent>
  <xr:revisionPtr revIDLastSave="42" documentId="8_{28B0F6AF-0999-4715-8692-AE64652B55A2}" xr6:coauthVersionLast="47" xr6:coauthVersionMax="47" xr10:uidLastSave="{43A9693F-BF98-4D8D-A1F3-8F64ACE1585D}"/>
  <bookViews>
    <workbookView xWindow="-120" yWindow="-120" windowWidth="51840" windowHeight="21120" tabRatio="837" activeTab="3" xr2:uid="{B066E875-7582-472D-95E2-404284E14411}"/>
  </bookViews>
  <sheets>
    <sheet name="YbyY data" sheetId="11" r:id="rId1"/>
    <sheet name="Input Sheet" sheetId="2" r:id="rId2"/>
    <sheet name="VLOOKUP Tables" sheetId="4" r:id="rId3"/>
    <sheet name="Printable Quote" sheetId="10" r:id="rId4"/>
    <sheet name="Printable Quote (PRO)" sheetId="14" r:id="rId5"/>
    <sheet name="Printable Quote (SMART)" sheetId="13" r:id="rId6"/>
    <sheet name="Printable Quote (SMART) (Steph)" sheetId="15" r:id="rId7"/>
    <sheet name="Sheet2" sheetId="12" r:id="rId8"/>
    <sheet name="Equation Sheet" sheetId="1" r:id="rId9"/>
    <sheet name="Estimate Factor" sheetId="6" r:id="rId10"/>
    <sheet name="Sheet1" sheetId="5" r:id="rId11"/>
    <sheet name="Catchup" sheetId="8" r:id="rId12"/>
    <sheet name="Catchup27.5" sheetId="9" r:id="rId13"/>
  </sheets>
  <definedNames>
    <definedName name="_xlnm.Print_Area" localSheetId="3">'Printable Quote'!$A$3:$J$58</definedName>
    <definedName name="_xlnm.Print_Area" localSheetId="4">'Printable Quote (PRO)'!$A$3:$I$58</definedName>
    <definedName name="_xlnm.Print_Area" localSheetId="5">'Printable Quote (SMART)'!$A$4:$J$59</definedName>
    <definedName name="_xlnm.Print_Area" localSheetId="6">'Printable Quote (SMART) (Steph)'!$A$4:$J$60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2" i="10" l="1"/>
  <c r="V2" i="14"/>
  <c r="W2" i="14"/>
  <c r="D2" i="14"/>
  <c r="H2" i="14"/>
  <c r="N31" i="1"/>
  <c r="CL5" i="11"/>
  <c r="EO45" i="11"/>
  <c r="EO46" i="11"/>
  <c r="EO47" i="11"/>
  <c r="EO48" i="11"/>
  <c r="EO49" i="11"/>
  <c r="EO50" i="11"/>
  <c r="EO51" i="11"/>
  <c r="EO52" i="11"/>
  <c r="EO53" i="11"/>
  <c r="EO54" i="11"/>
  <c r="DR51" i="11"/>
  <c r="DR52" i="11"/>
  <c r="DR53" i="11"/>
  <c r="DR54" i="11"/>
  <c r="DR47" i="11"/>
  <c r="DR48" i="11"/>
  <c r="DR49" i="11"/>
  <c r="DR50" i="11"/>
  <c r="DR34" i="11"/>
  <c r="DR35" i="11"/>
  <c r="DR36" i="11"/>
  <c r="DR37" i="11"/>
  <c r="DR38" i="11"/>
  <c r="DR39" i="11"/>
  <c r="DR40" i="11"/>
  <c r="DR41" i="11"/>
  <c r="DR42" i="11"/>
  <c r="DR43" i="11"/>
  <c r="DR44" i="11"/>
  <c r="DR45" i="11"/>
  <c r="DR46" i="11"/>
  <c r="P2" i="13"/>
  <c r="M2" i="13"/>
  <c r="H2" i="13"/>
  <c r="U2" i="13"/>
  <c r="T2" i="13"/>
  <c r="S2" i="13"/>
  <c r="O2" i="13"/>
  <c r="K2" i="13"/>
  <c r="J2" i="13"/>
  <c r="I2" i="13"/>
  <c r="E2" i="13"/>
  <c r="D2" i="13"/>
  <c r="C2" i="13"/>
  <c r="B2" i="13"/>
  <c r="A2" i="13"/>
  <c r="V2" i="10"/>
  <c r="U2" i="10"/>
  <c r="T2" i="15"/>
  <c r="R2" i="15"/>
  <c r="Q2" i="15"/>
  <c r="P2" i="15"/>
  <c r="K2" i="15"/>
  <c r="J2" i="15"/>
  <c r="I2" i="15"/>
  <c r="H2" i="15"/>
  <c r="E2" i="15"/>
  <c r="D2" i="15"/>
  <c r="C2" i="15"/>
  <c r="B2" i="15"/>
  <c r="A2" i="15"/>
  <c r="T2" i="14"/>
  <c r="Q2" i="14"/>
  <c r="K2" i="14"/>
  <c r="J2" i="14"/>
  <c r="I2" i="14"/>
  <c r="E2" i="14"/>
  <c r="C2" i="14"/>
  <c r="B2" i="14"/>
  <c r="A2" i="14"/>
  <c r="Q2" i="10"/>
  <c r="K2" i="10"/>
  <c r="T2" i="10"/>
  <c r="J2" i="10"/>
  <c r="I2" i="10"/>
  <c r="H2" i="10"/>
  <c r="E2" i="10"/>
  <c r="D2" i="10"/>
  <c r="C2" i="10"/>
  <c r="B2" i="10"/>
  <c r="A2" i="10"/>
  <c r="V19" i="1"/>
  <c r="AB22" i="1"/>
  <c r="AB23" i="1"/>
  <c r="J6" i="2"/>
  <c r="J5" i="2"/>
  <c r="V18" i="1"/>
  <c r="T15" i="1"/>
  <c r="U15" i="1" s="1"/>
  <c r="S17" i="1"/>
  <c r="T17" i="1" s="1"/>
  <c r="U17" i="1" s="1"/>
  <c r="V17" i="1" s="1"/>
  <c r="S18" i="1"/>
  <c r="T18" i="1" s="1"/>
  <c r="U18" i="1" s="1"/>
  <c r="S19" i="1"/>
  <c r="T19" i="1" s="1"/>
  <c r="U19" i="1" s="1"/>
  <c r="S16" i="1"/>
  <c r="T16" i="1" s="1"/>
  <c r="U16" i="1" s="1"/>
  <c r="V15" i="1" l="1"/>
  <c r="V16" i="1"/>
  <c r="W15" i="1" s="1"/>
  <c r="F59" i="15"/>
  <c r="F58" i="13"/>
  <c r="CU13" i="11"/>
  <c r="CT13" i="11"/>
  <c r="CT9" i="11"/>
  <c r="EM45" i="11"/>
  <c r="EN45" i="11"/>
  <c r="EM46" i="11"/>
  <c r="EN46" i="11"/>
  <c r="EM47" i="11"/>
  <c r="EN47" i="11"/>
  <c r="EM48" i="11"/>
  <c r="EN48" i="11"/>
  <c r="EM49" i="11"/>
  <c r="EN49" i="11"/>
  <c r="EM50" i="11"/>
  <c r="EN50" i="11"/>
  <c r="EM51" i="11"/>
  <c r="EN51" i="11"/>
  <c r="EM52" i="11"/>
  <c r="EN52" i="11"/>
  <c r="EM53" i="11"/>
  <c r="EN53" i="11"/>
  <c r="EM54" i="11"/>
  <c r="EN54" i="11"/>
  <c r="DP34" i="11"/>
  <c r="DQ34" i="11"/>
  <c r="DP35" i="11"/>
  <c r="DQ35" i="11"/>
  <c r="DP36" i="11"/>
  <c r="DQ36" i="11"/>
  <c r="DP37" i="11"/>
  <c r="DQ37" i="11"/>
  <c r="DP38" i="11"/>
  <c r="DQ38" i="11"/>
  <c r="DP39" i="11"/>
  <c r="DQ39" i="11"/>
  <c r="DP40" i="11"/>
  <c r="DQ40" i="11"/>
  <c r="DP41" i="11"/>
  <c r="DQ41" i="11"/>
  <c r="DP42" i="11"/>
  <c r="DQ42" i="11"/>
  <c r="DP43" i="11"/>
  <c r="DQ43" i="11"/>
  <c r="DP44" i="11"/>
  <c r="DQ44" i="11"/>
  <c r="DP45" i="11"/>
  <c r="DQ45" i="11"/>
  <c r="DP46" i="11"/>
  <c r="DQ46" i="11"/>
  <c r="DP47" i="11"/>
  <c r="DQ47" i="11"/>
  <c r="DP48" i="11"/>
  <c r="DQ48" i="11"/>
  <c r="DP49" i="11"/>
  <c r="DQ49" i="11"/>
  <c r="DP50" i="11"/>
  <c r="DQ50" i="11"/>
  <c r="DP51" i="11"/>
  <c r="DQ51" i="11"/>
  <c r="DP52" i="11"/>
  <c r="DQ52" i="11"/>
  <c r="DP53" i="11"/>
  <c r="DQ53" i="11"/>
  <c r="DP54" i="11"/>
  <c r="DQ54" i="11"/>
  <c r="CM5" i="11"/>
  <c r="CN5" i="11"/>
  <c r="B60" i="15"/>
  <c r="A59" i="15"/>
  <c r="B44" i="15"/>
  <c r="B43" i="15"/>
  <c r="B40" i="15"/>
  <c r="C30" i="15"/>
  <c r="B30" i="15"/>
  <c r="B25" i="15"/>
  <c r="B19" i="15"/>
  <c r="B17" i="15"/>
  <c r="B14" i="15"/>
  <c r="B13" i="15"/>
  <c r="B12" i="15"/>
  <c r="F9" i="15"/>
  <c r="AP3" i="2"/>
  <c r="B34" i="2"/>
  <c r="B33" i="2"/>
  <c r="AL3" i="2"/>
  <c r="AK3" i="2"/>
  <c r="AI3" i="2"/>
  <c r="C58" i="14"/>
  <c r="B57" i="14"/>
  <c r="C28" i="14"/>
  <c r="B28" i="14"/>
  <c r="B23" i="14"/>
  <c r="B17" i="14"/>
  <c r="B15" i="14"/>
  <c r="B12" i="14"/>
  <c r="B11" i="14"/>
  <c r="B10" i="14"/>
  <c r="F7" i="14"/>
  <c r="B40" i="13"/>
  <c r="B44" i="13"/>
  <c r="B43" i="13"/>
  <c r="CO16" i="11"/>
  <c r="CO22" i="11" s="1"/>
  <c r="CT17" i="11"/>
  <c r="CU25" i="11" s="1"/>
  <c r="CU26" i="11" s="1"/>
  <c r="CU27" i="11" s="1"/>
  <c r="CU28" i="11" s="1"/>
  <c r="CU29" i="11" s="1"/>
  <c r="CU30" i="11" s="1"/>
  <c r="B32" i="2"/>
  <c r="B59" i="13"/>
  <c r="A58" i="13"/>
  <c r="C30" i="13"/>
  <c r="B30" i="13"/>
  <c r="B25" i="13"/>
  <c r="B19" i="13"/>
  <c r="B17" i="13"/>
  <c r="B14" i="13"/>
  <c r="B13" i="13"/>
  <c r="B12" i="13"/>
  <c r="F9" i="13"/>
  <c r="R2" i="13" s="1"/>
  <c r="C28" i="10"/>
  <c r="B28" i="10"/>
  <c r="AE9" i="2"/>
  <c r="AE7" i="2"/>
  <c r="AD3" i="2"/>
  <c r="B11" i="10"/>
  <c r="DO34" i="11"/>
  <c r="DO35" i="11"/>
  <c r="DO36" i="11"/>
  <c r="DO37" i="11"/>
  <c r="DO38" i="11"/>
  <c r="DO39" i="11"/>
  <c r="DO40" i="11"/>
  <c r="DO41" i="11"/>
  <c r="DO42" i="11"/>
  <c r="DO43" i="11"/>
  <c r="DO44" i="11"/>
  <c r="DO45" i="11"/>
  <c r="DO46" i="11"/>
  <c r="DO47" i="11"/>
  <c r="DO48" i="11"/>
  <c r="DO49" i="11"/>
  <c r="DO50" i="11"/>
  <c r="DO51" i="11"/>
  <c r="DO52" i="11"/>
  <c r="DO53" i="11"/>
  <c r="DO54" i="11"/>
  <c r="CO5" i="11"/>
  <c r="A8" i="11"/>
  <c r="A20" i="1"/>
  <c r="B17" i="10"/>
  <c r="FB45" i="11"/>
  <c r="FB46" i="11"/>
  <c r="FB47" i="11"/>
  <c r="FB48" i="11"/>
  <c r="FB49" i="11"/>
  <c r="FB50" i="11"/>
  <c r="FB51" i="11"/>
  <c r="FB52" i="11"/>
  <c r="FB53" i="11"/>
  <c r="FB54" i="11"/>
  <c r="EQ45" i="11"/>
  <c r="EQ46" i="11"/>
  <c r="EQ47" i="11"/>
  <c r="EQ48" i="11"/>
  <c r="EQ49" i="11"/>
  <c r="EQ50" i="11"/>
  <c r="EQ51" i="11"/>
  <c r="EQ52" i="11"/>
  <c r="EQ53" i="11"/>
  <c r="EQ54" i="11"/>
  <c r="EE34" i="11"/>
  <c r="CQ12" i="11"/>
  <c r="FE5" i="11" s="1"/>
  <c r="B4" i="11"/>
  <c r="CG3" i="11"/>
  <c r="CG7" i="11" s="1"/>
  <c r="BL3" i="11"/>
  <c r="BL7" i="11" s="1"/>
  <c r="Z6" i="2"/>
  <c r="B57" i="10"/>
  <c r="G57" i="14" l="1"/>
  <c r="U2" i="14"/>
  <c r="F10" i="13"/>
  <c r="F11" i="13" s="1"/>
  <c r="F12" i="13" s="1"/>
  <c r="F13" i="13" s="1"/>
  <c r="F14" i="13" s="1"/>
  <c r="F15" i="13" s="1"/>
  <c r="F16" i="13" s="1"/>
  <c r="F17" i="13" s="1"/>
  <c r="F18" i="13" s="1"/>
  <c r="F19" i="13" s="1"/>
  <c r="F20" i="13" s="1"/>
  <c r="F21" i="13" s="1"/>
  <c r="F22" i="13" s="1"/>
  <c r="F23" i="13" s="1"/>
  <c r="F24" i="13" s="1"/>
  <c r="F25" i="13" s="1"/>
  <c r="F26" i="13" s="1"/>
  <c r="F27" i="13" s="1"/>
  <c r="F28" i="13" s="1"/>
  <c r="F29" i="13" s="1"/>
  <c r="F30" i="13" s="1"/>
  <c r="F31" i="13" s="1"/>
  <c r="F32" i="13" s="1"/>
  <c r="F33" i="13" s="1"/>
  <c r="F34" i="13" s="1"/>
  <c r="F35" i="13" s="1"/>
  <c r="F36" i="13" s="1"/>
  <c r="F37" i="13" s="1"/>
  <c r="F38" i="13" s="1"/>
  <c r="F39" i="13" s="1"/>
  <c r="F40" i="13" s="1"/>
  <c r="F41" i="13" s="1"/>
  <c r="F42" i="13" s="1"/>
  <c r="F43" i="13" s="1"/>
  <c r="F44" i="13" s="1"/>
  <c r="F45" i="13" s="1"/>
  <c r="F46" i="13" s="1"/>
  <c r="F47" i="13" s="1"/>
  <c r="F48" i="13" s="1"/>
  <c r="F49" i="13" s="1"/>
  <c r="F10" i="15"/>
  <c r="F11" i="15" s="1"/>
  <c r="F12" i="15" s="1"/>
  <c r="F13" i="15" s="1"/>
  <c r="F14" i="15" s="1"/>
  <c r="F15" i="15" s="1"/>
  <c r="F16" i="15" s="1"/>
  <c r="F17" i="15" s="1"/>
  <c r="F18" i="15" s="1"/>
  <c r="F19" i="15" s="1"/>
  <c r="F20" i="15" s="1"/>
  <c r="F21" i="15" s="1"/>
  <c r="F22" i="15" s="1"/>
  <c r="F23" i="15" s="1"/>
  <c r="F24" i="15" s="1"/>
  <c r="F25" i="15" s="1"/>
  <c r="F26" i="15" s="1"/>
  <c r="F27" i="15" s="1"/>
  <c r="F28" i="15" s="1"/>
  <c r="F29" i="15" s="1"/>
  <c r="F30" i="15" s="1"/>
  <c r="F31" i="15" s="1"/>
  <c r="F32" i="15" s="1"/>
  <c r="F33" i="15" s="1"/>
  <c r="F34" i="15" s="1"/>
  <c r="F35" i="15" s="1"/>
  <c r="F36" i="15" s="1"/>
  <c r="F37" i="15" s="1"/>
  <c r="F38" i="15" s="1"/>
  <c r="F39" i="15" s="1"/>
  <c r="F40" i="15" s="1"/>
  <c r="F41" i="15" s="1"/>
  <c r="F42" i="15" s="1"/>
  <c r="F43" i="15" s="1"/>
  <c r="F44" i="15" s="1"/>
  <c r="F45" i="15" s="1"/>
  <c r="F46" i="15" s="1"/>
  <c r="F47" i="15" s="1"/>
  <c r="F48" i="15" s="1"/>
  <c r="F49" i="15" s="1"/>
  <c r="S2" i="15"/>
  <c r="F8" i="14"/>
  <c r="F9" i="14" s="1"/>
  <c r="F10" i="14" s="1"/>
  <c r="F11" i="14" s="1"/>
  <c r="F12" i="14" s="1"/>
  <c r="F13" i="14" s="1"/>
  <c r="F14" i="14" s="1"/>
  <c r="F15" i="14" s="1"/>
  <c r="F16" i="14" s="1"/>
  <c r="F17" i="14" s="1"/>
  <c r="F18" i="14" s="1"/>
  <c r="F19" i="14" s="1"/>
  <c r="F20" i="14" s="1"/>
  <c r="F21" i="14" s="1"/>
  <c r="F22" i="14" s="1"/>
  <c r="F23" i="14" s="1"/>
  <c r="F24" i="14" s="1"/>
  <c r="F25" i="14" s="1"/>
  <c r="F26" i="14" s="1"/>
  <c r="F27" i="14" s="1"/>
  <c r="F28" i="14" s="1"/>
  <c r="F29" i="14" s="1"/>
  <c r="F30" i="14" s="1"/>
  <c r="F31" i="14" s="1"/>
  <c r="F32" i="14" s="1"/>
  <c r="F33" i="14" s="1"/>
  <c r="F34" i="14" s="1"/>
  <c r="F35" i="14" s="1"/>
  <c r="F36" i="14" s="1"/>
  <c r="F37" i="14" s="1"/>
  <c r="F38" i="14" s="1"/>
  <c r="F39" i="14" s="1"/>
  <c r="F40" i="14" s="1"/>
  <c r="F41" i="14" s="1"/>
  <c r="F42" i="14" s="1"/>
  <c r="F43" i="14" s="1"/>
  <c r="F44" i="14" s="1"/>
  <c r="F45" i="14" s="1"/>
  <c r="F46" i="14" s="1"/>
  <c r="F47" i="14" s="1"/>
  <c r="S2" i="14"/>
  <c r="D58" i="10"/>
  <c r="H57" i="10"/>
  <c r="AB24" i="1"/>
  <c r="AB26" i="1" s="1"/>
  <c r="Y15" i="1"/>
  <c r="AA15" i="1" s="1"/>
  <c r="G59" i="15"/>
  <c r="C60" i="15"/>
  <c r="H57" i="14"/>
  <c r="D58" i="14"/>
  <c r="C40" i="10"/>
  <c r="P2" i="10" s="1"/>
  <c r="C40" i="14"/>
  <c r="P2" i="14" s="1"/>
  <c r="AW2" i="11"/>
  <c r="AM2" i="11"/>
  <c r="CT18" i="11"/>
  <c r="G58" i="13"/>
  <c r="C59" i="13"/>
  <c r="G57" i="10"/>
  <c r="FQ5" i="11"/>
  <c r="CQ13" i="11"/>
  <c r="BM35" i="11" s="1"/>
  <c r="CI40" i="11"/>
  <c r="EQ38" i="11" s="1"/>
  <c r="CI38" i="11"/>
  <c r="EQ36" i="11" s="1"/>
  <c r="CI36" i="11"/>
  <c r="EQ34" i="11" s="1"/>
  <c r="CI23" i="11"/>
  <c r="EQ21" i="11" s="1"/>
  <c r="CI41" i="11"/>
  <c r="EQ39" i="11" s="1"/>
  <c r="CI37" i="11"/>
  <c r="EQ35" i="11" s="1"/>
  <c r="CI26" i="11"/>
  <c r="EQ24" i="11" s="1"/>
  <c r="CI24" i="11"/>
  <c r="EQ22" i="11" s="1"/>
  <c r="CI22" i="11"/>
  <c r="EQ20" i="11" s="1"/>
  <c r="CI39" i="11"/>
  <c r="EQ37" i="11" s="1"/>
  <c r="CI25" i="11"/>
  <c r="EQ23" i="11" s="1"/>
  <c r="CI20" i="11"/>
  <c r="EQ18" i="11" s="1"/>
  <c r="CI21" i="11"/>
  <c r="EQ19" i="11" s="1"/>
  <c r="CI10" i="11"/>
  <c r="EQ8" i="11" s="1"/>
  <c r="CI9" i="11"/>
  <c r="EQ7" i="11" s="1"/>
  <c r="CI42" i="11"/>
  <c r="EQ40" i="11" s="1"/>
  <c r="CI8" i="11"/>
  <c r="EQ6" i="11" s="1"/>
  <c r="CI18" i="11"/>
  <c r="EQ16" i="11" s="1"/>
  <c r="CI33" i="11"/>
  <c r="EQ31" i="11" s="1"/>
  <c r="CI32" i="11"/>
  <c r="EQ30" i="11" s="1"/>
  <c r="CI31" i="11"/>
  <c r="EQ29" i="11" s="1"/>
  <c r="CI15" i="11"/>
  <c r="EQ13" i="11" s="1"/>
  <c r="CI30" i="11"/>
  <c r="EQ28" i="11" s="1"/>
  <c r="CI14" i="11"/>
  <c r="EQ12" i="11" s="1"/>
  <c r="CI19" i="11"/>
  <c r="EQ17" i="11" s="1"/>
  <c r="CI17" i="11"/>
  <c r="EQ15" i="11" s="1"/>
  <c r="CI45" i="11"/>
  <c r="EQ43" i="11" s="1"/>
  <c r="CI29" i="11"/>
  <c r="EQ27" i="11" s="1"/>
  <c r="CI13" i="11"/>
  <c r="EQ11" i="11" s="1"/>
  <c r="CI35" i="11"/>
  <c r="EQ33" i="11" s="1"/>
  <c r="CI34" i="11"/>
  <c r="EQ32" i="11" s="1"/>
  <c r="CI16" i="11"/>
  <c r="EQ14" i="11" s="1"/>
  <c r="CI44" i="11"/>
  <c r="EQ42" i="11" s="1"/>
  <c r="CI28" i="11"/>
  <c r="EQ26" i="11" s="1"/>
  <c r="CI12" i="11"/>
  <c r="EQ10" i="11" s="1"/>
  <c r="CI43" i="11"/>
  <c r="EQ41" i="11" s="1"/>
  <c r="CI27" i="11"/>
  <c r="EQ25" i="11" s="1"/>
  <c r="CI11" i="11"/>
  <c r="EQ9" i="11" s="1"/>
  <c r="CP5" i="11"/>
  <c r="EK45" i="11"/>
  <c r="EK46" i="11"/>
  <c r="EK47" i="11"/>
  <c r="EK48" i="11"/>
  <c r="EK49" i="11"/>
  <c r="EK50" i="11"/>
  <c r="EK51" i="11"/>
  <c r="EK52" i="11"/>
  <c r="EK53" i="11"/>
  <c r="EK54" i="11"/>
  <c r="DN34" i="11"/>
  <c r="DN35" i="11"/>
  <c r="DN36" i="11"/>
  <c r="DN37" i="11"/>
  <c r="DN38" i="11"/>
  <c r="DN39" i="11"/>
  <c r="DN40" i="11"/>
  <c r="DN41" i="11"/>
  <c r="DN42" i="11"/>
  <c r="DN43" i="11"/>
  <c r="DN44" i="11"/>
  <c r="DN45" i="11"/>
  <c r="DN46" i="11"/>
  <c r="DN47" i="11"/>
  <c r="DN48" i="11"/>
  <c r="DN49" i="11"/>
  <c r="DN50" i="11"/>
  <c r="DN51" i="11"/>
  <c r="DN52" i="11"/>
  <c r="DN53" i="11"/>
  <c r="DN54" i="11"/>
  <c r="AC21" i="1" l="1"/>
  <c r="AC22" i="1" s="1"/>
  <c r="D14" i="2"/>
  <c r="F23" i="2"/>
  <c r="AR2" i="11"/>
  <c r="AH2" i="11"/>
  <c r="CO19" i="11"/>
  <c r="CO24" i="11" s="1"/>
  <c r="BM34" i="11"/>
  <c r="CH46" i="11"/>
  <c r="BM7" i="11"/>
  <c r="CH7" i="11"/>
  <c r="FS5" i="11"/>
  <c r="FS6" i="11" s="1"/>
  <c r="FS7" i="11" s="1"/>
  <c r="FS8" i="11" s="1"/>
  <c r="FS9" i="11" s="1"/>
  <c r="FS10" i="11" s="1"/>
  <c r="FS11" i="11" s="1"/>
  <c r="FS12" i="11" s="1"/>
  <c r="FS13" i="11" s="1"/>
  <c r="FS14" i="11" s="1"/>
  <c r="FS15" i="11" s="1"/>
  <c r="FS16" i="11" s="1"/>
  <c r="FS17" i="11" s="1"/>
  <c r="FS18" i="11" s="1"/>
  <c r="FS19" i="11" s="1"/>
  <c r="FS20" i="11" s="1"/>
  <c r="FS21" i="11" s="1"/>
  <c r="FS22" i="11" s="1"/>
  <c r="FS23" i="11" s="1"/>
  <c r="FS24" i="11" s="1"/>
  <c r="FS25" i="11" s="1"/>
  <c r="FS26" i="11" s="1"/>
  <c r="FS27" i="11" s="1"/>
  <c r="FS28" i="11" s="1"/>
  <c r="FS29" i="11" s="1"/>
  <c r="FS30" i="11" s="1"/>
  <c r="FS31" i="11" s="1"/>
  <c r="FS32" i="11" s="1"/>
  <c r="FS33" i="11" s="1"/>
  <c r="FS34" i="11" s="1"/>
  <c r="FS35" i="11" s="1"/>
  <c r="FS36" i="11" s="1"/>
  <c r="FS37" i="11" s="1"/>
  <c r="FS38" i="11" s="1"/>
  <c r="FS39" i="11" s="1"/>
  <c r="FS40" i="11" s="1"/>
  <c r="FS41" i="11" s="1"/>
  <c r="FS42" i="11" s="1"/>
  <c r="FS43" i="11" s="1"/>
  <c r="FS44" i="11" s="1"/>
  <c r="FS45" i="11" s="1"/>
  <c r="FS46" i="11" s="1"/>
  <c r="FS47" i="11" s="1"/>
  <c r="FS48" i="11" s="1"/>
  <c r="FS49" i="11" s="1"/>
  <c r="FS50" i="11" s="1"/>
  <c r="FS51" i="11" s="1"/>
  <c r="FS52" i="11" s="1"/>
  <c r="FS53" i="11" s="1"/>
  <c r="FS54" i="11" s="1"/>
  <c r="CS4" i="11"/>
  <c r="CT10" i="11" s="1"/>
  <c r="CT14" i="11" s="1"/>
  <c r="FG5" i="11"/>
  <c r="FG6" i="11" s="1"/>
  <c r="FG7" i="11" s="1"/>
  <c r="FG8" i="11" s="1"/>
  <c r="FG9" i="11" s="1"/>
  <c r="FG10" i="11" s="1"/>
  <c r="FG11" i="11" s="1"/>
  <c r="FG12" i="11" s="1"/>
  <c r="FG13" i="11" s="1"/>
  <c r="FG14" i="11" s="1"/>
  <c r="FG15" i="11" s="1"/>
  <c r="FG16" i="11" s="1"/>
  <c r="FG17" i="11" s="1"/>
  <c r="FG18" i="11" s="1"/>
  <c r="FG19" i="11" s="1"/>
  <c r="FG20" i="11" s="1"/>
  <c r="FG21" i="11" s="1"/>
  <c r="FG22" i="11" s="1"/>
  <c r="FG23" i="11" s="1"/>
  <c r="FG24" i="11" s="1"/>
  <c r="FG25" i="11" s="1"/>
  <c r="FG26" i="11" s="1"/>
  <c r="FG27" i="11" s="1"/>
  <c r="FG28" i="11" s="1"/>
  <c r="FG29" i="11" s="1"/>
  <c r="FG30" i="11" s="1"/>
  <c r="FG31" i="11" s="1"/>
  <c r="FG32" i="11" s="1"/>
  <c r="FG33" i="11" s="1"/>
  <c r="FG34" i="11" s="1"/>
  <c r="FG35" i="11" s="1"/>
  <c r="FG36" i="11" s="1"/>
  <c r="FG37" i="11" s="1"/>
  <c r="FG38" i="11" s="1"/>
  <c r="FG39" i="11" s="1"/>
  <c r="FG40" i="11" s="1"/>
  <c r="FG41" i="11" s="1"/>
  <c r="FG42" i="11" s="1"/>
  <c r="FG43" i="11" s="1"/>
  <c r="FG44" i="11" s="1"/>
  <c r="FG45" i="11" s="1"/>
  <c r="FG46" i="11" s="1"/>
  <c r="FG47" i="11" s="1"/>
  <c r="FG48" i="11" s="1"/>
  <c r="FG49" i="11" s="1"/>
  <c r="FG50" i="11" s="1"/>
  <c r="FG51" i="11" s="1"/>
  <c r="FG52" i="11" s="1"/>
  <c r="FG53" i="11" s="1"/>
  <c r="FG54" i="11" s="1"/>
  <c r="DS36" i="11"/>
  <c r="DS37" i="11"/>
  <c r="DS38" i="11"/>
  <c r="DS39" i="11"/>
  <c r="DS40" i="11"/>
  <c r="DS41" i="11"/>
  <c r="DS42" i="11"/>
  <c r="DS43" i="11"/>
  <c r="DS44" i="11"/>
  <c r="DS45" i="11"/>
  <c r="DS46" i="11"/>
  <c r="DS47" i="11"/>
  <c r="DS48" i="11"/>
  <c r="DS49" i="11"/>
  <c r="DS50" i="11"/>
  <c r="DS51" i="11"/>
  <c r="DS52" i="11"/>
  <c r="DS53" i="11"/>
  <c r="DS54" i="11"/>
  <c r="AR29" i="11"/>
  <c r="AR30" i="11"/>
  <c r="AR31" i="11"/>
  <c r="AR32" i="11"/>
  <c r="AR33" i="11"/>
  <c r="AR34" i="11"/>
  <c r="AR35" i="11"/>
  <c r="AR36" i="11"/>
  <c r="AR37" i="11"/>
  <c r="AR38" i="11"/>
  <c r="AR39" i="11"/>
  <c r="AR40" i="11"/>
  <c r="AR41" i="11"/>
  <c r="AR42" i="11"/>
  <c r="AR43" i="11"/>
  <c r="AR44" i="11"/>
  <c r="AR45" i="11"/>
  <c r="AR46" i="11"/>
  <c r="AR47" i="11"/>
  <c r="AR48" i="11"/>
  <c r="AR49" i="11"/>
  <c r="AR50" i="11"/>
  <c r="AR51" i="11"/>
  <c r="AR52" i="11"/>
  <c r="AR53" i="11"/>
  <c r="AR54" i="11"/>
  <c r="AR55" i="11"/>
  <c r="AR56" i="11"/>
  <c r="AR57" i="11"/>
  <c r="AR58" i="11"/>
  <c r="AR59" i="11"/>
  <c r="AR60" i="11"/>
  <c r="AR61" i="11"/>
  <c r="AR62" i="11"/>
  <c r="AR63" i="11"/>
  <c r="AR64" i="11"/>
  <c r="AR65" i="11"/>
  <c r="AR66" i="11"/>
  <c r="AR67" i="11"/>
  <c r="AR68" i="11"/>
  <c r="AR69" i="11"/>
  <c r="AR70" i="11"/>
  <c r="AR71" i="11"/>
  <c r="AR72" i="11"/>
  <c r="AR73" i="11"/>
  <c r="AR74" i="11"/>
  <c r="AR75" i="11"/>
  <c r="AR76" i="11"/>
  <c r="AR77" i="11"/>
  <c r="AR78" i="11"/>
  <c r="AR79" i="11"/>
  <c r="AR80" i="11"/>
  <c r="AR81" i="11"/>
  <c r="AR82" i="11"/>
  <c r="AR83" i="11"/>
  <c r="AR84" i="11"/>
  <c r="ES45" i="11"/>
  <c r="ES46" i="11"/>
  <c r="ES47" i="11"/>
  <c r="ES48" i="11"/>
  <c r="ES49" i="11"/>
  <c r="EP46" i="11"/>
  <c r="EP47" i="11"/>
  <c r="EP48" i="11"/>
  <c r="EP49" i="11"/>
  <c r="EP50" i="11"/>
  <c r="EP51" i="11"/>
  <c r="EP52" i="11"/>
  <c r="EP53" i="11"/>
  <c r="EP54" i="11"/>
  <c r="EJ45" i="11"/>
  <c r="EJ46" i="11"/>
  <c r="EJ47" i="11"/>
  <c r="EJ48" i="11"/>
  <c r="EJ49" i="11"/>
  <c r="EJ50" i="11"/>
  <c r="EJ51" i="11"/>
  <c r="EJ52" i="11"/>
  <c r="EJ53" i="11"/>
  <c r="EJ54" i="11"/>
  <c r="EI45" i="11"/>
  <c r="EI46" i="11"/>
  <c r="EI47" i="11"/>
  <c r="EI48" i="11"/>
  <c r="EI49" i="11"/>
  <c r="EI50" i="11"/>
  <c r="EI51" i="11"/>
  <c r="EI52" i="11"/>
  <c r="EI53" i="11"/>
  <c r="EI54" i="11"/>
  <c r="EH45" i="11"/>
  <c r="EH46" i="11"/>
  <c r="EH47" i="11"/>
  <c r="EH48" i="11"/>
  <c r="EH49" i="11"/>
  <c r="EH50" i="11"/>
  <c r="EH51" i="11"/>
  <c r="EH52" i="11"/>
  <c r="EH53" i="11"/>
  <c r="EH54" i="11"/>
  <c r="DM34" i="11"/>
  <c r="DM35" i="11"/>
  <c r="DM36" i="11"/>
  <c r="DM37" i="11"/>
  <c r="DM38" i="11"/>
  <c r="DM39" i="11"/>
  <c r="DM40" i="11"/>
  <c r="DM41" i="11"/>
  <c r="DM42" i="11"/>
  <c r="DM43" i="11"/>
  <c r="DM44" i="11"/>
  <c r="DM45" i="11"/>
  <c r="DM46" i="11"/>
  <c r="DM47" i="11"/>
  <c r="DM48" i="11"/>
  <c r="DM49" i="11"/>
  <c r="DM50" i="11"/>
  <c r="DM51" i="11"/>
  <c r="DM52" i="11"/>
  <c r="DM53" i="11"/>
  <c r="DM54" i="11"/>
  <c r="DL34" i="11"/>
  <c r="DL35" i="11"/>
  <c r="DL36" i="11"/>
  <c r="DL37" i="11"/>
  <c r="DL38" i="11"/>
  <c r="DL39" i="11"/>
  <c r="DL40" i="11"/>
  <c r="DL41" i="11"/>
  <c r="DL42" i="11"/>
  <c r="DL43" i="11"/>
  <c r="DL44" i="11"/>
  <c r="DL45" i="11"/>
  <c r="DL46" i="11"/>
  <c r="DL47" i="11"/>
  <c r="DL48" i="11"/>
  <c r="DL49" i="11"/>
  <c r="DL50" i="11"/>
  <c r="DL51" i="11"/>
  <c r="DL52" i="11"/>
  <c r="DL53" i="11"/>
  <c r="DL54" i="11"/>
  <c r="DK34" i="11"/>
  <c r="DK35" i="11"/>
  <c r="DK36" i="11"/>
  <c r="DK37" i="11"/>
  <c r="DK38" i="11"/>
  <c r="DK39" i="11"/>
  <c r="DK40" i="11"/>
  <c r="DK41" i="11"/>
  <c r="DK42" i="11"/>
  <c r="DK43" i="11"/>
  <c r="DK44" i="11"/>
  <c r="DK45" i="11"/>
  <c r="DK46" i="11"/>
  <c r="DK47" i="11"/>
  <c r="DK48" i="11"/>
  <c r="DK49" i="11"/>
  <c r="DK50" i="11"/>
  <c r="DK51" i="11"/>
  <c r="DK52" i="11"/>
  <c r="DK53" i="11"/>
  <c r="DK54" i="11"/>
  <c r="DE15" i="11"/>
  <c r="DE16" i="11"/>
  <c r="DE17" i="11"/>
  <c r="DE18" i="11"/>
  <c r="DE19" i="11"/>
  <c r="DE20" i="11"/>
  <c r="DE21" i="11"/>
  <c r="DE22" i="11"/>
  <c r="DE23" i="11"/>
  <c r="CX83" i="11"/>
  <c r="CY83" i="11"/>
  <c r="CZ83" i="11"/>
  <c r="DA83" i="11"/>
  <c r="DB83" i="11"/>
  <c r="DC83" i="11" s="1"/>
  <c r="CU14" i="11" l="1"/>
  <c r="BB2" i="11"/>
  <c r="FR5" i="11"/>
  <c r="FR6" i="11" s="1"/>
  <c r="FF5" i="11"/>
  <c r="FF6" i="11" s="1"/>
  <c r="F7" i="10"/>
  <c r="S2" i="10" s="1"/>
  <c r="CO25" i="11" l="1"/>
  <c r="I2" i="11"/>
  <c r="CO17" i="11" s="1"/>
  <c r="CO23" i="11" s="1"/>
  <c r="BQ2" i="11"/>
  <c r="CO20" i="11" s="1"/>
  <c r="BV2" i="11"/>
  <c r="FR7" i="11"/>
  <c r="FU6" i="11"/>
  <c r="FF7" i="11"/>
  <c r="C58" i="10"/>
  <c r="B23" i="10"/>
  <c r="CO26" i="11" l="1"/>
  <c r="FR8" i="11"/>
  <c r="FF8" i="11"/>
  <c r="Y3" i="2"/>
  <c r="B26" i="15" l="1"/>
  <c r="C28" i="15"/>
  <c r="B28" i="15"/>
  <c r="C29" i="15"/>
  <c r="B29" i="15"/>
  <c r="B27" i="15"/>
  <c r="C26" i="14"/>
  <c r="B26" i="14"/>
  <c r="B24" i="14"/>
  <c r="B27" i="14"/>
  <c r="B25" i="14"/>
  <c r="C27" i="14"/>
  <c r="B27" i="10"/>
  <c r="B28" i="13"/>
  <c r="B27" i="13"/>
  <c r="C29" i="13"/>
  <c r="B29" i="13"/>
  <c r="B26" i="13"/>
  <c r="C28" i="13"/>
  <c r="C26" i="10"/>
  <c r="C27" i="10"/>
  <c r="B25" i="10"/>
  <c r="B26" i="10"/>
  <c r="B24" i="10"/>
  <c r="FR9" i="11"/>
  <c r="FU8" i="11"/>
  <c r="FF9" i="11"/>
  <c r="B3" i="11"/>
  <c r="T5" i="2"/>
  <c r="FR10" i="11" l="1"/>
  <c r="FU9" i="11"/>
  <c r="FF10" i="11"/>
  <c r="CP83" i="11"/>
  <c r="CQ83" i="11"/>
  <c r="CR83" i="11"/>
  <c r="CS83" i="11"/>
  <c r="CT83" i="11"/>
  <c r="CU83" i="11"/>
  <c r="CV83" i="11"/>
  <c r="CW83" i="11"/>
  <c r="CO83" i="11"/>
  <c r="CP79" i="11"/>
  <c r="CQ79" i="11"/>
  <c r="CR79" i="11"/>
  <c r="CS79" i="11"/>
  <c r="CT79" i="11"/>
  <c r="CO79" i="11"/>
  <c r="T12" i="11"/>
  <c r="T11" i="11"/>
  <c r="T10" i="11"/>
  <c r="T9" i="11"/>
  <c r="T8" i="11"/>
  <c r="T7" i="11"/>
  <c r="O12" i="11"/>
  <c r="O11" i="11"/>
  <c r="O10" i="11"/>
  <c r="O9" i="11"/>
  <c r="O8" i="11"/>
  <c r="O7" i="11"/>
  <c r="FR11" i="11" l="1"/>
  <c r="FU10" i="11"/>
  <c r="FF11" i="11"/>
  <c r="AX16" i="11"/>
  <c r="CN79" i="11"/>
  <c r="CU79" i="11" s="1"/>
  <c r="AX9" i="11"/>
  <c r="AX10" i="11"/>
  <c r="AX11" i="11"/>
  <c r="AX17" i="11"/>
  <c r="AX18" i="11"/>
  <c r="AX19" i="11"/>
  <c r="AD17" i="11"/>
  <c r="AX12" i="11"/>
  <c r="AX20" i="11"/>
  <c r="AX13" i="11"/>
  <c r="AX21" i="11"/>
  <c r="CN83" i="11"/>
  <c r="AX14" i="11"/>
  <c r="AX15" i="11"/>
  <c r="AX8" i="11"/>
  <c r="B15" i="10"/>
  <c r="B12" i="10"/>
  <c r="B10" i="10"/>
  <c r="A9" i="11"/>
  <c r="T2" i="1"/>
  <c r="S2" i="1"/>
  <c r="S3" i="1" s="1"/>
  <c r="B1" i="11"/>
  <c r="FR12" i="11" l="1"/>
  <c r="FU11" i="11"/>
  <c r="FF12" i="11"/>
  <c r="AX7" i="11"/>
  <c r="AX22" i="11" s="1"/>
  <c r="S4" i="1"/>
  <c r="B2" i="11" s="1"/>
  <c r="B21" i="14" l="1"/>
  <c r="B23" i="15"/>
  <c r="B5" i="11"/>
  <c r="B21" i="15" s="1"/>
  <c r="B23" i="13"/>
  <c r="FR13" i="11"/>
  <c r="FU12" i="11"/>
  <c r="FF13" i="11"/>
  <c r="B21" i="10"/>
  <c r="G2" i="13" l="1"/>
  <c r="F2" i="13"/>
  <c r="G2" i="15"/>
  <c r="F2" i="15"/>
  <c r="G2" i="14"/>
  <c r="F2" i="14"/>
  <c r="G2" i="10"/>
  <c r="F2" i="10"/>
  <c r="B21" i="13"/>
  <c r="B19" i="14"/>
  <c r="BG3" i="11"/>
  <c r="CB3" i="11"/>
  <c r="CD11" i="11" s="1"/>
  <c r="EH9" i="11" s="1"/>
  <c r="FR14" i="11"/>
  <c r="FU13" i="11"/>
  <c r="FF14" i="11"/>
  <c r="AW3" i="11"/>
  <c r="AW7" i="11" s="1"/>
  <c r="AR3" i="11"/>
  <c r="AC3" i="11"/>
  <c r="S3" i="11"/>
  <c r="S7" i="11" s="1"/>
  <c r="AH3" i="11"/>
  <c r="N3" i="11"/>
  <c r="N7" i="11" s="1"/>
  <c r="B19" i="10"/>
  <c r="AM3" i="11"/>
  <c r="CP19" i="11" s="1"/>
  <c r="CP24" i="11" s="1"/>
  <c r="BB3" i="11"/>
  <c r="CP25" i="11" s="1"/>
  <c r="D3" i="11"/>
  <c r="BQ3" i="11"/>
  <c r="CP20" i="11" s="1"/>
  <c r="CP16" i="11" l="1"/>
  <c r="CP22" i="11" s="1"/>
  <c r="CD44" i="11"/>
  <c r="EH42" i="11" s="1"/>
  <c r="CD24" i="11"/>
  <c r="EH22" i="11" s="1"/>
  <c r="CD45" i="11"/>
  <c r="EH43" i="11" s="1"/>
  <c r="CD9" i="11"/>
  <c r="EH7" i="11" s="1"/>
  <c r="CD33" i="11"/>
  <c r="EH31" i="11" s="1"/>
  <c r="CD26" i="11"/>
  <c r="EH24" i="11" s="1"/>
  <c r="CD42" i="11"/>
  <c r="EH40" i="11" s="1"/>
  <c r="CD43" i="11"/>
  <c r="EH41" i="11" s="1"/>
  <c r="CD20" i="11"/>
  <c r="EH18" i="11" s="1"/>
  <c r="CD27" i="11"/>
  <c r="EH25" i="11" s="1"/>
  <c r="CD23" i="11"/>
  <c r="EH21" i="11" s="1"/>
  <c r="CD19" i="11"/>
  <c r="EH17" i="11" s="1"/>
  <c r="CD28" i="11"/>
  <c r="EH26" i="11" s="1"/>
  <c r="CD34" i="11"/>
  <c r="EH32" i="11" s="1"/>
  <c r="CD15" i="11"/>
  <c r="EH13" i="11" s="1"/>
  <c r="CD22" i="11"/>
  <c r="EH20" i="11" s="1"/>
  <c r="CD39" i="11"/>
  <c r="EH37" i="11" s="1"/>
  <c r="CD30" i="11"/>
  <c r="EH28" i="11" s="1"/>
  <c r="CD12" i="11"/>
  <c r="EH10" i="11" s="1"/>
  <c r="CD10" i="11"/>
  <c r="EH8" i="11" s="1"/>
  <c r="CD38" i="11"/>
  <c r="EH36" i="11" s="1"/>
  <c r="CD35" i="11"/>
  <c r="EH33" i="11" s="1"/>
  <c r="CD31" i="11"/>
  <c r="EH29" i="11" s="1"/>
  <c r="CD14" i="11"/>
  <c r="EH12" i="11" s="1"/>
  <c r="CD18" i="11"/>
  <c r="EH16" i="11" s="1"/>
  <c r="CB7" i="11"/>
  <c r="CD13" i="11"/>
  <c r="EH11" i="11" s="1"/>
  <c r="CD41" i="11"/>
  <c r="EH39" i="11" s="1"/>
  <c r="CD25" i="11"/>
  <c r="EH23" i="11" s="1"/>
  <c r="CD37" i="11"/>
  <c r="EH35" i="11" s="1"/>
  <c r="CD17" i="11"/>
  <c r="EH15" i="11" s="1"/>
  <c r="CD8" i="11"/>
  <c r="EH6" i="11" s="1"/>
  <c r="CD21" i="11"/>
  <c r="EH19" i="11" s="1"/>
  <c r="CD36" i="11"/>
  <c r="EH34" i="11" s="1"/>
  <c r="CD32" i="11"/>
  <c r="EH30" i="11" s="1"/>
  <c r="CD40" i="11"/>
  <c r="EH38" i="11" s="1"/>
  <c r="CD29" i="11"/>
  <c r="EH27" i="11" s="1"/>
  <c r="CD16" i="11"/>
  <c r="EH14" i="11" s="1"/>
  <c r="FR15" i="11"/>
  <c r="FU14" i="11"/>
  <c r="FF15" i="11"/>
  <c r="AR7" i="11"/>
  <c r="AT26" i="11"/>
  <c r="AT10" i="11"/>
  <c r="AT14" i="11"/>
  <c r="AT18" i="11"/>
  <c r="AT22" i="11"/>
  <c r="AT7" i="11"/>
  <c r="AU7" i="11" s="1"/>
  <c r="AT13" i="11"/>
  <c r="AT11" i="11"/>
  <c r="AT15" i="11"/>
  <c r="AT19" i="11"/>
  <c r="AT23" i="11"/>
  <c r="AT9" i="11"/>
  <c r="AT21" i="11"/>
  <c r="AT27" i="11"/>
  <c r="AT8" i="11"/>
  <c r="AT12" i="11"/>
  <c r="AT16" i="11"/>
  <c r="AT20" i="11"/>
  <c r="AT24" i="11"/>
  <c r="AT17" i="11"/>
  <c r="AT25" i="11"/>
  <c r="AE11" i="11"/>
  <c r="AE15" i="11"/>
  <c r="AE9" i="11"/>
  <c r="AE13" i="11"/>
  <c r="AE17" i="11"/>
  <c r="AE14" i="11"/>
  <c r="AE8" i="11"/>
  <c r="AE16" i="11"/>
  <c r="AE7" i="11"/>
  <c r="AE10" i="11"/>
  <c r="AE12" i="11"/>
  <c r="BX46" i="11"/>
  <c r="EP44" i="11" s="1"/>
  <c r="BV3" i="11"/>
  <c r="BV7" i="11" s="1"/>
  <c r="BX45" i="11"/>
  <c r="EP43" i="11" s="1"/>
  <c r="BX39" i="11"/>
  <c r="EP37" i="11" s="1"/>
  <c r="BX35" i="11"/>
  <c r="EP33" i="11" s="1"/>
  <c r="BX31" i="11"/>
  <c r="EP29" i="11" s="1"/>
  <c r="BX28" i="11"/>
  <c r="EP26" i="11" s="1"/>
  <c r="BX25" i="11"/>
  <c r="EP23" i="11" s="1"/>
  <c r="BX22" i="11"/>
  <c r="BX19" i="11"/>
  <c r="BX16" i="11"/>
  <c r="BX13" i="11"/>
  <c r="BX10" i="11"/>
  <c r="BX43" i="11"/>
  <c r="EP41" i="11" s="1"/>
  <c r="BX41" i="11"/>
  <c r="EP39" i="11" s="1"/>
  <c r="BX38" i="11"/>
  <c r="EP36" i="11" s="1"/>
  <c r="BX36" i="11"/>
  <c r="EP34" i="11" s="1"/>
  <c r="BX33" i="11"/>
  <c r="EP31" i="11" s="1"/>
  <c r="BX30" i="11"/>
  <c r="EP28" i="11" s="1"/>
  <c r="BX27" i="11"/>
  <c r="EP25" i="11" s="1"/>
  <c r="BX24" i="11"/>
  <c r="EP22" i="11" s="1"/>
  <c r="BX21" i="11"/>
  <c r="BX18" i="11"/>
  <c r="BX14" i="11"/>
  <c r="BX11" i="11"/>
  <c r="BX8" i="11"/>
  <c r="BX44" i="11"/>
  <c r="EP42" i="11" s="1"/>
  <c r="BX42" i="11"/>
  <c r="EP40" i="11" s="1"/>
  <c r="BX40" i="11"/>
  <c r="EP38" i="11" s="1"/>
  <c r="BX37" i="11"/>
  <c r="EP35" i="11" s="1"/>
  <c r="BX34" i="11"/>
  <c r="EP32" i="11" s="1"/>
  <c r="BX32" i="11"/>
  <c r="EP30" i="11" s="1"/>
  <c r="BX29" i="11"/>
  <c r="EP27" i="11" s="1"/>
  <c r="BX26" i="11"/>
  <c r="EP24" i="11" s="1"/>
  <c r="BX23" i="11"/>
  <c r="EP21" i="11" s="1"/>
  <c r="BX20" i="11"/>
  <c r="BX17" i="11"/>
  <c r="BX15" i="11"/>
  <c r="BX12" i="11"/>
  <c r="BX9" i="11"/>
  <c r="BQ7" i="11"/>
  <c r="AY22" i="11"/>
  <c r="AY21" i="11"/>
  <c r="AY20" i="11"/>
  <c r="AY19" i="11"/>
  <c r="AY18" i="11"/>
  <c r="AY17" i="11"/>
  <c r="AY16" i="11"/>
  <c r="AY15" i="11"/>
  <c r="AY14" i="11"/>
  <c r="AY13" i="11"/>
  <c r="AY12" i="11"/>
  <c r="AY11" i="11"/>
  <c r="AY10" i="11"/>
  <c r="AY9" i="11"/>
  <c r="AY8" i="11"/>
  <c r="AY7" i="11"/>
  <c r="AC7" i="11"/>
  <c r="AJ12" i="11"/>
  <c r="AJ20" i="11"/>
  <c r="AJ17" i="11"/>
  <c r="AJ13" i="11"/>
  <c r="AJ21" i="11"/>
  <c r="AH7" i="11"/>
  <c r="AJ14" i="11"/>
  <c r="AJ22" i="11"/>
  <c r="AJ7" i="11"/>
  <c r="AJ15" i="11"/>
  <c r="AJ9" i="11"/>
  <c r="AJ10" i="11"/>
  <c r="AJ8" i="11"/>
  <c r="AJ16" i="11"/>
  <c r="AJ18" i="11"/>
  <c r="AJ11" i="11"/>
  <c r="AJ19" i="11"/>
  <c r="P12" i="11"/>
  <c r="P11" i="11"/>
  <c r="P10" i="11"/>
  <c r="P9" i="11"/>
  <c r="P8" i="11"/>
  <c r="P7" i="11"/>
  <c r="F10" i="11"/>
  <c r="D7" i="11"/>
  <c r="F12" i="11"/>
  <c r="F8" i="11"/>
  <c r="F11" i="11"/>
  <c r="F7" i="11"/>
  <c r="F9" i="11"/>
  <c r="BB7" i="11"/>
  <c r="AO21" i="11"/>
  <c r="AO20" i="11"/>
  <c r="AO18" i="11"/>
  <c r="AO11" i="11"/>
  <c r="AO16" i="11"/>
  <c r="AO7" i="11"/>
  <c r="AO14" i="11"/>
  <c r="AO10" i="11"/>
  <c r="AM7" i="11"/>
  <c r="AO13" i="11"/>
  <c r="AO22" i="11"/>
  <c r="AO15" i="11"/>
  <c r="AO17" i="11"/>
  <c r="AO12" i="11"/>
  <c r="AO9" i="11"/>
  <c r="AO19" i="11"/>
  <c r="AO8" i="11"/>
  <c r="BS12" i="11"/>
  <c r="EJ10" i="11" s="1"/>
  <c r="BS13" i="11"/>
  <c r="EJ11" i="11" s="1"/>
  <c r="BS8" i="11"/>
  <c r="EJ6" i="11" s="1"/>
  <c r="BS37" i="11"/>
  <c r="EO35" i="11" s="1"/>
  <c r="BS28" i="11"/>
  <c r="EO26" i="11" s="1"/>
  <c r="BS19" i="11"/>
  <c r="BS10" i="11"/>
  <c r="EJ8" i="11" s="1"/>
  <c r="BS33" i="11"/>
  <c r="EO31" i="11" s="1"/>
  <c r="BS34" i="11"/>
  <c r="EO32" i="11" s="1"/>
  <c r="BS14" i="11"/>
  <c r="EJ12" i="11" s="1"/>
  <c r="BS36" i="11"/>
  <c r="EO34" i="11" s="1"/>
  <c r="BS29" i="11"/>
  <c r="EO27" i="11" s="1"/>
  <c r="BS30" i="11"/>
  <c r="EO28" i="11" s="1"/>
  <c r="BS11" i="11"/>
  <c r="EJ9" i="11" s="1"/>
  <c r="BS42" i="11"/>
  <c r="EO40" i="11" s="1"/>
  <c r="BS18" i="11"/>
  <c r="BS15" i="11"/>
  <c r="BS39" i="11"/>
  <c r="EO37" i="11" s="1"/>
  <c r="BS27" i="11"/>
  <c r="EO25" i="11" s="1"/>
  <c r="BS32" i="11"/>
  <c r="EO30" i="11" s="1"/>
  <c r="BS21" i="11"/>
  <c r="BS40" i="11"/>
  <c r="EO38" i="11" s="1"/>
  <c r="BS45" i="11"/>
  <c r="EO43" i="11" s="1"/>
  <c r="BS25" i="11"/>
  <c r="EO23" i="11" s="1"/>
  <c r="BS20" i="11"/>
  <c r="BS24" i="11"/>
  <c r="EO22" i="11" s="1"/>
  <c r="BS41" i="11"/>
  <c r="EO39" i="11" s="1"/>
  <c r="BS17" i="11"/>
  <c r="BS35" i="11"/>
  <c r="EO33" i="11" s="1"/>
  <c r="BS16" i="11"/>
  <c r="BS23" i="11"/>
  <c r="EO21" i="11" s="1"/>
  <c r="BS38" i="11"/>
  <c r="EO36" i="11" s="1"/>
  <c r="BS43" i="11"/>
  <c r="EO41" i="11" s="1"/>
  <c r="BS9" i="11"/>
  <c r="EJ7" i="11" s="1"/>
  <c r="BS22" i="11"/>
  <c r="BS44" i="11"/>
  <c r="EO42" i="11" s="1"/>
  <c r="BS31" i="11"/>
  <c r="EO29" i="11" s="1"/>
  <c r="BS26" i="11"/>
  <c r="EO24" i="11" s="1"/>
  <c r="BG7" i="11"/>
  <c r="N28" i="1"/>
  <c r="N25" i="1"/>
  <c r="EO17" i="11" l="1"/>
  <c r="EO20" i="11"/>
  <c r="EO13" i="11"/>
  <c r="EO16" i="11"/>
  <c r="EO15" i="11"/>
  <c r="EO14" i="11"/>
  <c r="EO19" i="11"/>
  <c r="EO18" i="11"/>
  <c r="EL27" i="11"/>
  <c r="EM27" i="11"/>
  <c r="EN27" i="11"/>
  <c r="EL34" i="11"/>
  <c r="EN34" i="11"/>
  <c r="EM34" i="11"/>
  <c r="EJ18" i="11"/>
  <c r="EM18" i="11"/>
  <c r="EN18" i="11"/>
  <c r="EL32" i="11"/>
  <c r="EM32" i="11"/>
  <c r="EN32" i="11"/>
  <c r="EL23" i="11"/>
  <c r="EM23" i="11"/>
  <c r="EN23" i="11"/>
  <c r="EL24" i="11"/>
  <c r="EN24" i="11"/>
  <c r="EM24" i="11"/>
  <c r="EJ17" i="11"/>
  <c r="EM17" i="11"/>
  <c r="EN17" i="11"/>
  <c r="EL29" i="11"/>
  <c r="EM29" i="11"/>
  <c r="EN29" i="11"/>
  <c r="EL26" i="11"/>
  <c r="EM26" i="11"/>
  <c r="EN26" i="11"/>
  <c r="EL42" i="11"/>
  <c r="EM42" i="11"/>
  <c r="EN42" i="11"/>
  <c r="EL30" i="11"/>
  <c r="EM30" i="11"/>
  <c r="EN30" i="11"/>
  <c r="EJ20" i="11"/>
  <c r="EN20" i="11"/>
  <c r="EM20" i="11"/>
  <c r="EL41" i="11"/>
  <c r="EM41" i="11"/>
  <c r="EN41" i="11"/>
  <c r="EJ16" i="11"/>
  <c r="EM16" i="11"/>
  <c r="EN16" i="11"/>
  <c r="EL21" i="11"/>
  <c r="EM21" i="11"/>
  <c r="EN21" i="11"/>
  <c r="EJ15" i="11"/>
  <c r="EM15" i="11"/>
  <c r="EN15" i="11"/>
  <c r="EL39" i="11"/>
  <c r="EM39" i="11"/>
  <c r="EN39" i="11"/>
  <c r="EL22" i="11"/>
  <c r="EM22" i="11"/>
  <c r="EN22" i="11"/>
  <c r="EL31" i="11"/>
  <c r="EM31" i="11"/>
  <c r="EN31" i="11"/>
  <c r="EL43" i="11"/>
  <c r="EM43" i="11"/>
  <c r="EN43" i="11"/>
  <c r="EL38" i="11"/>
  <c r="EM38" i="11"/>
  <c r="EN38" i="11"/>
  <c r="EJ19" i="11"/>
  <c r="EM19" i="11"/>
  <c r="EN19" i="11"/>
  <c r="EL35" i="11"/>
  <c r="EM35" i="11"/>
  <c r="EN35" i="11"/>
  <c r="EL25" i="11"/>
  <c r="EM25" i="11"/>
  <c r="EN25" i="11"/>
  <c r="EL37" i="11"/>
  <c r="EM37" i="11"/>
  <c r="EN37" i="11"/>
  <c r="EJ13" i="11"/>
  <c r="EM13" i="11"/>
  <c r="EN13" i="11"/>
  <c r="EL36" i="11"/>
  <c r="EM36" i="11"/>
  <c r="EN36" i="11"/>
  <c r="EL40" i="11"/>
  <c r="EM40" i="11"/>
  <c r="EN40" i="11"/>
  <c r="EJ14" i="11"/>
  <c r="EM14" i="11"/>
  <c r="EN14" i="11"/>
  <c r="EL33" i="11"/>
  <c r="EM33" i="11"/>
  <c r="EN33" i="11"/>
  <c r="EL28" i="11"/>
  <c r="EM28" i="11"/>
  <c r="EN28" i="11"/>
  <c r="EL17" i="11"/>
  <c r="EL15" i="11"/>
  <c r="EL16" i="11"/>
  <c r="EL14" i="11"/>
  <c r="EL18" i="11"/>
  <c r="EL19" i="11"/>
  <c r="EL20" i="11"/>
  <c r="EL13" i="11"/>
  <c r="EK33" i="11"/>
  <c r="EK26" i="11"/>
  <c r="EK42" i="11"/>
  <c r="EK21" i="11"/>
  <c r="EK41" i="11"/>
  <c r="EK40" i="11"/>
  <c r="EK39" i="11"/>
  <c r="EK43" i="11"/>
  <c r="EK38" i="11"/>
  <c r="EK29" i="11"/>
  <c r="EK35" i="11"/>
  <c r="EK30" i="11"/>
  <c r="EK28" i="11"/>
  <c r="EK37" i="11"/>
  <c r="EK36" i="11"/>
  <c r="EK31" i="11"/>
  <c r="EK22" i="11"/>
  <c r="EK23" i="11"/>
  <c r="EK25" i="11"/>
  <c r="EK27" i="11"/>
  <c r="EK34" i="11"/>
  <c r="EK32" i="11"/>
  <c r="EK24" i="11"/>
  <c r="EK14" i="11"/>
  <c r="FR16" i="11"/>
  <c r="FU15" i="11"/>
  <c r="EP17" i="11"/>
  <c r="FF16" i="11"/>
  <c r="EK16" i="11"/>
  <c r="EK18" i="11"/>
  <c r="EK19" i="11"/>
  <c r="EK17" i="11"/>
  <c r="EK15" i="11"/>
  <c r="EK13" i="11"/>
  <c r="EK20" i="11"/>
  <c r="EP20" i="11"/>
  <c r="EP18" i="11"/>
  <c r="EP19" i="11"/>
  <c r="EP16" i="11"/>
  <c r="EI33" i="11"/>
  <c r="EJ33" i="11"/>
  <c r="EJ36" i="11"/>
  <c r="EI36" i="11"/>
  <c r="EJ24" i="11"/>
  <c r="EI24" i="11"/>
  <c r="EI22" i="11"/>
  <c r="EJ22" i="11"/>
  <c r="EI38" i="11"/>
  <c r="EJ38" i="11"/>
  <c r="EI37" i="11"/>
  <c r="EJ37" i="11"/>
  <c r="EI16" i="11"/>
  <c r="EI15" i="11"/>
  <c r="EP14" i="11"/>
  <c r="EP11" i="11"/>
  <c r="EI29" i="11"/>
  <c r="EJ29" i="11"/>
  <c r="EJ28" i="11"/>
  <c r="EI28" i="11"/>
  <c r="EJ32" i="11"/>
  <c r="EI32" i="11"/>
  <c r="EI26" i="11"/>
  <c r="EJ26" i="11"/>
  <c r="EI14" i="11"/>
  <c r="EI13" i="11"/>
  <c r="EI18" i="11"/>
  <c r="DS34" i="11"/>
  <c r="DS35" i="11"/>
  <c r="EJ23" i="11"/>
  <c r="EI23" i="11"/>
  <c r="EJ27" i="11"/>
  <c r="EI27" i="11"/>
  <c r="EJ31" i="11"/>
  <c r="EI31" i="11"/>
  <c r="EJ35" i="11"/>
  <c r="EI35" i="11"/>
  <c r="EI17" i="11"/>
  <c r="EI19" i="11"/>
  <c r="EP12" i="11"/>
  <c r="EP13" i="11"/>
  <c r="EI41" i="11"/>
  <c r="EJ41" i="11"/>
  <c r="EI42" i="11"/>
  <c r="EJ42" i="11"/>
  <c r="EI30" i="11"/>
  <c r="EJ30" i="11"/>
  <c r="EI21" i="11"/>
  <c r="EJ21" i="11"/>
  <c r="EJ39" i="11"/>
  <c r="EI39" i="11"/>
  <c r="EJ43" i="11"/>
  <c r="EI43" i="11"/>
  <c r="EI25" i="11"/>
  <c r="EJ25" i="11"/>
  <c r="EJ40" i="11"/>
  <c r="EI40" i="11"/>
  <c r="EI34" i="11"/>
  <c r="EJ34" i="11"/>
  <c r="EI20" i="11"/>
  <c r="EP15" i="11"/>
  <c r="DE11" i="11"/>
  <c r="DE14" i="11"/>
  <c r="DE9" i="11"/>
  <c r="DE10" i="11"/>
  <c r="DE13" i="11"/>
  <c r="DE12" i="11"/>
  <c r="AZ7" i="11"/>
  <c r="AF7" i="11"/>
  <c r="Q7" i="11"/>
  <c r="AK7" i="11"/>
  <c r="AP7" i="11"/>
  <c r="AU8" i="11"/>
  <c r="AU9" i="11" s="1"/>
  <c r="AU10" i="11" s="1"/>
  <c r="AU11" i="11" s="1"/>
  <c r="AU12" i="11" s="1"/>
  <c r="AU13" i="11" s="1"/>
  <c r="AU14" i="11" s="1"/>
  <c r="AU15" i="11" s="1"/>
  <c r="AU16" i="11" s="1"/>
  <c r="AU17" i="11" s="1"/>
  <c r="AU18" i="11" s="1"/>
  <c r="AU19" i="11" s="1"/>
  <c r="AU20" i="11" s="1"/>
  <c r="AU21" i="11" s="1"/>
  <c r="AU22" i="11" s="1"/>
  <c r="AU23" i="11" s="1"/>
  <c r="AU24" i="11" s="1"/>
  <c r="AU25" i="11" s="1"/>
  <c r="AU26" i="11" s="1"/>
  <c r="AU27" i="11" s="1"/>
  <c r="AV7" i="11"/>
  <c r="AR8" i="11" s="1"/>
  <c r="AV8" i="11" s="1"/>
  <c r="AR9" i="11" s="1"/>
  <c r="AV9" i="11" s="1"/>
  <c r="AR10" i="11" s="1"/>
  <c r="AV10" i="11" s="1"/>
  <c r="AR11" i="11" s="1"/>
  <c r="AV11" i="11" s="1"/>
  <c r="AR12" i="11" s="1"/>
  <c r="G7" i="11"/>
  <c r="FR17" i="11" l="1"/>
  <c r="FU16" i="11"/>
  <c r="FF17" i="11"/>
  <c r="AV12" i="11"/>
  <c r="AR13" i="11" s="1"/>
  <c r="AV13" i="11" s="1"/>
  <c r="AR14" i="11" s="1"/>
  <c r="AV14" i="11" s="1"/>
  <c r="AR15" i="11" s="1"/>
  <c r="AV15" i="11" s="1"/>
  <c r="AF8" i="11"/>
  <c r="AF9" i="11" s="1"/>
  <c r="AF10" i="11" s="1"/>
  <c r="AF11" i="11" s="1"/>
  <c r="AF12" i="11" s="1"/>
  <c r="AF13" i="11" s="1"/>
  <c r="AF14" i="11" s="1"/>
  <c r="AF15" i="11" s="1"/>
  <c r="AF16" i="11" s="1"/>
  <c r="AF17" i="11" s="1"/>
  <c r="AG7" i="11"/>
  <c r="AC8" i="11" s="1"/>
  <c r="AG8" i="11" s="1"/>
  <c r="AC9" i="11" s="1"/>
  <c r="AG9" i="11" s="1"/>
  <c r="BA7" i="11"/>
  <c r="AW8" i="11" s="1"/>
  <c r="BA8" i="11" s="1"/>
  <c r="AW9" i="11" s="1"/>
  <c r="BA9" i="11" s="1"/>
  <c r="AW10" i="11" s="1"/>
  <c r="BA10" i="11" s="1"/>
  <c r="AW11" i="11" s="1"/>
  <c r="BA11" i="11" s="1"/>
  <c r="AW12" i="11" s="1"/>
  <c r="BA12" i="11" s="1"/>
  <c r="AW13" i="11" s="1"/>
  <c r="BA13" i="11" s="1"/>
  <c r="AW14" i="11" s="1"/>
  <c r="BA14" i="11" s="1"/>
  <c r="AW15" i="11" s="1"/>
  <c r="BA15" i="11" s="1"/>
  <c r="AW16" i="11" s="1"/>
  <c r="BA16" i="11" s="1"/>
  <c r="AW17" i="11" s="1"/>
  <c r="BA17" i="11" s="1"/>
  <c r="AW18" i="11" s="1"/>
  <c r="BA18" i="11" s="1"/>
  <c r="AW19" i="11" s="1"/>
  <c r="BA19" i="11" s="1"/>
  <c r="AW20" i="11" s="1"/>
  <c r="BA20" i="11" s="1"/>
  <c r="AW21" i="11" s="1"/>
  <c r="BA21" i="11" s="1"/>
  <c r="AW22" i="11" s="1"/>
  <c r="BA22" i="11" s="1"/>
  <c r="AZ8" i="11"/>
  <c r="R7" i="11"/>
  <c r="N8" i="11" s="1"/>
  <c r="R8" i="11" s="1"/>
  <c r="N9" i="11" s="1"/>
  <c r="R9" i="11" s="1"/>
  <c r="N10" i="11" s="1"/>
  <c r="R10" i="11" s="1"/>
  <c r="N11" i="11" s="1"/>
  <c r="R11" i="11" s="1"/>
  <c r="N12" i="11" s="1"/>
  <c r="R12" i="11" s="1"/>
  <c r="Q8" i="11"/>
  <c r="AK8" i="11"/>
  <c r="AQ7" i="11"/>
  <c r="AM8" i="11" s="1"/>
  <c r="AQ8" i="11" s="1"/>
  <c r="AM9" i="11" s="1"/>
  <c r="AQ9" i="11" s="1"/>
  <c r="AM10" i="11" s="1"/>
  <c r="AQ10" i="11" s="1"/>
  <c r="AM11" i="11" s="1"/>
  <c r="AQ11" i="11" s="1"/>
  <c r="AM12" i="11" s="1"/>
  <c r="AQ12" i="11" s="1"/>
  <c r="AM13" i="11" s="1"/>
  <c r="AQ13" i="11" s="1"/>
  <c r="AM14" i="11" s="1"/>
  <c r="AQ14" i="11" s="1"/>
  <c r="AM15" i="11" s="1"/>
  <c r="AQ15" i="11" s="1"/>
  <c r="AM16" i="11" s="1"/>
  <c r="AQ16" i="11" s="1"/>
  <c r="AM17" i="11" s="1"/>
  <c r="AQ17" i="11" s="1"/>
  <c r="AM18" i="11" s="1"/>
  <c r="AQ18" i="11" s="1"/>
  <c r="AM19" i="11" s="1"/>
  <c r="AQ19" i="11" s="1"/>
  <c r="AM20" i="11" s="1"/>
  <c r="AQ20" i="11" s="1"/>
  <c r="AM21" i="11" s="1"/>
  <c r="AQ21" i="11" s="1"/>
  <c r="AM22" i="11" s="1"/>
  <c r="AQ22" i="11" s="1"/>
  <c r="AL7" i="11"/>
  <c r="AH8" i="11" s="1"/>
  <c r="AL8" i="11" s="1"/>
  <c r="AH9" i="11" s="1"/>
  <c r="AL9" i="11" s="1"/>
  <c r="AH10" i="11" s="1"/>
  <c r="AL10" i="11" s="1"/>
  <c r="AH11" i="11" s="1"/>
  <c r="AL11" i="11" s="1"/>
  <c r="AH12" i="11" s="1"/>
  <c r="AL12" i="11" s="1"/>
  <c r="AH13" i="11" s="1"/>
  <c r="AL13" i="11" s="1"/>
  <c r="AH14" i="11" s="1"/>
  <c r="AL14" i="11" s="1"/>
  <c r="AH15" i="11" s="1"/>
  <c r="AL15" i="11" s="1"/>
  <c r="AH16" i="11" s="1"/>
  <c r="AL16" i="11" s="1"/>
  <c r="AH17" i="11" s="1"/>
  <c r="AL17" i="11" s="1"/>
  <c r="AH18" i="11" s="1"/>
  <c r="AL18" i="11" s="1"/>
  <c r="AH19" i="11" s="1"/>
  <c r="AL19" i="11" s="1"/>
  <c r="AH20" i="11" s="1"/>
  <c r="AL20" i="11" s="1"/>
  <c r="AH21" i="11" s="1"/>
  <c r="AL21" i="11" s="1"/>
  <c r="AH22" i="11" s="1"/>
  <c r="AL22" i="11" s="1"/>
  <c r="AP8" i="11"/>
  <c r="H7" i="11"/>
  <c r="D8" i="11" s="1"/>
  <c r="H8" i="11" s="1"/>
  <c r="D9" i="11" s="1"/>
  <c r="H9" i="11" s="1"/>
  <c r="D10" i="11" s="1"/>
  <c r="H10" i="11" s="1"/>
  <c r="D11" i="11" s="1"/>
  <c r="H11" i="11" s="1"/>
  <c r="D12" i="11" s="1"/>
  <c r="H12" i="11" s="1"/>
  <c r="G8" i="11"/>
  <c r="FR18" i="11" l="1"/>
  <c r="FU17" i="11"/>
  <c r="FF18" i="11"/>
  <c r="AR16" i="11"/>
  <c r="AV16" i="11" s="1"/>
  <c r="AC10" i="11"/>
  <c r="AG10" i="11" s="1"/>
  <c r="AC11" i="11" s="1"/>
  <c r="AG11" i="11" s="1"/>
  <c r="AC12" i="11" s="1"/>
  <c r="AG12" i="11" s="1"/>
  <c r="AC13" i="11" s="1"/>
  <c r="AG13" i="11" s="1"/>
  <c r="AC14" i="11" s="1"/>
  <c r="AG14" i="11" s="1"/>
  <c r="AC15" i="11" s="1"/>
  <c r="AK9" i="11"/>
  <c r="Q9" i="11"/>
  <c r="AZ9" i="11"/>
  <c r="AP9" i="11"/>
  <c r="G9" i="11"/>
  <c r="FR19" i="11" l="1"/>
  <c r="FU18" i="11"/>
  <c r="FF19" i="11"/>
  <c r="AR17" i="11"/>
  <c r="AV17" i="11" s="1"/>
  <c r="AG15" i="11"/>
  <c r="AC16" i="11" s="1"/>
  <c r="AG16" i="11" s="1"/>
  <c r="Q10" i="11"/>
  <c r="AK10" i="11"/>
  <c r="AZ10" i="11"/>
  <c r="AP10" i="11"/>
  <c r="G10" i="11"/>
  <c r="AO34" i="8"/>
  <c r="AL35" i="8"/>
  <c r="AI36" i="8"/>
  <c r="AF37" i="8"/>
  <c r="AC38" i="8"/>
  <c r="AP34" i="8"/>
  <c r="AM35" i="8"/>
  <c r="AJ36" i="8"/>
  <c r="AG37" i="8"/>
  <c r="AD38" i="8"/>
  <c r="FR20" i="11" l="1"/>
  <c r="FU19" i="11"/>
  <c r="FF20" i="11"/>
  <c r="AR18" i="11"/>
  <c r="AV18" i="11" s="1"/>
  <c r="Q11" i="11"/>
  <c r="Q12" i="11" s="1"/>
  <c r="AC17" i="11"/>
  <c r="AG17" i="11" s="1"/>
  <c r="AK11" i="11"/>
  <c r="AK12" i="11" s="1"/>
  <c r="AZ11" i="11"/>
  <c r="AP11" i="11"/>
  <c r="G11" i="11"/>
  <c r="AR20" i="8"/>
  <c r="A2" i="9"/>
  <c r="Q50" i="9"/>
  <c r="N50" i="9"/>
  <c r="K50" i="9"/>
  <c r="Q49" i="9"/>
  <c r="N49" i="9"/>
  <c r="K49" i="9"/>
  <c r="Q48" i="9"/>
  <c r="N48" i="9"/>
  <c r="K48" i="9"/>
  <c r="Q47" i="9"/>
  <c r="N47" i="9"/>
  <c r="K47" i="9"/>
  <c r="Q46" i="9"/>
  <c r="N46" i="9"/>
  <c r="K46" i="9"/>
  <c r="Q45" i="9"/>
  <c r="N45" i="9"/>
  <c r="K45" i="9"/>
  <c r="Q44" i="9"/>
  <c r="N44" i="9"/>
  <c r="K44" i="9"/>
  <c r="Q43" i="9"/>
  <c r="N43" i="9"/>
  <c r="K43" i="9"/>
  <c r="Q42" i="9"/>
  <c r="N42" i="9"/>
  <c r="K42" i="9"/>
  <c r="Q41" i="9"/>
  <c r="N41" i="9"/>
  <c r="K41" i="9"/>
  <c r="Q40" i="9"/>
  <c r="N40" i="9"/>
  <c r="K40" i="9"/>
  <c r="Q39" i="9"/>
  <c r="N39" i="9"/>
  <c r="K39" i="9"/>
  <c r="Q38" i="9"/>
  <c r="N38" i="9"/>
  <c r="K38" i="9"/>
  <c r="Q37" i="9"/>
  <c r="N37" i="9"/>
  <c r="K37" i="9"/>
  <c r="Q36" i="9"/>
  <c r="N36" i="9"/>
  <c r="K36" i="9"/>
  <c r="Q35" i="9"/>
  <c r="N35" i="9"/>
  <c r="K35" i="9"/>
  <c r="Q34" i="9"/>
  <c r="N34" i="9"/>
  <c r="K34" i="9"/>
  <c r="Q33" i="9"/>
  <c r="N33" i="9"/>
  <c r="K33" i="9"/>
  <c r="Q32" i="9"/>
  <c r="N32" i="9"/>
  <c r="K32" i="9"/>
  <c r="Q31" i="9"/>
  <c r="N31" i="9"/>
  <c r="K31" i="9"/>
  <c r="Q30" i="9"/>
  <c r="N30" i="9"/>
  <c r="K30" i="9"/>
  <c r="Q29" i="9"/>
  <c r="N29" i="9"/>
  <c r="K29" i="9"/>
  <c r="Q28" i="9"/>
  <c r="N28" i="9"/>
  <c r="K28" i="9"/>
  <c r="Q27" i="9"/>
  <c r="N27" i="9"/>
  <c r="K27" i="9"/>
  <c r="Q26" i="9"/>
  <c r="N26" i="9"/>
  <c r="K26" i="9"/>
  <c r="Q25" i="9"/>
  <c r="N25" i="9"/>
  <c r="K25" i="9"/>
  <c r="Q24" i="9"/>
  <c r="N24" i="9"/>
  <c r="K24" i="9"/>
  <c r="Q23" i="9"/>
  <c r="N23" i="9"/>
  <c r="K23" i="9"/>
  <c r="FR21" i="11" l="1"/>
  <c r="FU20" i="11"/>
  <c r="FF21" i="11"/>
  <c r="AR19" i="11"/>
  <c r="AV19" i="11" s="1"/>
  <c r="AZ12" i="11"/>
  <c r="AK13" i="11"/>
  <c r="AP12" i="11"/>
  <c r="G12" i="11"/>
  <c r="O48" i="9"/>
  <c r="L38" i="9"/>
  <c r="O27" i="9"/>
  <c r="H10" i="9"/>
  <c r="R32" i="9"/>
  <c r="O43" i="9"/>
  <c r="R48" i="9"/>
  <c r="R24" i="9"/>
  <c r="L30" i="9"/>
  <c r="L46" i="9"/>
  <c r="O35" i="9"/>
  <c r="R40" i="9"/>
  <c r="L25" i="9"/>
  <c r="R27" i="9"/>
  <c r="O30" i="9"/>
  <c r="L33" i="9"/>
  <c r="R35" i="9"/>
  <c r="O38" i="9"/>
  <c r="L41" i="9"/>
  <c r="R43" i="9"/>
  <c r="O46" i="9"/>
  <c r="L49" i="9"/>
  <c r="O25" i="9"/>
  <c r="L28" i="9"/>
  <c r="R30" i="9"/>
  <c r="O33" i="9"/>
  <c r="L36" i="9"/>
  <c r="R38" i="9"/>
  <c r="O41" i="9"/>
  <c r="L44" i="9"/>
  <c r="R46" i="9"/>
  <c r="O49" i="9"/>
  <c r="L23" i="9"/>
  <c r="R25" i="9"/>
  <c r="O28" i="9"/>
  <c r="L31" i="9"/>
  <c r="R33" i="9"/>
  <c r="O36" i="9"/>
  <c r="L39" i="9"/>
  <c r="R41" i="9"/>
  <c r="O44" i="9"/>
  <c r="L47" i="9"/>
  <c r="R49" i="9"/>
  <c r="O23" i="9"/>
  <c r="L26" i="9"/>
  <c r="R28" i="9"/>
  <c r="O31" i="9"/>
  <c r="L34" i="9"/>
  <c r="R36" i="9"/>
  <c r="O39" i="9"/>
  <c r="L42" i="9"/>
  <c r="R44" i="9"/>
  <c r="O47" i="9"/>
  <c r="L50" i="9"/>
  <c r="R23" i="9"/>
  <c r="O26" i="9"/>
  <c r="L29" i="9"/>
  <c r="R31" i="9"/>
  <c r="O34" i="9"/>
  <c r="L37" i="9"/>
  <c r="R39" i="9"/>
  <c r="O42" i="9"/>
  <c r="L45" i="9"/>
  <c r="R47" i="9"/>
  <c r="O50" i="9"/>
  <c r="L24" i="9"/>
  <c r="R26" i="9"/>
  <c r="O29" i="9"/>
  <c r="L32" i="9"/>
  <c r="R34" i="9"/>
  <c r="O37" i="9"/>
  <c r="L40" i="9"/>
  <c r="R42" i="9"/>
  <c r="O45" i="9"/>
  <c r="L48" i="9"/>
  <c r="R50" i="9"/>
  <c r="O24" i="9"/>
  <c r="L27" i="9"/>
  <c r="R29" i="9"/>
  <c r="O32" i="9"/>
  <c r="L35" i="9"/>
  <c r="R37" i="9"/>
  <c r="O40" i="9"/>
  <c r="L43" i="9"/>
  <c r="R45" i="9"/>
  <c r="FR22" i="11" l="1"/>
  <c r="FU21" i="11"/>
  <c r="FF22" i="11"/>
  <c r="AR20" i="11"/>
  <c r="AV20" i="11" s="1"/>
  <c r="AK14" i="11"/>
  <c r="AZ13" i="11"/>
  <c r="AP13" i="11"/>
  <c r="AP14" i="11" s="1"/>
  <c r="AP15" i="11" s="1"/>
  <c r="AP16" i="11" s="1"/>
  <c r="AP17" i="11" s="1"/>
  <c r="AP18" i="11" s="1"/>
  <c r="AP19" i="11" s="1"/>
  <c r="AP20" i="11" s="1"/>
  <c r="AP21" i="11" s="1"/>
  <c r="AP22" i="11" s="1"/>
  <c r="O52" i="9"/>
  <c r="L52" i="9"/>
  <c r="R52" i="9"/>
  <c r="FR23" i="11" l="1"/>
  <c r="FU22" i="11"/>
  <c r="FF23" i="11"/>
  <c r="AR21" i="11"/>
  <c r="AK15" i="11"/>
  <c r="AZ14" i="11"/>
  <c r="A3" i="8"/>
  <c r="B5" i="8" s="1"/>
  <c r="D42" i="8"/>
  <c r="K3" i="8"/>
  <c r="J3" i="8"/>
  <c r="C3" i="8"/>
  <c r="C4" i="8" s="1"/>
  <c r="FR24" i="11" l="1"/>
  <c r="FU23" i="11"/>
  <c r="FF24" i="11"/>
  <c r="AV21" i="11"/>
  <c r="AR22" i="11" s="1"/>
  <c r="AV22" i="11" s="1"/>
  <c r="AR23" i="11" s="1"/>
  <c r="AV23" i="11" s="1"/>
  <c r="AK16" i="11"/>
  <c r="AZ15" i="11"/>
  <c r="F48" i="8"/>
  <c r="B3" i="8"/>
  <c r="J4" i="8"/>
  <c r="J5" i="8" s="1"/>
  <c r="D44" i="8"/>
  <c r="K4" i="8"/>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K33" i="8" s="1"/>
  <c r="K34" i="8" s="1"/>
  <c r="K35" i="8" s="1"/>
  <c r="K36" i="8" s="1"/>
  <c r="K37" i="8" s="1"/>
  <c r="K38" i="8" s="1"/>
  <c r="K39" i="8" s="1"/>
  <c r="K40" i="8" s="1"/>
  <c r="K41" i="8" s="1"/>
  <c r="K42" i="8" s="1"/>
  <c r="F44" i="8"/>
  <c r="C5" i="8"/>
  <c r="I4" i="8"/>
  <c r="L3" i="8"/>
  <c r="I3" i="8"/>
  <c r="E44" i="8"/>
  <c r="FR25" i="11" l="1"/>
  <c r="FU24" i="11"/>
  <c r="FF25" i="11"/>
  <c r="AR24" i="11"/>
  <c r="AK17" i="11"/>
  <c r="AZ16" i="11"/>
  <c r="L4" i="8"/>
  <c r="H44" i="8"/>
  <c r="J6" i="8"/>
  <c r="L5" i="8"/>
  <c r="C6" i="8"/>
  <c r="I5" i="8"/>
  <c r="FR26" i="11" l="1"/>
  <c r="FF26" i="11"/>
  <c r="AV24" i="11"/>
  <c r="AR25" i="11" s="1"/>
  <c r="AV25" i="11" s="1"/>
  <c r="AR26" i="11" s="1"/>
  <c r="AV26" i="11" s="1"/>
  <c r="AR27" i="11" s="1"/>
  <c r="AV27" i="11" s="1"/>
  <c r="AR28" i="11" s="1"/>
  <c r="AK18" i="11"/>
  <c r="AZ17" i="11"/>
  <c r="C7" i="8"/>
  <c r="I6" i="8"/>
  <c r="L6" i="8"/>
  <c r="J7" i="8"/>
  <c r="FR27" i="11" l="1"/>
  <c r="FR28" i="11" s="1"/>
  <c r="FF27" i="11"/>
  <c r="AK19" i="11"/>
  <c r="AZ18" i="11"/>
  <c r="J8" i="8"/>
  <c r="L7" i="8"/>
  <c r="C8" i="8"/>
  <c r="I7" i="8"/>
  <c r="FR29" i="11" l="1"/>
  <c r="FU28" i="11"/>
  <c r="FF28" i="11"/>
  <c r="AK20" i="11"/>
  <c r="AZ19" i="11"/>
  <c r="C9" i="8"/>
  <c r="I8" i="8"/>
  <c r="L8" i="8"/>
  <c r="J9" i="8"/>
  <c r="FR30" i="11" l="1"/>
  <c r="FU29" i="11"/>
  <c r="FF29" i="11"/>
  <c r="AK21" i="11"/>
  <c r="AZ20" i="11"/>
  <c r="J10" i="8"/>
  <c r="L9" i="8"/>
  <c r="C10" i="8"/>
  <c r="I9" i="8"/>
  <c r="FR31" i="11" l="1"/>
  <c r="FU30" i="11"/>
  <c r="FF30" i="11"/>
  <c r="AK22" i="11"/>
  <c r="AZ21" i="11"/>
  <c r="C11" i="8"/>
  <c r="I10" i="8"/>
  <c r="J11" i="8"/>
  <c r="L10" i="8"/>
  <c r="FR32" i="11" l="1"/>
  <c r="FU31" i="11"/>
  <c r="FF31" i="11"/>
  <c r="AZ22" i="11"/>
  <c r="J12" i="8"/>
  <c r="L11" i="8"/>
  <c r="C12" i="8"/>
  <c r="I11" i="8"/>
  <c r="FR33" i="11" l="1"/>
  <c r="FU32" i="11"/>
  <c r="FF32" i="11"/>
  <c r="C13" i="8"/>
  <c r="I12" i="8"/>
  <c r="L12" i="8"/>
  <c r="J13" i="8"/>
  <c r="FR34" i="11" l="1"/>
  <c r="FU33" i="11"/>
  <c r="FF33" i="11"/>
  <c r="FF34" i="11" s="1"/>
  <c r="J14" i="8"/>
  <c r="L13" i="8"/>
  <c r="C14" i="8"/>
  <c r="I13" i="8"/>
  <c r="FU34" i="11" l="1"/>
  <c r="FR35" i="11"/>
  <c r="FF35" i="11"/>
  <c r="C15" i="8"/>
  <c r="I14" i="8"/>
  <c r="L14" i="8"/>
  <c r="J15" i="8"/>
  <c r="FU35" i="11" l="1"/>
  <c r="FR36" i="11"/>
  <c r="FF36" i="11"/>
  <c r="J16" i="8"/>
  <c r="L15" i="8"/>
  <c r="C16" i="8"/>
  <c r="I15" i="8"/>
  <c r="FU36" i="11" l="1"/>
  <c r="FR37" i="11"/>
  <c r="FF37" i="11"/>
  <c r="C17" i="8"/>
  <c r="I16" i="8"/>
  <c r="L16" i="8"/>
  <c r="J17" i="8"/>
  <c r="FU37" i="11" l="1"/>
  <c r="FR38" i="11"/>
  <c r="FF38" i="11"/>
  <c r="J18" i="8"/>
  <c r="L17" i="8"/>
  <c r="C18" i="8"/>
  <c r="I17" i="8"/>
  <c r="FU38" i="11" l="1"/>
  <c r="FR39" i="11"/>
  <c r="FF39" i="11"/>
  <c r="C19" i="8"/>
  <c r="I18" i="8"/>
  <c r="L18" i="8"/>
  <c r="J19" i="8"/>
  <c r="FU39" i="11" l="1"/>
  <c r="FR40" i="11"/>
  <c r="FF40" i="11"/>
  <c r="J20" i="8"/>
  <c r="L19" i="8"/>
  <c r="C20" i="8"/>
  <c r="I19" i="8"/>
  <c r="FU40" i="11" l="1"/>
  <c r="FR41" i="11"/>
  <c r="FF41" i="11"/>
  <c r="I20" i="8"/>
  <c r="C21" i="8"/>
  <c r="J21" i="8"/>
  <c r="L20" i="8"/>
  <c r="FR42" i="11" l="1"/>
  <c r="FF42" i="11"/>
  <c r="I21" i="8"/>
  <c r="C22" i="8"/>
  <c r="L21" i="8"/>
  <c r="J22" i="8"/>
  <c r="FR43" i="11" l="1"/>
  <c r="FF43" i="11"/>
  <c r="C23" i="8"/>
  <c r="I22" i="8"/>
  <c r="L22" i="8"/>
  <c r="J23" i="8"/>
  <c r="FR44" i="11" l="1"/>
  <c r="FF44" i="11"/>
  <c r="J24" i="8"/>
  <c r="L23" i="8"/>
  <c r="C24" i="8"/>
  <c r="I23" i="8"/>
  <c r="FR45" i="11" l="1"/>
  <c r="FF45" i="11"/>
  <c r="I24" i="8"/>
  <c r="C25" i="8"/>
  <c r="J25" i="8"/>
  <c r="L24" i="8"/>
  <c r="FU45" i="11" l="1"/>
  <c r="FR46" i="11"/>
  <c r="FF46" i="11"/>
  <c r="I25" i="8"/>
  <c r="C26" i="8"/>
  <c r="L25" i="8"/>
  <c r="J26" i="8"/>
  <c r="FR47" i="11" l="1"/>
  <c r="FF47" i="11"/>
  <c r="FI46" i="11"/>
  <c r="L26" i="8"/>
  <c r="J27" i="8"/>
  <c r="C27" i="8"/>
  <c r="I26" i="8"/>
  <c r="FU47" i="11" l="1"/>
  <c r="FR48" i="11"/>
  <c r="FF48" i="11"/>
  <c r="FI47" i="11"/>
  <c r="J28" i="8"/>
  <c r="L27" i="8"/>
  <c r="C28" i="8"/>
  <c r="I27" i="8"/>
  <c r="FU48" i="11" l="1"/>
  <c r="FR49" i="11"/>
  <c r="FF49" i="11"/>
  <c r="FI48" i="11"/>
  <c r="I28" i="8"/>
  <c r="C29" i="8"/>
  <c r="J29" i="8"/>
  <c r="L28" i="8"/>
  <c r="FU49" i="11" l="1"/>
  <c r="FR50" i="11"/>
  <c r="FF50" i="11"/>
  <c r="FI49" i="11"/>
  <c r="L29" i="8"/>
  <c r="J30" i="8"/>
  <c r="I29" i="8"/>
  <c r="C30" i="8"/>
  <c r="FU50" i="11" l="1"/>
  <c r="FR51" i="11"/>
  <c r="FF51" i="11"/>
  <c r="FI50" i="11"/>
  <c r="C31" i="8"/>
  <c r="I30" i="8"/>
  <c r="L30" i="8"/>
  <c r="J31" i="8"/>
  <c r="FU51" i="11" l="1"/>
  <c r="FR52" i="11"/>
  <c r="FF52" i="11"/>
  <c r="J32" i="8"/>
  <c r="L31" i="8"/>
  <c r="C32" i="8"/>
  <c r="I31" i="8"/>
  <c r="FU52" i="11" l="1"/>
  <c r="FR53" i="11"/>
  <c r="FF53" i="11"/>
  <c r="I32" i="8"/>
  <c r="C33" i="8"/>
  <c r="J33" i="8"/>
  <c r="L32" i="8"/>
  <c r="FU53" i="11" l="1"/>
  <c r="FR54" i="11"/>
  <c r="FU54" i="11" s="1"/>
  <c r="FF54" i="11"/>
  <c r="FI54" i="11" s="1"/>
  <c r="I33" i="8"/>
  <c r="C34" i="8"/>
  <c r="L33" i="8"/>
  <c r="J34" i="8"/>
  <c r="L34" i="8" l="1"/>
  <c r="J35" i="8"/>
  <c r="C35" i="8"/>
  <c r="I34" i="8"/>
  <c r="J36" i="8" l="1"/>
  <c r="L35" i="8"/>
  <c r="C36" i="8"/>
  <c r="I35" i="8"/>
  <c r="I36" i="8" l="1"/>
  <c r="C37" i="8"/>
  <c r="J37" i="8"/>
  <c r="L36" i="8"/>
  <c r="I37" i="8" l="1"/>
  <c r="C38" i="8"/>
  <c r="J38" i="8"/>
  <c r="L37" i="8"/>
  <c r="C39" i="8" l="1"/>
  <c r="I38" i="8"/>
  <c r="L38" i="8"/>
  <c r="J39" i="8"/>
  <c r="J40" i="8" l="1"/>
  <c r="L39" i="8"/>
  <c r="C40" i="8"/>
  <c r="I39" i="8"/>
  <c r="I40" i="8" l="1"/>
  <c r="C41" i="8"/>
  <c r="J41" i="8"/>
  <c r="L40" i="8"/>
  <c r="I41" i="8" l="1"/>
  <c r="C42" i="8"/>
  <c r="I42" i="8" s="1"/>
  <c r="L41" i="8"/>
  <c r="J42" i="8"/>
  <c r="L42" i="8" s="1"/>
  <c r="C2" i="6" l="1"/>
  <c r="C3" i="6" s="1"/>
  <c r="C4" i="6" s="1"/>
  <c r="C5" i="6" s="1"/>
  <c r="C6" i="6" s="1"/>
  <c r="C7" i="6" s="1"/>
  <c r="C8" i="6" s="1"/>
  <c r="C9" i="6" s="1"/>
  <c r="C10" i="6" s="1"/>
  <c r="C11" i="6" s="1"/>
  <c r="C12" i="6" s="1"/>
  <c r="C13" i="6" s="1"/>
  <c r="C14" i="6" s="1"/>
  <c r="C15" i="6" s="1"/>
  <c r="C16" i="6" s="1"/>
  <c r="C17" i="6" s="1"/>
  <c r="C18" i="6" s="1"/>
  <c r="C19" i="6" s="1"/>
  <c r="C20" i="6" s="1"/>
  <c r="C21" i="6" s="1"/>
  <c r="C22" i="6" s="1"/>
  <c r="C23" i="6" s="1"/>
  <c r="C24" i="6" s="1"/>
  <c r="C25" i="6" s="1"/>
  <c r="C26" i="6" s="1"/>
  <c r="C27" i="6" s="1"/>
  <c r="C28" i="6" s="1"/>
  <c r="C29" i="6" s="1"/>
  <c r="C30" i="6" s="1"/>
  <c r="C31" i="6" s="1"/>
  <c r="C32" i="6" s="1"/>
  <c r="C33" i="6" s="1"/>
  <c r="C34" i="6" s="1"/>
  <c r="C35" i="6" s="1"/>
  <c r="C36" i="6" s="1"/>
  <c r="C37" i="6" s="1"/>
  <c r="C38" i="6" s="1"/>
  <c r="C39" i="6" s="1"/>
  <c r="C40" i="6" s="1"/>
  <c r="C41" i="6" s="1"/>
  <c r="A2" i="6"/>
  <c r="D26" i="6" s="1"/>
  <c r="N40" i="1"/>
  <c r="B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 i="5"/>
  <c r="A21" i="1"/>
  <c r="N22" i="1"/>
  <c r="N19" i="1"/>
  <c r="N34" i="1"/>
  <c r="N37" i="1"/>
  <c r="F32" i="6" l="1"/>
  <c r="F22" i="6"/>
  <c r="D6" i="6"/>
  <c r="D37" i="6"/>
  <c r="F10" i="6"/>
  <c r="F11" i="6"/>
  <c r="D39" i="6"/>
  <c r="C21" i="1"/>
  <c r="H19" i="2" s="1"/>
  <c r="D4" i="6"/>
  <c r="F28" i="6"/>
  <c r="F29" i="6"/>
  <c r="D34" i="6"/>
  <c r="F25" i="6"/>
  <c r="D19" i="6"/>
  <c r="F2" i="6"/>
  <c r="F4" i="6"/>
  <c r="F36" i="6"/>
  <c r="F16" i="6"/>
  <c r="D10" i="6"/>
  <c r="C21" i="5"/>
  <c r="H21" i="5" s="1"/>
  <c r="G21" i="5" s="1"/>
  <c r="F21" i="5" s="1"/>
  <c r="E21" i="5" s="1"/>
  <c r="D21" i="5" s="1"/>
  <c r="F20" i="6"/>
  <c r="F19" i="6"/>
  <c r="C121" i="5"/>
  <c r="H121" i="5" s="1"/>
  <c r="G121" i="5" s="1"/>
  <c r="F121" i="5" s="1"/>
  <c r="E121" i="5" s="1"/>
  <c r="D121" i="5" s="1"/>
  <c r="C114" i="5"/>
  <c r="H114" i="5" s="1"/>
  <c r="G114" i="5" s="1"/>
  <c r="F114" i="5" s="1"/>
  <c r="E114" i="5" s="1"/>
  <c r="D114" i="5" s="1"/>
  <c r="C155" i="5"/>
  <c r="H155" i="5" s="1"/>
  <c r="G155" i="5" s="1"/>
  <c r="F155" i="5" s="1"/>
  <c r="E155" i="5" s="1"/>
  <c r="D155" i="5" s="1"/>
  <c r="C109" i="5"/>
  <c r="H109" i="5" s="1"/>
  <c r="G109" i="5" s="1"/>
  <c r="F109" i="5" s="1"/>
  <c r="E109" i="5" s="1"/>
  <c r="D109" i="5" s="1"/>
  <c r="C147" i="5"/>
  <c r="H147" i="5" s="1"/>
  <c r="G147" i="5" s="1"/>
  <c r="F147" i="5" s="1"/>
  <c r="E147" i="5" s="1"/>
  <c r="D147" i="5" s="1"/>
  <c r="C151" i="5"/>
  <c r="H151" i="5" s="1"/>
  <c r="G151" i="5" s="1"/>
  <c r="F151" i="5" s="1"/>
  <c r="E151" i="5" s="1"/>
  <c r="D151" i="5" s="1"/>
  <c r="C25" i="5"/>
  <c r="H25" i="5" s="1"/>
  <c r="G25" i="5" s="1"/>
  <c r="F25" i="5" s="1"/>
  <c r="E25" i="5" s="1"/>
  <c r="D25" i="5" s="1"/>
  <c r="C15" i="5"/>
  <c r="H15" i="5" s="1"/>
  <c r="G15" i="5" s="1"/>
  <c r="F15" i="5" s="1"/>
  <c r="E15" i="5" s="1"/>
  <c r="D15" i="5" s="1"/>
  <c r="C146" i="5"/>
  <c r="H146" i="5" s="1"/>
  <c r="G146" i="5" s="1"/>
  <c r="F146" i="5" s="1"/>
  <c r="E146" i="5" s="1"/>
  <c r="D146" i="5" s="1"/>
  <c r="C120" i="5"/>
  <c r="H120" i="5" s="1"/>
  <c r="G120" i="5" s="1"/>
  <c r="F120" i="5" s="1"/>
  <c r="E120" i="5" s="1"/>
  <c r="D120" i="5" s="1"/>
  <c r="C40" i="5"/>
  <c r="H40" i="5" s="1"/>
  <c r="G40" i="5" s="1"/>
  <c r="F40" i="5" s="1"/>
  <c r="E40" i="5" s="1"/>
  <c r="D40" i="5" s="1"/>
  <c r="C141" i="5"/>
  <c r="H141" i="5" s="1"/>
  <c r="G141" i="5" s="1"/>
  <c r="F141" i="5" s="1"/>
  <c r="E141" i="5" s="1"/>
  <c r="D141" i="5" s="1"/>
  <c r="C58" i="5"/>
  <c r="H58" i="5" s="1"/>
  <c r="G58" i="5" s="1"/>
  <c r="F58" i="5" s="1"/>
  <c r="E58" i="5" s="1"/>
  <c r="D58" i="5" s="1"/>
  <c r="C31" i="5"/>
  <c r="H31" i="5" s="1"/>
  <c r="G31" i="5" s="1"/>
  <c r="F31" i="5" s="1"/>
  <c r="E31" i="5" s="1"/>
  <c r="D31" i="5" s="1"/>
  <c r="C26" i="5"/>
  <c r="H26" i="5" s="1"/>
  <c r="G26" i="5" s="1"/>
  <c r="F26" i="5" s="1"/>
  <c r="E26" i="5" s="1"/>
  <c r="D26" i="5" s="1"/>
  <c r="C57" i="5"/>
  <c r="H57" i="5" s="1"/>
  <c r="G57" i="5" s="1"/>
  <c r="F57" i="5" s="1"/>
  <c r="E57" i="5" s="1"/>
  <c r="D57" i="5" s="1"/>
  <c r="C94" i="5"/>
  <c r="H94" i="5" s="1"/>
  <c r="G94" i="5" s="1"/>
  <c r="F94" i="5" s="1"/>
  <c r="E94" i="5" s="1"/>
  <c r="D94" i="5" s="1"/>
  <c r="C18" i="5"/>
  <c r="H18" i="5" s="1"/>
  <c r="G18" i="5" s="1"/>
  <c r="F18" i="5" s="1"/>
  <c r="E18" i="5" s="1"/>
  <c r="D18" i="5" s="1"/>
  <c r="C45" i="5"/>
  <c r="H45" i="5" s="1"/>
  <c r="G45" i="5" s="1"/>
  <c r="F45" i="5" s="1"/>
  <c r="E45" i="5" s="1"/>
  <c r="D45" i="5" s="1"/>
  <c r="C53" i="5"/>
  <c r="H53" i="5" s="1"/>
  <c r="G53" i="5" s="1"/>
  <c r="F53" i="5" s="1"/>
  <c r="E53" i="5" s="1"/>
  <c r="D53" i="5" s="1"/>
  <c r="C153" i="5"/>
  <c r="H153" i="5" s="1"/>
  <c r="G153" i="5" s="1"/>
  <c r="F153" i="5" s="1"/>
  <c r="E153" i="5" s="1"/>
  <c r="D153" i="5" s="1"/>
  <c r="C158" i="5"/>
  <c r="H158" i="5" s="1"/>
  <c r="G158" i="5" s="1"/>
  <c r="F158" i="5" s="1"/>
  <c r="E158" i="5" s="1"/>
  <c r="D158" i="5" s="1"/>
  <c r="C39" i="5"/>
  <c r="H39" i="5" s="1"/>
  <c r="G39" i="5" s="1"/>
  <c r="F39" i="5" s="1"/>
  <c r="E39" i="5" s="1"/>
  <c r="D39" i="5" s="1"/>
  <c r="C124" i="5"/>
  <c r="H124" i="5" s="1"/>
  <c r="G124" i="5" s="1"/>
  <c r="F124" i="5" s="1"/>
  <c r="E124" i="5" s="1"/>
  <c r="D124" i="5" s="1"/>
  <c r="C117" i="5"/>
  <c r="H117" i="5" s="1"/>
  <c r="G117" i="5" s="1"/>
  <c r="F117" i="5" s="1"/>
  <c r="E117" i="5" s="1"/>
  <c r="D117" i="5" s="1"/>
  <c r="C126" i="5"/>
  <c r="H126" i="5" s="1"/>
  <c r="G126" i="5" s="1"/>
  <c r="F126" i="5" s="1"/>
  <c r="E126" i="5" s="1"/>
  <c r="D126" i="5" s="1"/>
  <c r="C27" i="5"/>
  <c r="H27" i="5" s="1"/>
  <c r="G27" i="5" s="1"/>
  <c r="F27" i="5" s="1"/>
  <c r="E27" i="5" s="1"/>
  <c r="D27" i="5" s="1"/>
  <c r="C62" i="5"/>
  <c r="H62" i="5" s="1"/>
  <c r="G62" i="5" s="1"/>
  <c r="F62" i="5" s="1"/>
  <c r="E62" i="5" s="1"/>
  <c r="D62" i="5" s="1"/>
  <c r="C36" i="5"/>
  <c r="H36" i="5" s="1"/>
  <c r="G36" i="5" s="1"/>
  <c r="F36" i="5" s="1"/>
  <c r="E36" i="5" s="1"/>
  <c r="D36" i="5" s="1"/>
  <c r="C48" i="5"/>
  <c r="H48" i="5" s="1"/>
  <c r="G48" i="5" s="1"/>
  <c r="F48" i="5" s="1"/>
  <c r="E48" i="5" s="1"/>
  <c r="D48" i="5" s="1"/>
  <c r="C50" i="5"/>
  <c r="H50" i="5" s="1"/>
  <c r="G50" i="5" s="1"/>
  <c r="F50" i="5" s="1"/>
  <c r="E50" i="5" s="1"/>
  <c r="D50" i="5" s="1"/>
  <c r="C149" i="5"/>
  <c r="H149" i="5" s="1"/>
  <c r="G149" i="5" s="1"/>
  <c r="F149" i="5" s="1"/>
  <c r="E149" i="5" s="1"/>
  <c r="D149" i="5" s="1"/>
  <c r="C79" i="5"/>
  <c r="H79" i="5" s="1"/>
  <c r="G79" i="5" s="1"/>
  <c r="F79" i="5" s="1"/>
  <c r="E79" i="5" s="1"/>
  <c r="D79" i="5" s="1"/>
  <c r="C77" i="5"/>
  <c r="H77" i="5" s="1"/>
  <c r="G77" i="5" s="1"/>
  <c r="F77" i="5" s="1"/>
  <c r="E77" i="5" s="1"/>
  <c r="D77" i="5" s="1"/>
  <c r="C43" i="5"/>
  <c r="H43" i="5" s="1"/>
  <c r="G43" i="5" s="1"/>
  <c r="F43" i="5" s="1"/>
  <c r="E43" i="5" s="1"/>
  <c r="D43" i="5" s="1"/>
  <c r="C60" i="5"/>
  <c r="H60" i="5" s="1"/>
  <c r="G60" i="5" s="1"/>
  <c r="F60" i="5" s="1"/>
  <c r="E60" i="5" s="1"/>
  <c r="D60" i="5" s="1"/>
  <c r="C96" i="5"/>
  <c r="H96" i="5" s="1"/>
  <c r="G96" i="5" s="1"/>
  <c r="F96" i="5" s="1"/>
  <c r="E96" i="5" s="1"/>
  <c r="D96" i="5" s="1"/>
  <c r="C115" i="5"/>
  <c r="H115" i="5" s="1"/>
  <c r="G115" i="5" s="1"/>
  <c r="F115" i="5" s="1"/>
  <c r="E115" i="5" s="1"/>
  <c r="D115" i="5" s="1"/>
  <c r="C122" i="5"/>
  <c r="H122" i="5" s="1"/>
  <c r="G122" i="5" s="1"/>
  <c r="F122" i="5" s="1"/>
  <c r="E122" i="5" s="1"/>
  <c r="D122" i="5" s="1"/>
  <c r="C85" i="5"/>
  <c r="H85" i="5" s="1"/>
  <c r="G85" i="5" s="1"/>
  <c r="F85" i="5" s="1"/>
  <c r="E85" i="5" s="1"/>
  <c r="D85" i="5" s="1"/>
  <c r="C51" i="5"/>
  <c r="H51" i="5" s="1"/>
  <c r="G51" i="5" s="1"/>
  <c r="F51" i="5" s="1"/>
  <c r="E51" i="5" s="1"/>
  <c r="D51" i="5" s="1"/>
  <c r="C100" i="5"/>
  <c r="H100" i="5" s="1"/>
  <c r="G100" i="5" s="1"/>
  <c r="F100" i="5" s="1"/>
  <c r="E100" i="5" s="1"/>
  <c r="D100" i="5" s="1"/>
  <c r="C80" i="5"/>
  <c r="H80" i="5" s="1"/>
  <c r="G80" i="5" s="1"/>
  <c r="F80" i="5" s="1"/>
  <c r="E80" i="5" s="1"/>
  <c r="D80" i="5" s="1"/>
  <c r="C30" i="5"/>
  <c r="H30" i="5" s="1"/>
  <c r="G30" i="5" s="1"/>
  <c r="F30" i="5" s="1"/>
  <c r="E30" i="5" s="1"/>
  <c r="D30" i="5" s="1"/>
  <c r="C95" i="5"/>
  <c r="H95" i="5" s="1"/>
  <c r="G95" i="5" s="1"/>
  <c r="F95" i="5" s="1"/>
  <c r="E95" i="5" s="1"/>
  <c r="D95" i="5" s="1"/>
  <c r="C103" i="5"/>
  <c r="H103" i="5" s="1"/>
  <c r="G103" i="5" s="1"/>
  <c r="F103" i="5" s="1"/>
  <c r="E103" i="5" s="1"/>
  <c r="D103" i="5" s="1"/>
  <c r="C89" i="5"/>
  <c r="H89" i="5" s="1"/>
  <c r="G89" i="5" s="1"/>
  <c r="F89" i="5" s="1"/>
  <c r="E89" i="5" s="1"/>
  <c r="D89" i="5" s="1"/>
  <c r="C91" i="5"/>
  <c r="H91" i="5" s="1"/>
  <c r="G91" i="5" s="1"/>
  <c r="F91" i="5" s="1"/>
  <c r="E91" i="5" s="1"/>
  <c r="D91" i="5" s="1"/>
  <c r="C82" i="5"/>
  <c r="H82" i="5" s="1"/>
  <c r="G82" i="5" s="1"/>
  <c r="F82" i="5" s="1"/>
  <c r="E82" i="5" s="1"/>
  <c r="D82" i="5" s="1"/>
  <c r="C1" i="5"/>
  <c r="H1" i="5" s="1"/>
  <c r="G1" i="5" s="1"/>
  <c r="F1" i="5" s="1"/>
  <c r="E1" i="5" s="1"/>
  <c r="D1" i="5" s="1"/>
  <c r="C13" i="5"/>
  <c r="H13" i="5" s="1"/>
  <c r="G13" i="5" s="1"/>
  <c r="F13" i="5" s="1"/>
  <c r="E13" i="5" s="1"/>
  <c r="D13" i="5" s="1"/>
  <c r="C107" i="5"/>
  <c r="H107" i="5" s="1"/>
  <c r="G107" i="5" s="1"/>
  <c r="F107" i="5" s="1"/>
  <c r="E107" i="5" s="1"/>
  <c r="D107" i="5" s="1"/>
  <c r="C63" i="5"/>
  <c r="H63" i="5" s="1"/>
  <c r="G63" i="5" s="1"/>
  <c r="F63" i="5" s="1"/>
  <c r="E63" i="5" s="1"/>
  <c r="D63" i="5" s="1"/>
  <c r="C5" i="5"/>
  <c r="H5" i="5" s="1"/>
  <c r="G5" i="5" s="1"/>
  <c r="F5" i="5" s="1"/>
  <c r="E5" i="5" s="1"/>
  <c r="D5" i="5" s="1"/>
  <c r="C37" i="5"/>
  <c r="H37" i="5" s="1"/>
  <c r="G37" i="5" s="1"/>
  <c r="F37" i="5" s="1"/>
  <c r="E37" i="5" s="1"/>
  <c r="D37" i="5" s="1"/>
  <c r="C69" i="5"/>
  <c r="H69" i="5" s="1"/>
  <c r="G69" i="5" s="1"/>
  <c r="F69" i="5" s="1"/>
  <c r="E69" i="5" s="1"/>
  <c r="D69" i="5" s="1"/>
  <c r="C101" i="5"/>
  <c r="H101" i="5" s="1"/>
  <c r="G101" i="5" s="1"/>
  <c r="F101" i="5" s="1"/>
  <c r="E101" i="5" s="1"/>
  <c r="D101" i="5" s="1"/>
  <c r="C133" i="5"/>
  <c r="H133" i="5" s="1"/>
  <c r="G133" i="5" s="1"/>
  <c r="F133" i="5" s="1"/>
  <c r="E133" i="5" s="1"/>
  <c r="D133" i="5" s="1"/>
  <c r="C11" i="5"/>
  <c r="H11" i="5" s="1"/>
  <c r="G11" i="5" s="1"/>
  <c r="F11" i="5" s="1"/>
  <c r="E11" i="5" s="1"/>
  <c r="D11" i="5" s="1"/>
  <c r="C75" i="5"/>
  <c r="H75" i="5" s="1"/>
  <c r="G75" i="5" s="1"/>
  <c r="F75" i="5" s="1"/>
  <c r="E75" i="5" s="1"/>
  <c r="D75" i="5" s="1"/>
  <c r="C10" i="5"/>
  <c r="H10" i="5" s="1"/>
  <c r="G10" i="5" s="1"/>
  <c r="F10" i="5" s="1"/>
  <c r="E10" i="5" s="1"/>
  <c r="D10" i="5" s="1"/>
  <c r="C42" i="5"/>
  <c r="H42" i="5" s="1"/>
  <c r="G42" i="5" s="1"/>
  <c r="F42" i="5" s="1"/>
  <c r="E42" i="5" s="1"/>
  <c r="D42" i="5" s="1"/>
  <c r="C74" i="5"/>
  <c r="H74" i="5" s="1"/>
  <c r="G74" i="5" s="1"/>
  <c r="F74" i="5" s="1"/>
  <c r="E74" i="5" s="1"/>
  <c r="D74" i="5" s="1"/>
  <c r="C106" i="5"/>
  <c r="H106" i="5" s="1"/>
  <c r="G106" i="5" s="1"/>
  <c r="F106" i="5" s="1"/>
  <c r="E106" i="5" s="1"/>
  <c r="D106" i="5" s="1"/>
  <c r="C138" i="5"/>
  <c r="H138" i="5" s="1"/>
  <c r="G138" i="5" s="1"/>
  <c r="F138" i="5" s="1"/>
  <c r="E138" i="5" s="1"/>
  <c r="D138" i="5" s="1"/>
  <c r="C20" i="5"/>
  <c r="H20" i="5" s="1"/>
  <c r="G20" i="5" s="1"/>
  <c r="F20" i="5" s="1"/>
  <c r="E20" i="5" s="1"/>
  <c r="D20" i="5" s="1"/>
  <c r="C84" i="5"/>
  <c r="H84" i="5" s="1"/>
  <c r="G84" i="5" s="1"/>
  <c r="F84" i="5" s="1"/>
  <c r="E84" i="5" s="1"/>
  <c r="D84" i="5" s="1"/>
  <c r="C148" i="5"/>
  <c r="H148" i="5" s="1"/>
  <c r="G148" i="5" s="1"/>
  <c r="F148" i="5" s="1"/>
  <c r="E148" i="5" s="1"/>
  <c r="D148" i="5" s="1"/>
  <c r="C136" i="5"/>
  <c r="H136" i="5" s="1"/>
  <c r="G136" i="5" s="1"/>
  <c r="F136" i="5" s="1"/>
  <c r="E136" i="5" s="1"/>
  <c r="D136" i="5" s="1"/>
  <c r="C56" i="5"/>
  <c r="H56" i="5" s="1"/>
  <c r="G56" i="5" s="1"/>
  <c r="F56" i="5" s="1"/>
  <c r="E56" i="5" s="1"/>
  <c r="D56" i="5" s="1"/>
  <c r="C159" i="5"/>
  <c r="H159" i="5" s="1"/>
  <c r="G159" i="5" s="1"/>
  <c r="F159" i="5" s="1"/>
  <c r="E159" i="5" s="1"/>
  <c r="D159" i="5" s="1"/>
  <c r="C16" i="5"/>
  <c r="H16" i="5" s="1"/>
  <c r="G16" i="5" s="1"/>
  <c r="F16" i="5" s="1"/>
  <c r="E16" i="5" s="1"/>
  <c r="D16" i="5" s="1"/>
  <c r="C23" i="5"/>
  <c r="H23" i="5" s="1"/>
  <c r="G23" i="5" s="1"/>
  <c r="F23" i="5" s="1"/>
  <c r="E23" i="5" s="1"/>
  <c r="D23" i="5" s="1"/>
  <c r="C87" i="5"/>
  <c r="H87" i="5" s="1"/>
  <c r="G87" i="5" s="1"/>
  <c r="F87" i="5" s="1"/>
  <c r="E87" i="5" s="1"/>
  <c r="D87" i="5" s="1"/>
  <c r="C17" i="5"/>
  <c r="H17" i="5" s="1"/>
  <c r="G17" i="5" s="1"/>
  <c r="F17" i="5" s="1"/>
  <c r="E17" i="5" s="1"/>
  <c r="D17" i="5" s="1"/>
  <c r="C49" i="5"/>
  <c r="H49" i="5" s="1"/>
  <c r="G49" i="5" s="1"/>
  <c r="F49" i="5" s="1"/>
  <c r="E49" i="5" s="1"/>
  <c r="D49" i="5" s="1"/>
  <c r="C81" i="5"/>
  <c r="H81" i="5" s="1"/>
  <c r="G81" i="5" s="1"/>
  <c r="F81" i="5" s="1"/>
  <c r="E81" i="5" s="1"/>
  <c r="D81" i="5" s="1"/>
  <c r="C113" i="5"/>
  <c r="H113" i="5" s="1"/>
  <c r="G113" i="5" s="1"/>
  <c r="F113" i="5" s="1"/>
  <c r="E113" i="5" s="1"/>
  <c r="D113" i="5" s="1"/>
  <c r="C145" i="5"/>
  <c r="H145" i="5" s="1"/>
  <c r="G145" i="5" s="1"/>
  <c r="F145" i="5" s="1"/>
  <c r="E145" i="5" s="1"/>
  <c r="D145" i="5" s="1"/>
  <c r="C35" i="5"/>
  <c r="H35" i="5" s="1"/>
  <c r="G35" i="5" s="1"/>
  <c r="F35" i="5" s="1"/>
  <c r="E35" i="5" s="1"/>
  <c r="D35" i="5" s="1"/>
  <c r="C99" i="5"/>
  <c r="H99" i="5" s="1"/>
  <c r="G99" i="5" s="1"/>
  <c r="F99" i="5" s="1"/>
  <c r="E99" i="5" s="1"/>
  <c r="D99" i="5" s="1"/>
  <c r="C22" i="5"/>
  <c r="H22" i="5" s="1"/>
  <c r="G22" i="5" s="1"/>
  <c r="F22" i="5" s="1"/>
  <c r="E22" i="5" s="1"/>
  <c r="D22" i="5" s="1"/>
  <c r="C54" i="5"/>
  <c r="H54" i="5" s="1"/>
  <c r="G54" i="5" s="1"/>
  <c r="F54" i="5" s="1"/>
  <c r="E54" i="5" s="1"/>
  <c r="D54" i="5" s="1"/>
  <c r="C86" i="5"/>
  <c r="H86" i="5" s="1"/>
  <c r="G86" i="5" s="1"/>
  <c r="F86" i="5" s="1"/>
  <c r="E86" i="5" s="1"/>
  <c r="D86" i="5" s="1"/>
  <c r="C118" i="5"/>
  <c r="H118" i="5" s="1"/>
  <c r="G118" i="5" s="1"/>
  <c r="F118" i="5" s="1"/>
  <c r="E118" i="5" s="1"/>
  <c r="D118" i="5" s="1"/>
  <c r="C150" i="5"/>
  <c r="H150" i="5" s="1"/>
  <c r="G150" i="5" s="1"/>
  <c r="F150" i="5" s="1"/>
  <c r="E150" i="5" s="1"/>
  <c r="D150" i="5" s="1"/>
  <c r="C44" i="5"/>
  <c r="H44" i="5" s="1"/>
  <c r="G44" i="5" s="1"/>
  <c r="F44" i="5" s="1"/>
  <c r="E44" i="5" s="1"/>
  <c r="D44" i="5" s="1"/>
  <c r="C108" i="5"/>
  <c r="H108" i="5" s="1"/>
  <c r="G108" i="5" s="1"/>
  <c r="F108" i="5" s="1"/>
  <c r="E108" i="5" s="1"/>
  <c r="D108" i="5" s="1"/>
  <c r="C7" i="5"/>
  <c r="H7" i="5" s="1"/>
  <c r="G7" i="5" s="1"/>
  <c r="F7" i="5" s="1"/>
  <c r="E7" i="5" s="1"/>
  <c r="D7" i="5" s="1"/>
  <c r="C152" i="5"/>
  <c r="H152" i="5" s="1"/>
  <c r="G152" i="5" s="1"/>
  <c r="F152" i="5" s="1"/>
  <c r="E152" i="5" s="1"/>
  <c r="D152" i="5" s="1"/>
  <c r="C139" i="5"/>
  <c r="H139" i="5" s="1"/>
  <c r="G139" i="5" s="1"/>
  <c r="F139" i="5" s="1"/>
  <c r="E139" i="5" s="1"/>
  <c r="D139" i="5" s="1"/>
  <c r="C64" i="5"/>
  <c r="H64" i="5" s="1"/>
  <c r="G64" i="5" s="1"/>
  <c r="F64" i="5" s="1"/>
  <c r="E64" i="5" s="1"/>
  <c r="D64" i="5" s="1"/>
  <c r="C29" i="5"/>
  <c r="H29" i="5" s="1"/>
  <c r="G29" i="5" s="1"/>
  <c r="F29" i="5" s="1"/>
  <c r="E29" i="5" s="1"/>
  <c r="D29" i="5" s="1"/>
  <c r="C125" i="5"/>
  <c r="H125" i="5" s="1"/>
  <c r="G125" i="5" s="1"/>
  <c r="F125" i="5" s="1"/>
  <c r="E125" i="5" s="1"/>
  <c r="D125" i="5" s="1"/>
  <c r="C157" i="5"/>
  <c r="H157" i="5" s="1"/>
  <c r="G157" i="5" s="1"/>
  <c r="F157" i="5" s="1"/>
  <c r="E157" i="5" s="1"/>
  <c r="D157" i="5" s="1"/>
  <c r="C59" i="5"/>
  <c r="H59" i="5" s="1"/>
  <c r="G59" i="5" s="1"/>
  <c r="F59" i="5" s="1"/>
  <c r="E59" i="5" s="1"/>
  <c r="D59" i="5" s="1"/>
  <c r="C2" i="5"/>
  <c r="H2" i="5" s="1"/>
  <c r="G2" i="5" s="1"/>
  <c r="F2" i="5" s="1"/>
  <c r="E2" i="5" s="1"/>
  <c r="D2" i="5" s="1"/>
  <c r="C34" i="5"/>
  <c r="H34" i="5" s="1"/>
  <c r="G34" i="5" s="1"/>
  <c r="F34" i="5" s="1"/>
  <c r="E34" i="5" s="1"/>
  <c r="D34" i="5" s="1"/>
  <c r="C66" i="5"/>
  <c r="H66" i="5" s="1"/>
  <c r="G66" i="5" s="1"/>
  <c r="F66" i="5" s="1"/>
  <c r="E66" i="5" s="1"/>
  <c r="D66" i="5" s="1"/>
  <c r="C98" i="5"/>
  <c r="H98" i="5" s="1"/>
  <c r="G98" i="5" s="1"/>
  <c r="F98" i="5" s="1"/>
  <c r="E98" i="5" s="1"/>
  <c r="D98" i="5" s="1"/>
  <c r="C130" i="5"/>
  <c r="H130" i="5" s="1"/>
  <c r="G130" i="5" s="1"/>
  <c r="F130" i="5" s="1"/>
  <c r="E130" i="5" s="1"/>
  <c r="D130" i="5" s="1"/>
  <c r="C4" i="5"/>
  <c r="H4" i="5" s="1"/>
  <c r="G4" i="5" s="1"/>
  <c r="F4" i="5" s="1"/>
  <c r="E4" i="5" s="1"/>
  <c r="D4" i="5" s="1"/>
  <c r="C68" i="5"/>
  <c r="H68" i="5" s="1"/>
  <c r="G68" i="5" s="1"/>
  <c r="F68" i="5" s="1"/>
  <c r="E68" i="5" s="1"/>
  <c r="D68" i="5" s="1"/>
  <c r="C132" i="5"/>
  <c r="H132" i="5" s="1"/>
  <c r="G132" i="5" s="1"/>
  <c r="F132" i="5" s="1"/>
  <c r="E132" i="5" s="1"/>
  <c r="D132" i="5" s="1"/>
  <c r="C88" i="5"/>
  <c r="H88" i="5" s="1"/>
  <c r="G88" i="5" s="1"/>
  <c r="F88" i="5" s="1"/>
  <c r="E88" i="5" s="1"/>
  <c r="D88" i="5" s="1"/>
  <c r="C8" i="5"/>
  <c r="H8" i="5" s="1"/>
  <c r="G8" i="5" s="1"/>
  <c r="F8" i="5" s="1"/>
  <c r="E8" i="5" s="1"/>
  <c r="D8" i="5" s="1"/>
  <c r="C128" i="5"/>
  <c r="H128" i="5" s="1"/>
  <c r="G128" i="5" s="1"/>
  <c r="F128" i="5" s="1"/>
  <c r="E128" i="5" s="1"/>
  <c r="D128" i="5" s="1"/>
  <c r="C144" i="5"/>
  <c r="H144" i="5" s="1"/>
  <c r="G144" i="5" s="1"/>
  <c r="F144" i="5" s="1"/>
  <c r="E144" i="5" s="1"/>
  <c r="D144" i="5" s="1"/>
  <c r="C47" i="5"/>
  <c r="H47" i="5" s="1"/>
  <c r="G47" i="5" s="1"/>
  <c r="F47" i="5" s="1"/>
  <c r="E47" i="5" s="1"/>
  <c r="D47" i="5" s="1"/>
  <c r="C111" i="5"/>
  <c r="H111" i="5" s="1"/>
  <c r="G111" i="5" s="1"/>
  <c r="F111" i="5" s="1"/>
  <c r="E111" i="5" s="1"/>
  <c r="D111" i="5" s="1"/>
  <c r="C61" i="5"/>
  <c r="H61" i="5" s="1"/>
  <c r="G61" i="5" s="1"/>
  <c r="F61" i="5" s="1"/>
  <c r="E61" i="5" s="1"/>
  <c r="D61" i="5" s="1"/>
  <c r="C93" i="5"/>
  <c r="H93" i="5" s="1"/>
  <c r="G93" i="5" s="1"/>
  <c r="F93" i="5" s="1"/>
  <c r="E93" i="5" s="1"/>
  <c r="D93" i="5" s="1"/>
  <c r="C71" i="5"/>
  <c r="H71" i="5" s="1"/>
  <c r="G71" i="5" s="1"/>
  <c r="F71" i="5" s="1"/>
  <c r="E71" i="5" s="1"/>
  <c r="D71" i="5" s="1"/>
  <c r="C9" i="5"/>
  <c r="H9" i="5" s="1"/>
  <c r="G9" i="5" s="1"/>
  <c r="F9" i="5" s="1"/>
  <c r="E9" i="5" s="1"/>
  <c r="D9" i="5" s="1"/>
  <c r="C41" i="5"/>
  <c r="H41" i="5" s="1"/>
  <c r="G41" i="5" s="1"/>
  <c r="F41" i="5" s="1"/>
  <c r="E41" i="5" s="1"/>
  <c r="D41" i="5" s="1"/>
  <c r="C73" i="5"/>
  <c r="H73" i="5" s="1"/>
  <c r="G73" i="5" s="1"/>
  <c r="F73" i="5" s="1"/>
  <c r="E73" i="5" s="1"/>
  <c r="D73" i="5" s="1"/>
  <c r="C105" i="5"/>
  <c r="H105" i="5" s="1"/>
  <c r="G105" i="5" s="1"/>
  <c r="F105" i="5" s="1"/>
  <c r="E105" i="5" s="1"/>
  <c r="D105" i="5" s="1"/>
  <c r="C137" i="5"/>
  <c r="H137" i="5" s="1"/>
  <c r="G137" i="5" s="1"/>
  <c r="F137" i="5" s="1"/>
  <c r="E137" i="5" s="1"/>
  <c r="D137" i="5" s="1"/>
  <c r="C19" i="5"/>
  <c r="H19" i="5" s="1"/>
  <c r="G19" i="5" s="1"/>
  <c r="F19" i="5" s="1"/>
  <c r="E19" i="5" s="1"/>
  <c r="D19" i="5" s="1"/>
  <c r="C83" i="5"/>
  <c r="H83" i="5" s="1"/>
  <c r="G83" i="5" s="1"/>
  <c r="F83" i="5" s="1"/>
  <c r="E83" i="5" s="1"/>
  <c r="D83" i="5" s="1"/>
  <c r="C14" i="5"/>
  <c r="H14" i="5" s="1"/>
  <c r="G14" i="5" s="1"/>
  <c r="F14" i="5" s="1"/>
  <c r="E14" i="5" s="1"/>
  <c r="D14" i="5" s="1"/>
  <c r="C46" i="5"/>
  <c r="H46" i="5" s="1"/>
  <c r="G46" i="5" s="1"/>
  <c r="F46" i="5" s="1"/>
  <c r="E46" i="5" s="1"/>
  <c r="D46" i="5" s="1"/>
  <c r="C78" i="5"/>
  <c r="H78" i="5" s="1"/>
  <c r="G78" i="5" s="1"/>
  <c r="F78" i="5" s="1"/>
  <c r="E78" i="5" s="1"/>
  <c r="D78" i="5" s="1"/>
  <c r="C110" i="5"/>
  <c r="H110" i="5" s="1"/>
  <c r="G110" i="5" s="1"/>
  <c r="F110" i="5" s="1"/>
  <c r="E110" i="5" s="1"/>
  <c r="D110" i="5" s="1"/>
  <c r="C142" i="5"/>
  <c r="H142" i="5" s="1"/>
  <c r="G142" i="5" s="1"/>
  <c r="F142" i="5" s="1"/>
  <c r="E142" i="5" s="1"/>
  <c r="D142" i="5" s="1"/>
  <c r="C28" i="5"/>
  <c r="H28" i="5" s="1"/>
  <c r="G28" i="5" s="1"/>
  <c r="F28" i="5" s="1"/>
  <c r="E28" i="5" s="1"/>
  <c r="D28" i="5" s="1"/>
  <c r="C92" i="5"/>
  <c r="H92" i="5" s="1"/>
  <c r="G92" i="5" s="1"/>
  <c r="F92" i="5" s="1"/>
  <c r="E92" i="5" s="1"/>
  <c r="D92" i="5" s="1"/>
  <c r="C156" i="5"/>
  <c r="H156" i="5" s="1"/>
  <c r="G156" i="5" s="1"/>
  <c r="F156" i="5" s="1"/>
  <c r="E156" i="5" s="1"/>
  <c r="D156" i="5" s="1"/>
  <c r="C131" i="5"/>
  <c r="H131" i="5" s="1"/>
  <c r="G131" i="5" s="1"/>
  <c r="F131" i="5" s="1"/>
  <c r="E131" i="5" s="1"/>
  <c r="D131" i="5" s="1"/>
  <c r="C72" i="5"/>
  <c r="H72" i="5" s="1"/>
  <c r="G72" i="5" s="1"/>
  <c r="F72" i="5" s="1"/>
  <c r="E72" i="5" s="1"/>
  <c r="D72" i="5" s="1"/>
  <c r="C32" i="5"/>
  <c r="H32" i="5" s="1"/>
  <c r="G32" i="5" s="1"/>
  <c r="F32" i="5" s="1"/>
  <c r="E32" i="5" s="1"/>
  <c r="D32" i="5" s="1"/>
  <c r="C112" i="5"/>
  <c r="H112" i="5" s="1"/>
  <c r="G112" i="5" s="1"/>
  <c r="F112" i="5" s="1"/>
  <c r="E112" i="5" s="1"/>
  <c r="D112" i="5" s="1"/>
  <c r="F35" i="6"/>
  <c r="C90" i="5"/>
  <c r="H90" i="5" s="1"/>
  <c r="G90" i="5" s="1"/>
  <c r="F90" i="5" s="1"/>
  <c r="E90" i="5" s="1"/>
  <c r="D90" i="5" s="1"/>
  <c r="C154" i="5"/>
  <c r="H154" i="5" s="1"/>
  <c r="G154" i="5" s="1"/>
  <c r="F154" i="5" s="1"/>
  <c r="E154" i="5" s="1"/>
  <c r="D154" i="5" s="1"/>
  <c r="C52" i="5"/>
  <c r="H52" i="5" s="1"/>
  <c r="G52" i="5" s="1"/>
  <c r="F52" i="5" s="1"/>
  <c r="E52" i="5" s="1"/>
  <c r="D52" i="5" s="1"/>
  <c r="C116" i="5"/>
  <c r="H116" i="5" s="1"/>
  <c r="G116" i="5" s="1"/>
  <c r="F116" i="5" s="1"/>
  <c r="E116" i="5" s="1"/>
  <c r="D116" i="5" s="1"/>
  <c r="C135" i="5"/>
  <c r="H135" i="5" s="1"/>
  <c r="G135" i="5" s="1"/>
  <c r="F135" i="5" s="1"/>
  <c r="E135" i="5" s="1"/>
  <c r="D135" i="5" s="1"/>
  <c r="C143" i="5"/>
  <c r="H143" i="5" s="1"/>
  <c r="G143" i="5" s="1"/>
  <c r="F143" i="5" s="1"/>
  <c r="E143" i="5" s="1"/>
  <c r="D143" i="5" s="1"/>
  <c r="C127" i="5"/>
  <c r="H127" i="5" s="1"/>
  <c r="G127" i="5" s="1"/>
  <c r="F127" i="5" s="1"/>
  <c r="E127" i="5" s="1"/>
  <c r="D127" i="5" s="1"/>
  <c r="C55" i="5"/>
  <c r="H55" i="5" s="1"/>
  <c r="G55" i="5" s="1"/>
  <c r="F55" i="5" s="1"/>
  <c r="E55" i="5" s="1"/>
  <c r="D55" i="5" s="1"/>
  <c r="C119" i="5"/>
  <c r="H119" i="5" s="1"/>
  <c r="G119" i="5" s="1"/>
  <c r="F119" i="5" s="1"/>
  <c r="E119" i="5" s="1"/>
  <c r="D119" i="5" s="1"/>
  <c r="C33" i="5"/>
  <c r="H33" i="5" s="1"/>
  <c r="G33" i="5" s="1"/>
  <c r="F33" i="5" s="1"/>
  <c r="E33" i="5" s="1"/>
  <c r="D33" i="5" s="1"/>
  <c r="C65" i="5"/>
  <c r="H65" i="5" s="1"/>
  <c r="G65" i="5" s="1"/>
  <c r="F65" i="5" s="1"/>
  <c r="E65" i="5" s="1"/>
  <c r="D65" i="5" s="1"/>
  <c r="C97" i="5"/>
  <c r="H97" i="5" s="1"/>
  <c r="G97" i="5" s="1"/>
  <c r="F97" i="5" s="1"/>
  <c r="E97" i="5" s="1"/>
  <c r="D97" i="5" s="1"/>
  <c r="C129" i="5"/>
  <c r="H129" i="5" s="1"/>
  <c r="G129" i="5" s="1"/>
  <c r="F129" i="5" s="1"/>
  <c r="E129" i="5" s="1"/>
  <c r="D129" i="5" s="1"/>
  <c r="C3" i="5"/>
  <c r="H3" i="5" s="1"/>
  <c r="G3" i="5" s="1"/>
  <c r="F3" i="5" s="1"/>
  <c r="E3" i="5" s="1"/>
  <c r="D3" i="5" s="1"/>
  <c r="C67" i="5"/>
  <c r="H67" i="5" s="1"/>
  <c r="G67" i="5" s="1"/>
  <c r="F67" i="5" s="1"/>
  <c r="E67" i="5" s="1"/>
  <c r="D67" i="5" s="1"/>
  <c r="C6" i="5"/>
  <c r="H6" i="5" s="1"/>
  <c r="G6" i="5" s="1"/>
  <c r="F6" i="5" s="1"/>
  <c r="E6" i="5" s="1"/>
  <c r="D6" i="5" s="1"/>
  <c r="C38" i="5"/>
  <c r="H38" i="5" s="1"/>
  <c r="G38" i="5" s="1"/>
  <c r="F38" i="5" s="1"/>
  <c r="E38" i="5" s="1"/>
  <c r="D38" i="5" s="1"/>
  <c r="C70" i="5"/>
  <c r="H70" i="5" s="1"/>
  <c r="G70" i="5" s="1"/>
  <c r="F70" i="5" s="1"/>
  <c r="E70" i="5" s="1"/>
  <c r="D70" i="5" s="1"/>
  <c r="C102" i="5"/>
  <c r="H102" i="5" s="1"/>
  <c r="G102" i="5" s="1"/>
  <c r="F102" i="5" s="1"/>
  <c r="E102" i="5" s="1"/>
  <c r="D102" i="5" s="1"/>
  <c r="C134" i="5"/>
  <c r="H134" i="5" s="1"/>
  <c r="G134" i="5" s="1"/>
  <c r="F134" i="5" s="1"/>
  <c r="E134" i="5" s="1"/>
  <c r="D134" i="5" s="1"/>
  <c r="C12" i="5"/>
  <c r="H12" i="5" s="1"/>
  <c r="G12" i="5" s="1"/>
  <c r="F12" i="5" s="1"/>
  <c r="E12" i="5" s="1"/>
  <c r="D12" i="5" s="1"/>
  <c r="C76" i="5"/>
  <c r="H76" i="5" s="1"/>
  <c r="G76" i="5" s="1"/>
  <c r="F76" i="5" s="1"/>
  <c r="E76" i="5" s="1"/>
  <c r="D76" i="5" s="1"/>
  <c r="C140" i="5"/>
  <c r="H140" i="5" s="1"/>
  <c r="G140" i="5" s="1"/>
  <c r="F140" i="5" s="1"/>
  <c r="E140" i="5" s="1"/>
  <c r="D140" i="5" s="1"/>
  <c r="C104" i="5"/>
  <c r="H104" i="5" s="1"/>
  <c r="G104" i="5" s="1"/>
  <c r="F104" i="5" s="1"/>
  <c r="E104" i="5" s="1"/>
  <c r="D104" i="5" s="1"/>
  <c r="C24" i="5"/>
  <c r="H24" i="5" s="1"/>
  <c r="G24" i="5" s="1"/>
  <c r="F24" i="5" s="1"/>
  <c r="E24" i="5" s="1"/>
  <c r="D24" i="5" s="1"/>
  <c r="C123" i="5"/>
  <c r="H123" i="5" s="1"/>
  <c r="G123" i="5" s="1"/>
  <c r="F123" i="5" s="1"/>
  <c r="E123" i="5" s="1"/>
  <c r="D123" i="5" s="1"/>
  <c r="D32" i="6"/>
  <c r="F38" i="6"/>
  <c r="F3" i="6"/>
  <c r="D14" i="6"/>
  <c r="F27" i="6"/>
  <c r="F12" i="6"/>
  <c r="F37" i="6"/>
  <c r="D3" i="6"/>
  <c r="F15" i="6"/>
  <c r="D9" i="6"/>
  <c r="D2" i="6"/>
  <c r="D12" i="6"/>
  <c r="D5" i="6"/>
  <c r="F26" i="6"/>
  <c r="F5" i="6"/>
  <c r="D21" i="6"/>
  <c r="F39" i="6"/>
  <c r="D18" i="6"/>
  <c r="B2" i="6"/>
  <c r="F31" i="6"/>
  <c r="D25" i="6"/>
  <c r="F18" i="6"/>
  <c r="D28" i="6"/>
  <c r="D33" i="6"/>
  <c r="D16" i="6"/>
  <c r="F6" i="6"/>
  <c r="F13" i="6"/>
  <c r="F40" i="6"/>
  <c r="D20" i="6"/>
  <c r="D8" i="6"/>
  <c r="D41" i="6"/>
  <c r="F34" i="6"/>
  <c r="D13" i="6"/>
  <c r="D36" i="6"/>
  <c r="F24" i="6"/>
  <c r="F7" i="6"/>
  <c r="D22" i="6"/>
  <c r="F41" i="6"/>
  <c r="D30" i="6"/>
  <c r="B4" i="6"/>
  <c r="D24" i="6"/>
  <c r="F17" i="6"/>
  <c r="D11" i="6"/>
  <c r="D29" i="6"/>
  <c r="D15" i="6"/>
  <c r="D7" i="6"/>
  <c r="F8" i="6"/>
  <c r="F14" i="6"/>
  <c r="D17" i="6"/>
  <c r="F30" i="6"/>
  <c r="D40" i="6"/>
  <c r="F33" i="6"/>
  <c r="D27" i="6"/>
  <c r="F21" i="6"/>
  <c r="F23" i="6"/>
  <c r="D35" i="6"/>
  <c r="F9" i="6"/>
  <c r="D23" i="6"/>
  <c r="D31" i="6"/>
  <c r="D38" i="6"/>
  <c r="D22" i="1" l="1"/>
  <c r="D11" i="2" s="1"/>
  <c r="D15" i="2" s="1"/>
  <c r="D23" i="1"/>
  <c r="B9" i="2"/>
  <c r="D9" i="2"/>
  <c r="D43" i="6"/>
  <c r="F43" i="6"/>
  <c r="A40" i="1" l="1"/>
  <c r="C46" i="1" s="1"/>
  <c r="C47" i="1" s="1"/>
  <c r="C48" i="1" s="1"/>
  <c r="C49" i="1" s="1"/>
  <c r="C50" i="1" s="1"/>
  <c r="C51" i="1" s="1"/>
  <c r="B14" i="2" s="1"/>
  <c r="B15" i="2" s="1"/>
  <c r="B17" i="2" l="1"/>
  <c r="F20" i="2" s="1"/>
  <c r="D17" i="2" l="1"/>
  <c r="B46" i="15" s="1"/>
  <c r="F17" i="2"/>
  <c r="B48" i="15" s="1"/>
  <c r="B19" i="2"/>
  <c r="B42" i="14"/>
  <c r="M2" i="14" s="1"/>
  <c r="B42" i="10"/>
  <c r="I11" i="9"/>
  <c r="AR17" i="8"/>
  <c r="AU2" i="8" s="1"/>
  <c r="CQ4" i="11"/>
  <c r="CR12" i="11" s="1"/>
  <c r="D20" i="2" l="1"/>
  <c r="D21" i="2" s="1"/>
  <c r="D22" i="2" s="1"/>
  <c r="B41" i="13" s="1"/>
  <c r="L2" i="13" s="1"/>
  <c r="N2" i="13"/>
  <c r="H14" i="2" a="1"/>
  <c r="H14" i="2" s="1"/>
  <c r="M2" i="10"/>
  <c r="F21" i="2"/>
  <c r="B48" i="13"/>
  <c r="D19" i="2"/>
  <c r="F19" i="2" s="1"/>
  <c r="CR13" i="11"/>
  <c r="CR14" i="11" s="1"/>
  <c r="CR15" i="11" s="1"/>
  <c r="CR16" i="11" s="1"/>
  <c r="CR17" i="11" s="1"/>
  <c r="CR18" i="11" s="1"/>
  <c r="CR19" i="11" s="1"/>
  <c r="CR20" i="11" s="1"/>
  <c r="CR21" i="11" s="1"/>
  <c r="CR22" i="11" s="1"/>
  <c r="CR23" i="11" s="1"/>
  <c r="CR24" i="11" s="1"/>
  <c r="CR25" i="11" s="1"/>
  <c r="CR26" i="11" s="1"/>
  <c r="CR27" i="11" s="1"/>
  <c r="CR28" i="11" s="1"/>
  <c r="CR29" i="11" s="1"/>
  <c r="CR30" i="11" s="1"/>
  <c r="CR31" i="11" s="1"/>
  <c r="CR32" i="11" s="1"/>
  <c r="CR33" i="11" s="1"/>
  <c r="CR34" i="11" s="1"/>
  <c r="CR35" i="11" s="1"/>
  <c r="CR36" i="11" s="1"/>
  <c r="CR37" i="11" s="1"/>
  <c r="CR38" i="11" s="1"/>
  <c r="CR39" i="11" s="1"/>
  <c r="CR40" i="11" s="1"/>
  <c r="CR41" i="11" s="1"/>
  <c r="CR42" i="11" s="1"/>
  <c r="CR43" i="11" s="1"/>
  <c r="CR44" i="11" s="1"/>
  <c r="CR45" i="11" s="1"/>
  <c r="CR46" i="11" s="1"/>
  <c r="CR47" i="11" s="1"/>
  <c r="CR48" i="11" s="1"/>
  <c r="CR49" i="11" s="1"/>
  <c r="CR50" i="11" s="1"/>
  <c r="CR51" i="11" s="1"/>
  <c r="CR52" i="11" s="1"/>
  <c r="CR53" i="11" s="1"/>
  <c r="CR54" i="11" s="1"/>
  <c r="CR55" i="11" s="1"/>
  <c r="CR56" i="11" s="1"/>
  <c r="CR57" i="11" s="1"/>
  <c r="CR58" i="11" s="1"/>
  <c r="CR59" i="11" s="1"/>
  <c r="CR60" i="11" s="1"/>
  <c r="FC5" i="11"/>
  <c r="FD5" i="11" s="1"/>
  <c r="FO5" i="11"/>
  <c r="FP5" i="11" s="1"/>
  <c r="AU86" i="8"/>
  <c r="AV86" i="8" s="1"/>
  <c r="BA98" i="8"/>
  <c r="BB98" i="8" s="1"/>
  <c r="AX85" i="8"/>
  <c r="AY85" i="8" s="1"/>
  <c r="BA79" i="8"/>
  <c r="BB79" i="8" s="1"/>
  <c r="AU91" i="8"/>
  <c r="AV91" i="8" s="1"/>
  <c r="AX101" i="8"/>
  <c r="AY101" i="8" s="1"/>
  <c r="AX108" i="8"/>
  <c r="AY108" i="8" s="1"/>
  <c r="AX110" i="8"/>
  <c r="AY110" i="8" s="1"/>
  <c r="AX107" i="8"/>
  <c r="AY107" i="8" s="1"/>
  <c r="BA78" i="8"/>
  <c r="BB78" i="8" s="1"/>
  <c r="BA102" i="8"/>
  <c r="BB102" i="8" s="1"/>
  <c r="AX113" i="8"/>
  <c r="AY113" i="8" s="1"/>
  <c r="AX86" i="8"/>
  <c r="AY86" i="8" s="1"/>
  <c r="AU77" i="8"/>
  <c r="AV77" i="8" s="1"/>
  <c r="AX111" i="8"/>
  <c r="AY111" i="8" s="1"/>
  <c r="AU76" i="8"/>
  <c r="AV76" i="8" s="1"/>
  <c r="BA100" i="8"/>
  <c r="BB100" i="8" s="1"/>
  <c r="BA83" i="8"/>
  <c r="BB83" i="8" s="1"/>
  <c r="BA106" i="8"/>
  <c r="BB106" i="8" s="1"/>
  <c r="AU89" i="8"/>
  <c r="AV89" i="8" s="1"/>
  <c r="BA84" i="8"/>
  <c r="BB84" i="8" s="1"/>
  <c r="BA113" i="8"/>
  <c r="BB113" i="8" s="1"/>
  <c r="BA77" i="8"/>
  <c r="BB77" i="8" s="1"/>
  <c r="BA85" i="8"/>
  <c r="BB85" i="8" s="1"/>
  <c r="AU90" i="8"/>
  <c r="AV90" i="8" s="1"/>
  <c r="AU109" i="8"/>
  <c r="AV109" i="8" s="1"/>
  <c r="AU92" i="8"/>
  <c r="AV92" i="8" s="1"/>
  <c r="AX80" i="8"/>
  <c r="AY80" i="8" s="1"/>
  <c r="AU107" i="8"/>
  <c r="AV107" i="8" s="1"/>
  <c r="AU79" i="8"/>
  <c r="AV79" i="8" s="1"/>
  <c r="AX96" i="8"/>
  <c r="AY96" i="8" s="1"/>
  <c r="AU113" i="8"/>
  <c r="AV113" i="8" s="1"/>
  <c r="AX84" i="8"/>
  <c r="AY84" i="8" s="1"/>
  <c r="AU112" i="8"/>
  <c r="AV112" i="8" s="1"/>
  <c r="AU102" i="8"/>
  <c r="AV102" i="8" s="1"/>
  <c r="BA114" i="8"/>
  <c r="BB114" i="8" s="1"/>
  <c r="AX106" i="8"/>
  <c r="AY106" i="8" s="1"/>
  <c r="BA88" i="8"/>
  <c r="BB88" i="8" s="1"/>
  <c r="AX103" i="8"/>
  <c r="AY103" i="8" s="1"/>
  <c r="BA108" i="8"/>
  <c r="BB108" i="8" s="1"/>
  <c r="AU94" i="8"/>
  <c r="AV94" i="8" s="1"/>
  <c r="AX99" i="8"/>
  <c r="AY99" i="8" s="1"/>
  <c r="AX78" i="8"/>
  <c r="AY78" i="8" s="1"/>
  <c r="BA76" i="8"/>
  <c r="BB76" i="8" s="1"/>
  <c r="AX82" i="8"/>
  <c r="AY82" i="8" s="1"/>
  <c r="AX112" i="8"/>
  <c r="AY112" i="8" s="1"/>
  <c r="AU75" i="8"/>
  <c r="AV75" i="8" s="1"/>
  <c r="AV116" i="8" s="1"/>
  <c r="AU110" i="8"/>
  <c r="AV110" i="8" s="1"/>
  <c r="BA92" i="8"/>
  <c r="BB92" i="8" s="1"/>
  <c r="AX105" i="8"/>
  <c r="AY105" i="8" s="1"/>
  <c r="AX91" i="8"/>
  <c r="AY91" i="8" s="1"/>
  <c r="BA95" i="8"/>
  <c r="BB95" i="8" s="1"/>
  <c r="AU82" i="8"/>
  <c r="AV82" i="8" s="1"/>
  <c r="AU108" i="8"/>
  <c r="AV108" i="8" s="1"/>
  <c r="BA104" i="8"/>
  <c r="BB104" i="8" s="1"/>
  <c r="AU105" i="8"/>
  <c r="AV105" i="8" s="1"/>
  <c r="AX93" i="8"/>
  <c r="AY93" i="8" s="1"/>
  <c r="AU106" i="8"/>
  <c r="AV106" i="8" s="1"/>
  <c r="AX79" i="8"/>
  <c r="AY79" i="8" s="1"/>
  <c r="AU100" i="8"/>
  <c r="AV100" i="8" s="1"/>
  <c r="AU85" i="8"/>
  <c r="AV85" i="8" s="1"/>
  <c r="BA99" i="8"/>
  <c r="BB99" i="8" s="1"/>
  <c r="AU95" i="8"/>
  <c r="AV95" i="8" s="1"/>
  <c r="AX97" i="8"/>
  <c r="AY97" i="8" s="1"/>
  <c r="BA81" i="8"/>
  <c r="BB81" i="8" s="1"/>
  <c r="AU83" i="8"/>
  <c r="AV83" i="8" s="1"/>
  <c r="BA94" i="8"/>
  <c r="BB94" i="8" s="1"/>
  <c r="AX88" i="8"/>
  <c r="AY88" i="8" s="1"/>
  <c r="AX87" i="8"/>
  <c r="AY87" i="8" s="1"/>
  <c r="AX77" i="8"/>
  <c r="AY77" i="8" s="1"/>
  <c r="AU80" i="8"/>
  <c r="AV80" i="8" s="1"/>
  <c r="AX81" i="8"/>
  <c r="AY81" i="8" s="1"/>
  <c r="BA86" i="8"/>
  <c r="BB86" i="8" s="1"/>
  <c r="AX76" i="8"/>
  <c r="AY76" i="8" s="1"/>
  <c r="BA103" i="8"/>
  <c r="BB103" i="8" s="1"/>
  <c r="AU99" i="8"/>
  <c r="AV99" i="8" s="1"/>
  <c r="AU103" i="8"/>
  <c r="AV103" i="8" s="1"/>
  <c r="BA82" i="8"/>
  <c r="BB82" i="8" s="1"/>
  <c r="BA96" i="8"/>
  <c r="BB96" i="8" s="1"/>
  <c r="BA91" i="8"/>
  <c r="BB91" i="8" s="1"/>
  <c r="BA111" i="8"/>
  <c r="BB111" i="8" s="1"/>
  <c r="BA93" i="8"/>
  <c r="BB93" i="8" s="1"/>
  <c r="AU98" i="8"/>
  <c r="AV98" i="8" s="1"/>
  <c r="AX83" i="8"/>
  <c r="AY83" i="8" s="1"/>
  <c r="AX89" i="8"/>
  <c r="AY89" i="8" s="1"/>
  <c r="AU87" i="8"/>
  <c r="AV87" i="8" s="1"/>
  <c r="AU101" i="8"/>
  <c r="AV101" i="8" s="1"/>
  <c r="AU81" i="8"/>
  <c r="AV81" i="8" s="1"/>
  <c r="AX95" i="8"/>
  <c r="AY95" i="8" s="1"/>
  <c r="BA105" i="8"/>
  <c r="BB105" i="8" s="1"/>
  <c r="AX92" i="8"/>
  <c r="AY92" i="8" s="1"/>
  <c r="BA75" i="8"/>
  <c r="BB75" i="8" s="1"/>
  <c r="BB116" i="8" s="1"/>
  <c r="BA89" i="8"/>
  <c r="BB89" i="8" s="1"/>
  <c r="BA97" i="8"/>
  <c r="BB97" i="8" s="1"/>
  <c r="AX102" i="8"/>
  <c r="AY102" i="8" s="1"/>
  <c r="BA110" i="8"/>
  <c r="BB110" i="8" s="1"/>
  <c r="BA107" i="8"/>
  <c r="BB107" i="8" s="1"/>
  <c r="AU78" i="8"/>
  <c r="AV78" i="8" s="1"/>
  <c r="BA90" i="8"/>
  <c r="BB90" i="8" s="1"/>
  <c r="AX104" i="8"/>
  <c r="AY104" i="8" s="1"/>
  <c r="AX109" i="8"/>
  <c r="AY109" i="8" s="1"/>
  <c r="AU97" i="8"/>
  <c r="AV97" i="8" s="1"/>
  <c r="AU96" i="8"/>
  <c r="AV96" i="8" s="1"/>
  <c r="AU104" i="8"/>
  <c r="AV104" i="8" s="1"/>
  <c r="AX90" i="8"/>
  <c r="AY90" i="8" s="1"/>
  <c r="BA101" i="8"/>
  <c r="BB101" i="8" s="1"/>
  <c r="AX75" i="8"/>
  <c r="AY75" i="8" s="1"/>
  <c r="AY116" i="8" s="1"/>
  <c r="AU88" i="8"/>
  <c r="AV88" i="8" s="1"/>
  <c r="BA112" i="8"/>
  <c r="BB112" i="8" s="1"/>
  <c r="BA109" i="8"/>
  <c r="BB109" i="8" s="1"/>
  <c r="AU84" i="8"/>
  <c r="AV84" i="8" s="1"/>
  <c r="AX100" i="8"/>
  <c r="AY100" i="8" s="1"/>
  <c r="AU111" i="8"/>
  <c r="AV111" i="8" s="1"/>
  <c r="BA80" i="8"/>
  <c r="BB80" i="8" s="1"/>
  <c r="AU114" i="8"/>
  <c r="AV114" i="8" s="1"/>
  <c r="AU93" i="8"/>
  <c r="AV93" i="8" s="1"/>
  <c r="AX98" i="8"/>
  <c r="AY98" i="8" s="1"/>
  <c r="BA87" i="8"/>
  <c r="BB87" i="8" s="1"/>
  <c r="AX94" i="8"/>
  <c r="AY94" i="8" s="1"/>
  <c r="CQ6" i="11"/>
  <c r="BH35" i="11" s="1"/>
  <c r="CQ5" i="11"/>
  <c r="CR4" i="11"/>
  <c r="B40" i="10" l="1"/>
  <c r="L2" i="10" s="1"/>
  <c r="B44" i="14"/>
  <c r="N2" i="14" s="1"/>
  <c r="B41" i="15"/>
  <c r="L2" i="15" s="1"/>
  <c r="H58" i="15" s="1"/>
  <c r="B40" i="14"/>
  <c r="B44" i="10"/>
  <c r="N2" i="10" s="1"/>
  <c r="BI35" i="11"/>
  <c r="DK33" i="11" s="1"/>
  <c r="BH34" i="11"/>
  <c r="BI34" i="11" s="1"/>
  <c r="DK32" i="11" s="1"/>
  <c r="BC35" i="11"/>
  <c r="BD35" i="11" s="1"/>
  <c r="DR33" i="11" s="1"/>
  <c r="BC7" i="11"/>
  <c r="BD7" i="11" s="1"/>
  <c r="BM26" i="11"/>
  <c r="BN26" i="11" s="1"/>
  <c r="BM10" i="11"/>
  <c r="BN10" i="11" s="1"/>
  <c r="BM32" i="11"/>
  <c r="BN32" i="11" s="1"/>
  <c r="BM28" i="11"/>
  <c r="BN28" i="11" s="1"/>
  <c r="BM25" i="11"/>
  <c r="BN25" i="11" s="1"/>
  <c r="BM9" i="11"/>
  <c r="BN9" i="11" s="1"/>
  <c r="DT7" i="11" s="1"/>
  <c r="BM21" i="11"/>
  <c r="BN21" i="11" s="1"/>
  <c r="BM20" i="11"/>
  <c r="BN20" i="11" s="1"/>
  <c r="BM33" i="11"/>
  <c r="BN33" i="11" s="1"/>
  <c r="BM24" i="11"/>
  <c r="BN24" i="11" s="1"/>
  <c r="BM8" i="11"/>
  <c r="BN8" i="11" s="1"/>
  <c r="BN35" i="11"/>
  <c r="BM18" i="11"/>
  <c r="BN18" i="11" s="1"/>
  <c r="BM23" i="11"/>
  <c r="BN23" i="11" s="1"/>
  <c r="BM17" i="11"/>
  <c r="BN17" i="11" s="1"/>
  <c r="BM14" i="11"/>
  <c r="BN14" i="11" s="1"/>
  <c r="BM22" i="11"/>
  <c r="BN22" i="11" s="1"/>
  <c r="BM19" i="11"/>
  <c r="BN19" i="11" s="1"/>
  <c r="BN34" i="11"/>
  <c r="BM16" i="11"/>
  <c r="BN16" i="11" s="1"/>
  <c r="BM31" i="11"/>
  <c r="BN31" i="11" s="1"/>
  <c r="BM15" i="11"/>
  <c r="BN15" i="11" s="1"/>
  <c r="BM29" i="11"/>
  <c r="BN29" i="11" s="1"/>
  <c r="BM12" i="11"/>
  <c r="BN12" i="11" s="1"/>
  <c r="BM30" i="11"/>
  <c r="BN30" i="11" s="1"/>
  <c r="BM13" i="11"/>
  <c r="BN13" i="11" s="1"/>
  <c r="BM11" i="11"/>
  <c r="BN11" i="11" s="1"/>
  <c r="BM27" i="11"/>
  <c r="BN27" i="11" s="1"/>
  <c r="CI46" i="11"/>
  <c r="EQ44" i="11" s="1"/>
  <c r="BC33" i="11"/>
  <c r="BD33" i="11" s="1"/>
  <c r="DR31" i="11" s="1"/>
  <c r="BH33" i="11"/>
  <c r="BI33" i="11" s="1"/>
  <c r="DK31" i="11" s="1"/>
  <c r="FP6" i="11"/>
  <c r="FD6" i="11"/>
  <c r="BW47" i="11"/>
  <c r="BX47" i="11" s="1"/>
  <c r="EP45" i="11" s="1"/>
  <c r="BW7" i="11"/>
  <c r="BX7" i="11" s="1"/>
  <c r="CC7" i="11"/>
  <c r="CD7" i="11" s="1"/>
  <c r="EH5" i="11" s="1"/>
  <c r="FT5" i="11" s="1"/>
  <c r="CC46" i="11"/>
  <c r="CD46" i="11" s="1"/>
  <c r="EH44" i="11" s="1"/>
  <c r="BR46" i="11"/>
  <c r="BH11" i="11"/>
  <c r="BI11" i="11" s="1"/>
  <c r="DK9" i="11" s="1"/>
  <c r="BH30" i="11"/>
  <c r="BI30" i="11" s="1"/>
  <c r="DK28" i="11" s="1"/>
  <c r="BC8" i="11"/>
  <c r="BD8" i="11" s="1"/>
  <c r="BC21" i="11"/>
  <c r="BD21" i="11" s="1"/>
  <c r="DR19" i="11" s="1"/>
  <c r="BH13" i="11"/>
  <c r="BI13" i="11" s="1"/>
  <c r="DK11" i="11" s="1"/>
  <c r="BH24" i="11"/>
  <c r="BI24" i="11" s="1"/>
  <c r="DK22" i="11" s="1"/>
  <c r="BH19" i="11"/>
  <c r="BI19" i="11" s="1"/>
  <c r="DK17" i="11" s="1"/>
  <c r="BH17" i="11"/>
  <c r="BI17" i="11" s="1"/>
  <c r="DK15" i="11" s="1"/>
  <c r="BH15" i="11"/>
  <c r="BI15" i="11" s="1"/>
  <c r="DK13" i="11" s="1"/>
  <c r="BH21" i="11"/>
  <c r="BI21" i="11" s="1"/>
  <c r="DK19" i="11" s="1"/>
  <c r="BH28" i="11"/>
  <c r="BI28" i="11" s="1"/>
  <c r="DK26" i="11" s="1"/>
  <c r="BH31" i="11"/>
  <c r="BI31" i="11" s="1"/>
  <c r="DK29" i="11" s="1"/>
  <c r="BC22" i="11"/>
  <c r="BD22" i="11" s="1"/>
  <c r="DR20" i="11" s="1"/>
  <c r="BH9" i="11"/>
  <c r="BI9" i="11" s="1"/>
  <c r="DK7" i="11" s="1"/>
  <c r="BH14" i="11"/>
  <c r="BI14" i="11" s="1"/>
  <c r="DK12" i="11" s="1"/>
  <c r="BC24" i="11"/>
  <c r="BD24" i="11" s="1"/>
  <c r="DR22" i="11" s="1"/>
  <c r="BC15" i="11"/>
  <c r="BD15" i="11" s="1"/>
  <c r="DR13" i="11" s="1"/>
  <c r="BH8" i="11"/>
  <c r="BI8" i="11" s="1"/>
  <c r="DK6" i="11" s="1"/>
  <c r="BH10" i="11"/>
  <c r="BI10" i="11" s="1"/>
  <c r="DK8" i="11" s="1"/>
  <c r="BC30" i="11"/>
  <c r="BD30" i="11" s="1"/>
  <c r="DR28" i="11" s="1"/>
  <c r="BH32" i="11"/>
  <c r="BI32" i="11" s="1"/>
  <c r="DK30" i="11" s="1"/>
  <c r="BC12" i="11"/>
  <c r="BD12" i="11" s="1"/>
  <c r="BC16" i="11"/>
  <c r="BD16" i="11" s="1"/>
  <c r="DR14" i="11" s="1"/>
  <c r="BC27" i="11"/>
  <c r="BD27" i="11" s="1"/>
  <c r="DR25" i="11" s="1"/>
  <c r="BH18" i="11"/>
  <c r="BI18" i="11" s="1"/>
  <c r="DK16" i="11" s="1"/>
  <c r="BC19" i="11"/>
  <c r="BD19" i="11" s="1"/>
  <c r="DR17" i="11" s="1"/>
  <c r="BC31" i="11"/>
  <c r="BD31" i="11" s="1"/>
  <c r="DR29" i="11" s="1"/>
  <c r="BC25" i="11"/>
  <c r="BD25" i="11" s="1"/>
  <c r="DR23" i="11" s="1"/>
  <c r="BH12" i="11"/>
  <c r="BI12" i="11" s="1"/>
  <c r="DK10" i="11" s="1"/>
  <c r="BC26" i="11"/>
  <c r="BD26" i="11" s="1"/>
  <c r="DR24" i="11" s="1"/>
  <c r="BH26" i="11"/>
  <c r="BI26" i="11" s="1"/>
  <c r="DK24" i="11" s="1"/>
  <c r="BC20" i="11"/>
  <c r="BD20" i="11" s="1"/>
  <c r="DR18" i="11" s="1"/>
  <c r="BC23" i="11"/>
  <c r="BD23" i="11" s="1"/>
  <c r="DR21" i="11" s="1"/>
  <c r="BH22" i="11"/>
  <c r="BI22" i="11" s="1"/>
  <c r="DK20" i="11" s="1"/>
  <c r="BC28" i="11"/>
  <c r="BD28" i="11" s="1"/>
  <c r="DR26" i="11" s="1"/>
  <c r="BC11" i="11"/>
  <c r="BD11" i="11" s="1"/>
  <c r="BH29" i="11"/>
  <c r="BI29" i="11" s="1"/>
  <c r="DK27" i="11" s="1"/>
  <c r="BC32" i="11"/>
  <c r="BD32" i="11" s="1"/>
  <c r="DR30" i="11" s="1"/>
  <c r="BH16" i="11"/>
  <c r="BI16" i="11" s="1"/>
  <c r="DK14" i="11" s="1"/>
  <c r="BC29" i="11"/>
  <c r="BD29" i="11" s="1"/>
  <c r="DR27" i="11" s="1"/>
  <c r="BC10" i="11"/>
  <c r="BD10" i="11" s="1"/>
  <c r="BH23" i="11"/>
  <c r="BI23" i="11" s="1"/>
  <c r="DK21" i="11" s="1"/>
  <c r="BH25" i="11"/>
  <c r="BI25" i="11" s="1"/>
  <c r="DK23" i="11" s="1"/>
  <c r="BC14" i="11"/>
  <c r="BD14" i="11" s="1"/>
  <c r="DR12" i="11" s="1"/>
  <c r="BH20" i="11"/>
  <c r="BI20" i="11" s="1"/>
  <c r="DK18" i="11" s="1"/>
  <c r="BH27" i="11"/>
  <c r="BI27" i="11" s="1"/>
  <c r="DK25" i="11" s="1"/>
  <c r="BC17" i="11"/>
  <c r="BD17" i="11" s="1"/>
  <c r="DR15" i="11" s="1"/>
  <c r="BC9" i="11"/>
  <c r="BD9" i="11" s="1"/>
  <c r="BC34" i="11"/>
  <c r="BD34" i="11" s="1"/>
  <c r="DR32" i="11" s="1"/>
  <c r="BC13" i="11"/>
  <c r="BD13" i="11" s="1"/>
  <c r="DR11" i="11" s="1"/>
  <c r="BC18" i="11"/>
  <c r="BD18" i="11" s="1"/>
  <c r="DR16" i="11" s="1"/>
  <c r="BR7" i="11"/>
  <c r="BS7" i="11" s="1"/>
  <c r="BH7" i="11"/>
  <c r="BI7" i="11" s="1"/>
  <c r="DK5" i="11" s="1"/>
  <c r="F8" i="10"/>
  <c r="F9" i="10" s="1"/>
  <c r="F10" i="10" s="1"/>
  <c r="F11" i="10" s="1"/>
  <c r="F12" i="10" s="1"/>
  <c r="F13" i="10" s="1"/>
  <c r="F14" i="10" s="1"/>
  <c r="F15" i="10" s="1"/>
  <c r="F16" i="10" s="1"/>
  <c r="F17" i="10" s="1"/>
  <c r="F18" i="10" s="1"/>
  <c r="F19" i="10" s="1"/>
  <c r="F20" i="10" s="1"/>
  <c r="F21" i="10" s="1"/>
  <c r="F22" i="10" s="1"/>
  <c r="F23" i="10" s="1"/>
  <c r="F24" i="10" s="1"/>
  <c r="F25" i="10" s="1"/>
  <c r="F26" i="10" s="1"/>
  <c r="F27" i="10" s="1"/>
  <c r="CR5" i="11"/>
  <c r="CT5" i="11" s="1"/>
  <c r="CT4" i="11" s="1"/>
  <c r="B47" i="10" l="1"/>
  <c r="O2" i="10" s="1"/>
  <c r="FH5" i="11"/>
  <c r="FU46" i="11"/>
  <c r="FU41" i="11"/>
  <c r="B47" i="14"/>
  <c r="O2" i="14" s="1"/>
  <c r="L2" i="14"/>
  <c r="FU43" i="11"/>
  <c r="FU42" i="11"/>
  <c r="DO11" i="11"/>
  <c r="DP11" i="11"/>
  <c r="DQ11" i="11"/>
  <c r="DO32" i="11"/>
  <c r="DP32" i="11"/>
  <c r="DQ32" i="11"/>
  <c r="DO21" i="11"/>
  <c r="DP21" i="11"/>
  <c r="DQ21" i="11"/>
  <c r="DO13" i="11"/>
  <c r="DP13" i="11"/>
  <c r="DQ13" i="11"/>
  <c r="DO18" i="11"/>
  <c r="DP18" i="11"/>
  <c r="DQ18" i="11"/>
  <c r="DO22" i="11"/>
  <c r="DP22" i="11"/>
  <c r="DQ22" i="11"/>
  <c r="DO15" i="11"/>
  <c r="DP15" i="11"/>
  <c r="DQ15" i="11"/>
  <c r="DO24" i="11"/>
  <c r="DP24" i="11"/>
  <c r="DQ24" i="11"/>
  <c r="DO20" i="11"/>
  <c r="DP20" i="11"/>
  <c r="DQ20" i="11"/>
  <c r="DO12" i="11"/>
  <c r="DP12" i="11"/>
  <c r="DQ12" i="11"/>
  <c r="DO23" i="11"/>
  <c r="DP23" i="11"/>
  <c r="DQ23" i="11"/>
  <c r="DO29" i="11"/>
  <c r="DP29" i="11"/>
  <c r="DQ29" i="11"/>
  <c r="DO17" i="11"/>
  <c r="DP17" i="11"/>
  <c r="DQ17" i="11"/>
  <c r="DO27" i="11"/>
  <c r="DQ27" i="11"/>
  <c r="DP27" i="11"/>
  <c r="DO25" i="11"/>
  <c r="DP25" i="11"/>
  <c r="DQ25" i="11"/>
  <c r="DO33" i="11"/>
  <c r="DP33" i="11"/>
  <c r="DQ33" i="11"/>
  <c r="DO14" i="11"/>
  <c r="DP14" i="11"/>
  <c r="DQ14" i="11"/>
  <c r="DO31" i="11"/>
  <c r="DP31" i="11"/>
  <c r="DQ31" i="11"/>
  <c r="DO30" i="11"/>
  <c r="DP30" i="11"/>
  <c r="DQ30" i="11"/>
  <c r="DO28" i="11"/>
  <c r="DP28" i="11"/>
  <c r="DQ28" i="11"/>
  <c r="DO19" i="11"/>
  <c r="DP19" i="11"/>
  <c r="DQ19" i="11"/>
  <c r="DO16" i="11"/>
  <c r="DP16" i="11"/>
  <c r="DQ16" i="11"/>
  <c r="DO26" i="11"/>
  <c r="DP26" i="11"/>
  <c r="DQ26" i="11"/>
  <c r="FU26" i="11"/>
  <c r="FU44" i="11"/>
  <c r="FU27" i="11"/>
  <c r="FU25" i="11"/>
  <c r="DN33" i="11"/>
  <c r="DN14" i="11"/>
  <c r="DN26" i="11"/>
  <c r="DN32" i="11"/>
  <c r="DN25" i="11"/>
  <c r="DN31" i="11"/>
  <c r="DN13" i="11"/>
  <c r="DN20" i="11"/>
  <c r="DN21" i="11"/>
  <c r="DN29" i="11"/>
  <c r="DN16" i="11"/>
  <c r="DN11" i="11"/>
  <c r="DN22" i="11"/>
  <c r="DN15" i="11"/>
  <c r="DN12" i="11"/>
  <c r="DN23" i="11"/>
  <c r="DN30" i="11"/>
  <c r="DN18" i="11"/>
  <c r="DN24" i="11"/>
  <c r="DN17" i="11"/>
  <c r="DN28" i="11"/>
  <c r="DN27" i="11"/>
  <c r="DN19" i="11"/>
  <c r="DK55" i="11"/>
  <c r="FH6" i="11"/>
  <c r="FT6" i="11"/>
  <c r="DS12" i="11"/>
  <c r="DT12" i="11"/>
  <c r="DS16" i="11"/>
  <c r="DT16" i="11"/>
  <c r="DS25" i="11"/>
  <c r="DT25" i="11"/>
  <c r="DS33" i="11"/>
  <c r="DT33" i="11"/>
  <c r="DT6" i="11"/>
  <c r="DS22" i="11"/>
  <c r="DT22" i="11"/>
  <c r="DS28" i="11"/>
  <c r="DT28" i="11"/>
  <c r="DS31" i="11"/>
  <c r="DT31" i="11"/>
  <c r="DS11" i="11"/>
  <c r="DT11" i="11"/>
  <c r="DT10" i="11"/>
  <c r="DS18" i="11"/>
  <c r="DT18" i="11"/>
  <c r="DS27" i="11"/>
  <c r="DT27" i="11"/>
  <c r="DS19" i="11"/>
  <c r="DT19" i="11"/>
  <c r="DT9" i="11"/>
  <c r="DS13" i="11"/>
  <c r="DT13" i="11"/>
  <c r="DS29" i="11"/>
  <c r="DT29" i="11"/>
  <c r="DS23" i="11"/>
  <c r="DT23" i="11"/>
  <c r="DS15" i="11"/>
  <c r="DT15" i="11"/>
  <c r="DS14" i="11"/>
  <c r="DT14" i="11"/>
  <c r="DS26" i="11"/>
  <c r="DT26" i="11"/>
  <c r="DS21" i="11"/>
  <c r="DT21" i="11"/>
  <c r="DS32" i="11"/>
  <c r="DT32" i="11"/>
  <c r="DS30" i="11"/>
  <c r="DT30" i="11"/>
  <c r="DS17" i="11"/>
  <c r="DT17" i="11"/>
  <c r="DT8" i="11"/>
  <c r="DS20" i="11"/>
  <c r="DT20" i="11"/>
  <c r="DS24" i="11"/>
  <c r="DT24" i="11"/>
  <c r="CI7" i="11"/>
  <c r="BN7" i="11"/>
  <c r="FD7" i="11"/>
  <c r="FP7" i="11"/>
  <c r="EH55" i="11"/>
  <c r="EJ5" i="11"/>
  <c r="BY7" i="11"/>
  <c r="DM5" i="11"/>
  <c r="DM11" i="11"/>
  <c r="DL11" i="11"/>
  <c r="DM33" i="11"/>
  <c r="DL33" i="11"/>
  <c r="DM26" i="11"/>
  <c r="DL26" i="11"/>
  <c r="DM29" i="11"/>
  <c r="DL29" i="11"/>
  <c r="DM25" i="11"/>
  <c r="DL25" i="11"/>
  <c r="DM28" i="11"/>
  <c r="DL28" i="11"/>
  <c r="DM20" i="11"/>
  <c r="DL20" i="11"/>
  <c r="DM32" i="11"/>
  <c r="DL32" i="11"/>
  <c r="DM30" i="11"/>
  <c r="DL30" i="11"/>
  <c r="DM24" i="11"/>
  <c r="DL24" i="11"/>
  <c r="DM17" i="11"/>
  <c r="DL17" i="11"/>
  <c r="DM14" i="11"/>
  <c r="DL14" i="11"/>
  <c r="DM22" i="11"/>
  <c r="DL22" i="11"/>
  <c r="DM19" i="11"/>
  <c r="DL19" i="11"/>
  <c r="DM7" i="11"/>
  <c r="DM12" i="11"/>
  <c r="DL12" i="11"/>
  <c r="DM8" i="11"/>
  <c r="DM21" i="11"/>
  <c r="DL21" i="11"/>
  <c r="DM10" i="11"/>
  <c r="DM6" i="11"/>
  <c r="DM31" i="11"/>
  <c r="DL31" i="11"/>
  <c r="DM16" i="11"/>
  <c r="DL16" i="11"/>
  <c r="DM15" i="11"/>
  <c r="DL15" i="11"/>
  <c r="DM27" i="11"/>
  <c r="DL27" i="11"/>
  <c r="DM9" i="11"/>
  <c r="DM18" i="11"/>
  <c r="DL18" i="11"/>
  <c r="DM23" i="11"/>
  <c r="DL23" i="11"/>
  <c r="DM13" i="11"/>
  <c r="DL13" i="11"/>
  <c r="CE7" i="11"/>
  <c r="F28" i="10"/>
  <c r="F29" i="10" s="1"/>
  <c r="F30" i="10" s="1"/>
  <c r="F31" i="10" s="1"/>
  <c r="F32" i="10" s="1"/>
  <c r="F33" i="10" s="1"/>
  <c r="F34" i="10" s="1"/>
  <c r="F35" i="10" s="1"/>
  <c r="F36" i="10" s="1"/>
  <c r="F37" i="10" s="1"/>
  <c r="F38" i="10" s="1"/>
  <c r="F39" i="10" s="1"/>
  <c r="F40" i="10" s="1"/>
  <c r="F41" i="10" s="1"/>
  <c r="F42" i="10" s="1"/>
  <c r="F43" i="10" s="1"/>
  <c r="F44" i="10" s="1"/>
  <c r="F45" i="10" s="1"/>
  <c r="F46" i="10" s="1"/>
  <c r="F47" i="10" s="1"/>
  <c r="BE7" i="11"/>
  <c r="BT7" i="11"/>
  <c r="CT6" i="11"/>
  <c r="CU6" i="11" s="1"/>
  <c r="CU4" i="11"/>
  <c r="DC4" i="11"/>
  <c r="BJ7" i="11"/>
  <c r="FI51" i="11" l="1"/>
  <c r="FI53" i="11"/>
  <c r="FI52" i="11"/>
  <c r="FH7" i="11"/>
  <c r="FT7" i="11"/>
  <c r="FI40" i="11"/>
  <c r="FI41" i="11"/>
  <c r="FI38" i="11"/>
  <c r="FI39" i="11"/>
  <c r="FI42" i="11"/>
  <c r="FI36" i="11"/>
  <c r="FI37" i="11"/>
  <c r="FI43" i="11"/>
  <c r="FI45" i="11"/>
  <c r="FI44" i="11"/>
  <c r="FI35" i="11"/>
  <c r="FI34" i="11"/>
  <c r="FI19" i="11"/>
  <c r="FI26" i="11"/>
  <c r="FI14" i="11"/>
  <c r="FI18" i="11"/>
  <c r="FI25" i="11"/>
  <c r="FI6" i="11"/>
  <c r="FJ6" i="11" s="1"/>
  <c r="FV6" i="11"/>
  <c r="FI20" i="11"/>
  <c r="FI15" i="11"/>
  <c r="FI10" i="11"/>
  <c r="FI16" i="11"/>
  <c r="FI22" i="11"/>
  <c r="FI27" i="11"/>
  <c r="FI8" i="11"/>
  <c r="FI23" i="11"/>
  <c r="FI11" i="11"/>
  <c r="FI12" i="11"/>
  <c r="FI9" i="11"/>
  <c r="FI21" i="11"/>
  <c r="FI29" i="11"/>
  <c r="FI31" i="11"/>
  <c r="FI32" i="11"/>
  <c r="FI30" i="11"/>
  <c r="FI13" i="11"/>
  <c r="FI28" i="11"/>
  <c r="FI33" i="11"/>
  <c r="CJ7" i="11"/>
  <c r="FB5" i="11" s="1"/>
  <c r="EQ5" i="11"/>
  <c r="DT5" i="11"/>
  <c r="FI17" i="11" s="1"/>
  <c r="BO7" i="11"/>
  <c r="EE5" i="11" s="1"/>
  <c r="DV5" i="11"/>
  <c r="ES5" i="11"/>
  <c r="FD8" i="11"/>
  <c r="FP8" i="11"/>
  <c r="BY8" i="11"/>
  <c r="BZ7" i="11"/>
  <c r="BV8" i="11" s="1"/>
  <c r="BZ8" i="11" s="1"/>
  <c r="BV9" i="11" s="1"/>
  <c r="BZ9" i="11" s="1"/>
  <c r="BV10" i="11" s="1"/>
  <c r="BZ10" i="11" s="1"/>
  <c r="BV11" i="11" s="1"/>
  <c r="BZ11" i="11" s="1"/>
  <c r="BV12" i="11" s="1"/>
  <c r="BZ12" i="11" s="1"/>
  <c r="BV13" i="11" s="1"/>
  <c r="BZ13" i="11" s="1"/>
  <c r="BV14" i="11" s="1"/>
  <c r="BZ14" i="11" s="1"/>
  <c r="BV15" i="11" s="1"/>
  <c r="BZ15" i="11" s="1"/>
  <c r="BV16" i="11" s="1"/>
  <c r="BZ16" i="11" s="1"/>
  <c r="BV17" i="11" s="1"/>
  <c r="BZ17" i="11" s="1"/>
  <c r="BV18" i="11" s="1"/>
  <c r="BZ18" i="11" s="1"/>
  <c r="BV19" i="11" s="1"/>
  <c r="BZ19" i="11" s="1"/>
  <c r="BV20" i="11" s="1"/>
  <c r="BZ20" i="11" s="1"/>
  <c r="BV21" i="11" s="1"/>
  <c r="BZ21" i="11" s="1"/>
  <c r="BV22" i="11" s="1"/>
  <c r="BZ22" i="11" s="1"/>
  <c r="BV23" i="11" s="1"/>
  <c r="BZ23" i="11" s="1"/>
  <c r="BV24" i="11" s="1"/>
  <c r="BZ24" i="11" s="1"/>
  <c r="BV25" i="11" s="1"/>
  <c r="BZ25" i="11" s="1"/>
  <c r="BV26" i="11" s="1"/>
  <c r="BZ26" i="11" s="1"/>
  <c r="BV27" i="11" s="1"/>
  <c r="BZ27" i="11" s="1"/>
  <c r="BV28" i="11" s="1"/>
  <c r="BZ28" i="11" s="1"/>
  <c r="BV29" i="11" s="1"/>
  <c r="BZ29" i="11" s="1"/>
  <c r="BV30" i="11" s="1"/>
  <c r="BZ30" i="11" s="1"/>
  <c r="BV31" i="11" s="1"/>
  <c r="BZ31" i="11" s="1"/>
  <c r="BV32" i="11" s="1"/>
  <c r="BZ32" i="11" s="1"/>
  <c r="BV33" i="11" s="1"/>
  <c r="BZ33" i="11" s="1"/>
  <c r="BV34" i="11" s="1"/>
  <c r="BZ34" i="11" s="1"/>
  <c r="BV35" i="11" s="1"/>
  <c r="BZ35" i="11" s="1"/>
  <c r="BV36" i="11" s="1"/>
  <c r="BZ36" i="11" s="1"/>
  <c r="BV37" i="11" s="1"/>
  <c r="BZ37" i="11" s="1"/>
  <c r="BV38" i="11" s="1"/>
  <c r="BZ38" i="11" s="1"/>
  <c r="BV39" i="11" s="1"/>
  <c r="BZ39" i="11" s="1"/>
  <c r="BV40" i="11" s="1"/>
  <c r="BZ40" i="11" s="1"/>
  <c r="BV41" i="11" s="1"/>
  <c r="BZ41" i="11" s="1"/>
  <c r="BV42" i="11" s="1"/>
  <c r="BZ42" i="11" s="1"/>
  <c r="BV43" i="11" s="1"/>
  <c r="BZ43" i="11" s="1"/>
  <c r="BV44" i="11" s="1"/>
  <c r="BZ44" i="11" s="1"/>
  <c r="BV45" i="11" s="1"/>
  <c r="BZ45" i="11" s="1"/>
  <c r="BV46" i="11" s="1"/>
  <c r="BZ46" i="11" s="1"/>
  <c r="BV47" i="11" s="1"/>
  <c r="BZ47" i="11" s="1"/>
  <c r="DM55" i="11"/>
  <c r="CE8" i="11"/>
  <c r="DE4" i="11"/>
  <c r="DD4" i="11"/>
  <c r="BJ8" i="11"/>
  <c r="BK7" i="11"/>
  <c r="CV4" i="11"/>
  <c r="CV5" i="11" s="1"/>
  <c r="CF7" i="11"/>
  <c r="BU7" i="11"/>
  <c r="BQ8" i="11" s="1"/>
  <c r="BU8" i="11" s="1"/>
  <c r="BQ9" i="11" s="1"/>
  <c r="BU9" i="11" s="1"/>
  <c r="BQ10" i="11" s="1"/>
  <c r="BU10" i="11" s="1"/>
  <c r="BQ11" i="11" s="1"/>
  <c r="BU11" i="11" s="1"/>
  <c r="BQ12" i="11" s="1"/>
  <c r="BU12" i="11" s="1"/>
  <c r="BQ13" i="11" s="1"/>
  <c r="BU13" i="11" s="1"/>
  <c r="BQ14" i="11" s="1"/>
  <c r="BU14" i="11" s="1"/>
  <c r="BQ15" i="11" s="1"/>
  <c r="BU15" i="11" s="1"/>
  <c r="BQ16" i="11" s="1"/>
  <c r="BU16" i="11" s="1"/>
  <c r="BQ17" i="11" s="1"/>
  <c r="BU17" i="11" s="1"/>
  <c r="BQ18" i="11" s="1"/>
  <c r="BU18" i="11" s="1"/>
  <c r="BQ19" i="11" s="1"/>
  <c r="BU19" i="11" s="1"/>
  <c r="BQ20" i="11" s="1"/>
  <c r="BU20" i="11" s="1"/>
  <c r="BQ21" i="11" s="1"/>
  <c r="BU21" i="11" s="1"/>
  <c r="BQ22" i="11" s="1"/>
  <c r="BU22" i="11" s="1"/>
  <c r="BQ23" i="11" s="1"/>
  <c r="BU23" i="11" s="1"/>
  <c r="BQ24" i="11" s="1"/>
  <c r="BU24" i="11" s="1"/>
  <c r="BQ25" i="11" s="1"/>
  <c r="BU25" i="11" s="1"/>
  <c r="BQ26" i="11" s="1"/>
  <c r="BU26" i="11" s="1"/>
  <c r="BQ27" i="11" s="1"/>
  <c r="BU27" i="11" s="1"/>
  <c r="BQ28" i="11" s="1"/>
  <c r="BU28" i="11" s="1"/>
  <c r="BQ29" i="11" s="1"/>
  <c r="BU29" i="11" s="1"/>
  <c r="BQ30" i="11" s="1"/>
  <c r="BU30" i="11" s="1"/>
  <c r="BQ31" i="11" s="1"/>
  <c r="BU31" i="11" s="1"/>
  <c r="BQ32" i="11" s="1"/>
  <c r="BU32" i="11" s="1"/>
  <c r="BQ33" i="11" s="1"/>
  <c r="BU33" i="11" s="1"/>
  <c r="BQ34" i="11" s="1"/>
  <c r="BU34" i="11" s="1"/>
  <c r="BQ35" i="11" s="1"/>
  <c r="BU35" i="11" s="1"/>
  <c r="BQ36" i="11" s="1"/>
  <c r="BU36" i="11" s="1"/>
  <c r="BQ37" i="11" s="1"/>
  <c r="BU37" i="11" s="1"/>
  <c r="BQ38" i="11" s="1"/>
  <c r="BU38" i="11" s="1"/>
  <c r="BQ39" i="11" s="1"/>
  <c r="BU39" i="11" s="1"/>
  <c r="BQ40" i="11" s="1"/>
  <c r="BU40" i="11" s="1"/>
  <c r="BQ41" i="11" s="1"/>
  <c r="BU41" i="11" s="1"/>
  <c r="BQ42" i="11" s="1"/>
  <c r="BU42" i="11" s="1"/>
  <c r="BQ43" i="11" s="1"/>
  <c r="BU43" i="11" s="1"/>
  <c r="BQ44" i="11" s="1"/>
  <c r="BU44" i="11" s="1"/>
  <c r="BQ45" i="11" s="1"/>
  <c r="BU45" i="11" s="1"/>
  <c r="BQ46" i="11" s="1"/>
  <c r="BT8" i="11"/>
  <c r="BE8" i="11"/>
  <c r="BF7" i="11"/>
  <c r="FU5" i="11" l="1"/>
  <c r="FV5" i="11" s="1"/>
  <c r="FU7" i="11"/>
  <c r="FV7" i="11" s="1"/>
  <c r="G8" i="14"/>
  <c r="G10" i="15"/>
  <c r="G10" i="13"/>
  <c r="FI24" i="11"/>
  <c r="FH8" i="11"/>
  <c r="FJ8" i="11" s="1"/>
  <c r="FT8" i="11"/>
  <c r="FV8" i="11" s="1"/>
  <c r="FI7" i="11"/>
  <c r="FJ7" i="11" s="1"/>
  <c r="G8" i="10"/>
  <c r="FI5" i="11"/>
  <c r="FJ5" i="11" s="1"/>
  <c r="DT55" i="11"/>
  <c r="CK7" i="11"/>
  <c r="CG8" i="11" s="1"/>
  <c r="CK8" i="11" s="1"/>
  <c r="CG9" i="11" s="1"/>
  <c r="CK9" i="11" s="1"/>
  <c r="CG10" i="11" s="1"/>
  <c r="CK10" i="11" s="1"/>
  <c r="CG11" i="11" s="1"/>
  <c r="CK11" i="11" s="1"/>
  <c r="CG12" i="11" s="1"/>
  <c r="CK12" i="11" s="1"/>
  <c r="CG13" i="11" s="1"/>
  <c r="CK13" i="11" s="1"/>
  <c r="CG14" i="11" s="1"/>
  <c r="CK14" i="11" s="1"/>
  <c r="CG15" i="11" s="1"/>
  <c r="CK15" i="11" s="1"/>
  <c r="CG16" i="11" s="1"/>
  <c r="CK16" i="11" s="1"/>
  <c r="CG17" i="11" s="1"/>
  <c r="CK17" i="11" s="1"/>
  <c r="CG18" i="11" s="1"/>
  <c r="CK18" i="11" s="1"/>
  <c r="CG19" i="11" s="1"/>
  <c r="CK19" i="11" s="1"/>
  <c r="CG20" i="11" s="1"/>
  <c r="CK20" i="11" s="1"/>
  <c r="CG21" i="11" s="1"/>
  <c r="CK21" i="11" s="1"/>
  <c r="CG22" i="11" s="1"/>
  <c r="CK22" i="11" s="1"/>
  <c r="CG23" i="11" s="1"/>
  <c r="CK23" i="11" s="1"/>
  <c r="CG24" i="11" s="1"/>
  <c r="CK24" i="11" s="1"/>
  <c r="CG25" i="11" s="1"/>
  <c r="CK25" i="11" s="1"/>
  <c r="CG26" i="11" s="1"/>
  <c r="CK26" i="11" s="1"/>
  <c r="CG27" i="11" s="1"/>
  <c r="CK27" i="11" s="1"/>
  <c r="CG28" i="11" s="1"/>
  <c r="CK28" i="11" s="1"/>
  <c r="CG29" i="11" s="1"/>
  <c r="CK29" i="11" s="1"/>
  <c r="CG30" i="11" s="1"/>
  <c r="CK30" i="11" s="1"/>
  <c r="CG31" i="11" s="1"/>
  <c r="CK31" i="11" s="1"/>
  <c r="CG32" i="11" s="1"/>
  <c r="CK32" i="11" s="1"/>
  <c r="CG33" i="11" s="1"/>
  <c r="CK33" i="11" s="1"/>
  <c r="CG34" i="11" s="1"/>
  <c r="CK34" i="11" s="1"/>
  <c r="CG35" i="11" s="1"/>
  <c r="CK35" i="11" s="1"/>
  <c r="CG36" i="11" s="1"/>
  <c r="CK36" i="11" s="1"/>
  <c r="CG37" i="11" s="1"/>
  <c r="CK37" i="11" s="1"/>
  <c r="CG38" i="11" s="1"/>
  <c r="CK38" i="11" s="1"/>
  <c r="CG39" i="11" s="1"/>
  <c r="CK39" i="11" s="1"/>
  <c r="CG40" i="11" s="1"/>
  <c r="CK40" i="11" s="1"/>
  <c r="CG41" i="11" s="1"/>
  <c r="CK41" i="11" s="1"/>
  <c r="CG42" i="11" s="1"/>
  <c r="CK42" i="11" s="1"/>
  <c r="CG43" i="11" s="1"/>
  <c r="CK43" i="11" s="1"/>
  <c r="CG44" i="11" s="1"/>
  <c r="CK44" i="11" s="1"/>
  <c r="CG45" i="11" s="1"/>
  <c r="CK45" i="11" s="1"/>
  <c r="CG46" i="11" s="1"/>
  <c r="CK46" i="11" s="1"/>
  <c r="CJ8" i="11"/>
  <c r="CJ9" i="11" s="1"/>
  <c r="BP7" i="11"/>
  <c r="BL8" i="11" s="1"/>
  <c r="BP8" i="11" s="1"/>
  <c r="BL9" i="11" s="1"/>
  <c r="BP9" i="11" s="1"/>
  <c r="BL10" i="11" s="1"/>
  <c r="BP10" i="11" s="1"/>
  <c r="BL11" i="11" s="1"/>
  <c r="BP11" i="11" s="1"/>
  <c r="BL12" i="11" s="1"/>
  <c r="BP12" i="11" s="1"/>
  <c r="BL13" i="11" s="1"/>
  <c r="BP13" i="11" s="1"/>
  <c r="BL14" i="11" s="1"/>
  <c r="BP14" i="11" s="1"/>
  <c r="BL15" i="11" s="1"/>
  <c r="BP15" i="11" s="1"/>
  <c r="BL16" i="11" s="1"/>
  <c r="BP16" i="11" s="1"/>
  <c r="BL17" i="11" s="1"/>
  <c r="BP17" i="11" s="1"/>
  <c r="BL18" i="11" s="1"/>
  <c r="BP18" i="11" s="1"/>
  <c r="BL19" i="11" s="1"/>
  <c r="BP19" i="11" s="1"/>
  <c r="BL20" i="11" s="1"/>
  <c r="BP20" i="11" s="1"/>
  <c r="BL21" i="11" s="1"/>
  <c r="BP21" i="11" s="1"/>
  <c r="BL22" i="11" s="1"/>
  <c r="BP22" i="11" s="1"/>
  <c r="BL23" i="11" s="1"/>
  <c r="BP23" i="11" s="1"/>
  <c r="BL24" i="11" s="1"/>
  <c r="BP24" i="11" s="1"/>
  <c r="BL25" i="11" s="1"/>
  <c r="BP25" i="11" s="1"/>
  <c r="BL26" i="11" s="1"/>
  <c r="BP26" i="11" s="1"/>
  <c r="BL27" i="11" s="1"/>
  <c r="BP27" i="11" s="1"/>
  <c r="BL28" i="11" s="1"/>
  <c r="BP28" i="11" s="1"/>
  <c r="BL29" i="11" s="1"/>
  <c r="BP29" i="11" s="1"/>
  <c r="BL30" i="11" s="1"/>
  <c r="BP30" i="11" s="1"/>
  <c r="BL31" i="11" s="1"/>
  <c r="BP31" i="11" s="1"/>
  <c r="BL32" i="11" s="1"/>
  <c r="BP32" i="11" s="1"/>
  <c r="BL33" i="11" s="1"/>
  <c r="BP33" i="11" s="1"/>
  <c r="BL34" i="11" s="1"/>
  <c r="BP34" i="11" s="1"/>
  <c r="BL35" i="11" s="1"/>
  <c r="BP35" i="11" s="1"/>
  <c r="BO8" i="11"/>
  <c r="EE6" i="11" s="1"/>
  <c r="FD9" i="11"/>
  <c r="DV6" i="11"/>
  <c r="BY9" i="11"/>
  <c r="BY10" i="11" s="1"/>
  <c r="FP9" i="11"/>
  <c r="ES6" i="11"/>
  <c r="CE9" i="11"/>
  <c r="CB8" i="11"/>
  <c r="CF8" i="11" s="1"/>
  <c r="BS46" i="11"/>
  <c r="EO44" i="11" s="1"/>
  <c r="BG8" i="11"/>
  <c r="BK8" i="11" s="1"/>
  <c r="BJ9" i="11"/>
  <c r="BT9" i="11"/>
  <c r="CY4" i="11"/>
  <c r="CY5" i="11" s="1"/>
  <c r="CW5" i="11"/>
  <c r="CX4" i="11"/>
  <c r="CX5" i="11" s="1"/>
  <c r="BB8" i="11"/>
  <c r="BF8" i="11" s="1"/>
  <c r="BE9" i="11"/>
  <c r="EL44" i="11" l="1"/>
  <c r="EN44" i="11"/>
  <c r="EM44" i="11"/>
  <c r="G7" i="14"/>
  <c r="G9" i="15"/>
  <c r="G10" i="14"/>
  <c r="G12" i="15"/>
  <c r="G9" i="14"/>
  <c r="G11" i="15"/>
  <c r="G9" i="13"/>
  <c r="G11" i="13"/>
  <c r="G12" i="13"/>
  <c r="EK44" i="11"/>
  <c r="G9" i="10"/>
  <c r="FH9" i="11"/>
  <c r="FJ9" i="11" s="1"/>
  <c r="FT9" i="11"/>
  <c r="FV9" i="11" s="1"/>
  <c r="FB6" i="11"/>
  <c r="G7" i="10"/>
  <c r="G10" i="10"/>
  <c r="CJ10" i="11"/>
  <c r="FB7" i="11"/>
  <c r="BO9" i="11"/>
  <c r="EE7" i="11" s="1"/>
  <c r="DV7" i="11"/>
  <c r="ES7" i="11"/>
  <c r="FP10" i="11"/>
  <c r="FD10" i="11"/>
  <c r="EJ44" i="11"/>
  <c r="EJ55" i="11" s="1"/>
  <c r="EI44" i="11"/>
  <c r="BY11" i="11"/>
  <c r="CE10" i="11"/>
  <c r="CB9" i="11"/>
  <c r="CF9" i="11" s="1"/>
  <c r="BJ10" i="11"/>
  <c r="BU46" i="11"/>
  <c r="BG9" i="11"/>
  <c r="BK9" i="11" s="1"/>
  <c r="BB9" i="11"/>
  <c r="BF9" i="11" s="1"/>
  <c r="BE10" i="11"/>
  <c r="BT10" i="11"/>
  <c r="G11" i="14" l="1"/>
  <c r="G13" i="15"/>
  <c r="G13" i="13"/>
  <c r="G11" i="10"/>
  <c r="FT10" i="11"/>
  <c r="FV10" i="11" s="1"/>
  <c r="FH10" i="11"/>
  <c r="FJ10" i="11" s="1"/>
  <c r="CJ11" i="11"/>
  <c r="FB8" i="11"/>
  <c r="BO10" i="11"/>
  <c r="EE8" i="11" s="1"/>
  <c r="DV8" i="11"/>
  <c r="ES8" i="11"/>
  <c r="FP11" i="11"/>
  <c r="FD11" i="11"/>
  <c r="FL11" i="11" s="1" a="1"/>
  <c r="FL11" i="11" s="1"/>
  <c r="BY12" i="11"/>
  <c r="CE11" i="11"/>
  <c r="CB10" i="11"/>
  <c r="CF10" i="11" s="1"/>
  <c r="BT11" i="11"/>
  <c r="BJ11" i="11"/>
  <c r="BB10" i="11"/>
  <c r="BF10" i="11" s="1"/>
  <c r="BE11" i="11"/>
  <c r="BG10" i="11"/>
  <c r="BK10" i="11" s="1"/>
  <c r="G14" i="15" l="1"/>
  <c r="G14" i="13"/>
  <c r="G12" i="14"/>
  <c r="FH11" i="11"/>
  <c r="FJ11" i="11" s="1"/>
  <c r="FT11" i="11"/>
  <c r="FV11" i="11" s="1"/>
  <c r="G12" i="10"/>
  <c r="CJ12" i="11"/>
  <c r="FB9" i="11"/>
  <c r="BO11" i="11"/>
  <c r="DV9" i="11"/>
  <c r="FD12" i="11"/>
  <c r="FL12" i="11" s="1" a="1"/>
  <c r="FL12" i="11" s="1"/>
  <c r="ES9" i="11"/>
  <c r="FP12" i="11"/>
  <c r="BY13" i="11"/>
  <c r="CE12" i="11"/>
  <c r="CB11" i="11"/>
  <c r="CF11" i="11" s="1"/>
  <c r="BB11" i="11"/>
  <c r="BF11" i="11" s="1"/>
  <c r="BE12" i="11"/>
  <c r="BJ12" i="11"/>
  <c r="BT12" i="11"/>
  <c r="BG11" i="11"/>
  <c r="BK11" i="11" s="1"/>
  <c r="G13" i="14" l="1"/>
  <c r="G15" i="15"/>
  <c r="G15" i="13"/>
  <c r="G13" i="10"/>
  <c r="FH12" i="11"/>
  <c r="FJ12" i="11" s="1"/>
  <c r="FT12" i="11"/>
  <c r="FV12" i="11" s="1"/>
  <c r="CJ13" i="11"/>
  <c r="FB10" i="11"/>
  <c r="BO12" i="11"/>
  <c r="EE9" i="11"/>
  <c r="DV10" i="11"/>
  <c r="FD13" i="11"/>
  <c r="FL13" i="11" s="1" a="1"/>
  <c r="FL13" i="11" s="1"/>
  <c r="ES10" i="11"/>
  <c r="FP13" i="11"/>
  <c r="FX13" i="11" s="1" a="1"/>
  <c r="FX13" i="11" s="1"/>
  <c r="BY14" i="11"/>
  <c r="CE13" i="11"/>
  <c r="CB12" i="11"/>
  <c r="CF12" i="11" s="1"/>
  <c r="BB12" i="11"/>
  <c r="BF12" i="11" s="1"/>
  <c r="BJ13" i="11"/>
  <c r="BT13" i="11"/>
  <c r="BE13" i="11"/>
  <c r="BG12" i="11"/>
  <c r="BK12" i="11" s="1"/>
  <c r="G14" i="14" l="1"/>
  <c r="G16" i="15"/>
  <c r="G16" i="13"/>
  <c r="FT13" i="11"/>
  <c r="FV13" i="11" s="1"/>
  <c r="G14" i="10"/>
  <c r="FH13" i="11"/>
  <c r="FJ13" i="11" s="1"/>
  <c r="CJ14" i="11"/>
  <c r="FB11" i="11"/>
  <c r="BO13" i="11"/>
  <c r="EE10" i="11"/>
  <c r="DV11" i="11"/>
  <c r="ES11" i="11"/>
  <c r="FP14" i="11"/>
  <c r="FX14" i="11" s="1" a="1"/>
  <c r="FX14" i="11" s="1"/>
  <c r="FD14" i="11"/>
  <c r="FL14" i="11" s="1" a="1"/>
  <c r="FL14" i="11" s="1"/>
  <c r="BY15" i="11"/>
  <c r="CE14" i="11"/>
  <c r="CB13" i="11"/>
  <c r="CF13" i="11" s="1"/>
  <c r="BG13" i="11"/>
  <c r="BK13" i="11" s="1"/>
  <c r="BE14" i="11"/>
  <c r="BT14" i="11"/>
  <c r="BJ14" i="11"/>
  <c r="BB13" i="11"/>
  <c r="BF13" i="11" s="1"/>
  <c r="G15" i="14" l="1"/>
  <c r="G17" i="15"/>
  <c r="G17" i="13"/>
  <c r="FH14" i="11"/>
  <c r="FJ14" i="11" s="1"/>
  <c r="FT14" i="11"/>
  <c r="FV14" i="11" s="1"/>
  <c r="G15" i="10"/>
  <c r="CJ15" i="11"/>
  <c r="FB12" i="11"/>
  <c r="BO14" i="11"/>
  <c r="EE11" i="11"/>
  <c r="ES12" i="11"/>
  <c r="FD15" i="11"/>
  <c r="FL15" i="11" s="1" a="1"/>
  <c r="FL15" i="11" s="1"/>
  <c r="FP15" i="11"/>
  <c r="FX15" i="11" s="1" a="1"/>
  <c r="FX15" i="11" s="1"/>
  <c r="DV12" i="11"/>
  <c r="BY16" i="11"/>
  <c r="CE15" i="11"/>
  <c r="CB14" i="11"/>
  <c r="CF14" i="11" s="1"/>
  <c r="BB14" i="11"/>
  <c r="BF14" i="11" s="1"/>
  <c r="BT15" i="11"/>
  <c r="BJ15" i="11"/>
  <c r="BE15" i="11"/>
  <c r="BG14" i="11"/>
  <c r="BK14" i="11" s="1"/>
  <c r="G16" i="14" l="1"/>
  <c r="G18" i="15"/>
  <c r="G18" i="13"/>
  <c r="FH15" i="11"/>
  <c r="FJ15" i="11" s="1"/>
  <c r="FT15" i="11"/>
  <c r="FV15" i="11" s="1"/>
  <c r="G16" i="10"/>
  <c r="CJ16" i="11"/>
  <c r="FB13" i="11"/>
  <c r="BO15" i="11"/>
  <c r="EE12" i="11"/>
  <c r="ES13" i="11"/>
  <c r="FP16" i="11"/>
  <c r="FX16" i="11" s="1" a="1"/>
  <c r="FX16" i="11" s="1"/>
  <c r="DV13" i="11"/>
  <c r="FD16" i="11"/>
  <c r="FL16" i="11" s="1" a="1"/>
  <c r="FL16" i="11" s="1"/>
  <c r="BY17" i="11"/>
  <c r="CE16" i="11"/>
  <c r="CB15" i="11"/>
  <c r="CF15" i="11" s="1"/>
  <c r="BG15" i="11"/>
  <c r="BK15" i="11" s="1"/>
  <c r="BE16" i="11"/>
  <c r="BJ16" i="11"/>
  <c r="BT16" i="11"/>
  <c r="BB15" i="11"/>
  <c r="BF15" i="11" s="1"/>
  <c r="G17" i="14" l="1"/>
  <c r="G19" i="15"/>
  <c r="G19" i="13"/>
  <c r="FH16" i="11"/>
  <c r="FJ16" i="11" s="1"/>
  <c r="FT16" i="11"/>
  <c r="FV16" i="11" s="1"/>
  <c r="G17" i="10"/>
  <c r="CJ17" i="11"/>
  <c r="FB14" i="11"/>
  <c r="BO16" i="11"/>
  <c r="EE13" i="11"/>
  <c r="DV14" i="11"/>
  <c r="ES14" i="11"/>
  <c r="FP17" i="11"/>
  <c r="FX17" i="11" s="1" a="1"/>
  <c r="FX17" i="11" s="1"/>
  <c r="FD17" i="11"/>
  <c r="FL17" i="11" s="1" a="1"/>
  <c r="FL17" i="11" s="1"/>
  <c r="BY18" i="11"/>
  <c r="CE17" i="11"/>
  <c r="CB16" i="11"/>
  <c r="CF16" i="11" s="1"/>
  <c r="BB16" i="11"/>
  <c r="BF16" i="11" s="1"/>
  <c r="BT17" i="11"/>
  <c r="BG16" i="11"/>
  <c r="BK16" i="11" s="1"/>
  <c r="BJ17" i="11"/>
  <c r="BE17" i="11"/>
  <c r="G18" i="14" l="1"/>
  <c r="G20" i="15"/>
  <c r="G20" i="13"/>
  <c r="FH17" i="11"/>
  <c r="FJ17" i="11" s="1"/>
  <c r="FT17" i="11"/>
  <c r="FV17" i="11" s="1"/>
  <c r="G18" i="10"/>
  <c r="CJ18" i="11"/>
  <c r="FB15" i="11"/>
  <c r="BO17" i="11"/>
  <c r="EE14" i="11"/>
  <c r="DV15" i="11"/>
  <c r="FP18" i="11"/>
  <c r="FX18" i="11" s="1" a="1"/>
  <c r="FX18" i="11" s="1"/>
  <c r="ES15" i="11"/>
  <c r="FD18" i="11"/>
  <c r="FL18" i="11" s="1" a="1"/>
  <c r="FL18" i="11" s="1"/>
  <c r="BY19" i="11"/>
  <c r="CE18" i="11"/>
  <c r="CB17" i="11"/>
  <c r="CF17" i="11" s="1"/>
  <c r="BE18" i="11"/>
  <c r="BJ18" i="11"/>
  <c r="BG17" i="11"/>
  <c r="BK17" i="11" s="1"/>
  <c r="BT18" i="11"/>
  <c r="BB17" i="11"/>
  <c r="BF17" i="11" s="1"/>
  <c r="G19" i="14" l="1"/>
  <c r="G21" i="15"/>
  <c r="G21" i="13"/>
  <c r="FT18" i="11"/>
  <c r="FV18" i="11" s="1"/>
  <c r="FY18" i="11"/>
  <c r="FH18" i="11"/>
  <c r="FJ18" i="11" s="1"/>
  <c r="FK18" i="11"/>
  <c r="FM18" i="11"/>
  <c r="G19" i="10"/>
  <c r="CJ19" i="11"/>
  <c r="FB16" i="11"/>
  <c r="BO18" i="11"/>
  <c r="EE15" i="11"/>
  <c r="ES16" i="11"/>
  <c r="DV16" i="11"/>
  <c r="FD19" i="11"/>
  <c r="FL19" i="11" s="1" a="1"/>
  <c r="FL19" i="11" s="1"/>
  <c r="FP19" i="11"/>
  <c r="FX19" i="11" s="1" a="1"/>
  <c r="FX19" i="11" s="1"/>
  <c r="BY20" i="11"/>
  <c r="CE19" i="11"/>
  <c r="CB18" i="11"/>
  <c r="CF18" i="11" s="1"/>
  <c r="BB18" i="11"/>
  <c r="BF18" i="11" s="1"/>
  <c r="BJ19" i="11"/>
  <c r="BT19" i="11"/>
  <c r="BG18" i="11"/>
  <c r="BK18" i="11" s="1"/>
  <c r="BE19" i="11"/>
  <c r="G20" i="14" l="1"/>
  <c r="G22" i="15"/>
  <c r="G22" i="13"/>
  <c r="FT19" i="11"/>
  <c r="FV19" i="11" s="1"/>
  <c r="FY19" i="11"/>
  <c r="FK19" i="11"/>
  <c r="FM19" i="11"/>
  <c r="FH19" i="11"/>
  <c r="FJ19" i="11" s="1"/>
  <c r="G20" i="10"/>
  <c r="CJ20" i="11"/>
  <c r="FB17" i="11"/>
  <c r="BO19" i="11"/>
  <c r="EE16" i="11"/>
  <c r="ES17" i="11"/>
  <c r="FP20" i="11"/>
  <c r="FX20" i="11" s="1" a="1"/>
  <c r="FX20" i="11" s="1"/>
  <c r="DV17" i="11"/>
  <c r="FD20" i="11"/>
  <c r="FL20" i="11" s="1" a="1"/>
  <c r="FL20" i="11" s="1"/>
  <c r="BY21" i="11"/>
  <c r="CE20" i="11"/>
  <c r="CB19" i="11"/>
  <c r="CF19" i="11" s="1"/>
  <c r="BE20" i="11"/>
  <c r="BG19" i="11"/>
  <c r="BK19" i="11" s="1"/>
  <c r="BT20" i="11"/>
  <c r="BJ20" i="11"/>
  <c r="BB19" i="11"/>
  <c r="BF19" i="11" s="1"/>
  <c r="G21" i="14" l="1"/>
  <c r="G23" i="15"/>
  <c r="G23" i="13"/>
  <c r="FH20" i="11"/>
  <c r="FJ20" i="11" s="1"/>
  <c r="FK20" i="11"/>
  <c r="FM20" i="11"/>
  <c r="FT20" i="11"/>
  <c r="FV20" i="11" s="1"/>
  <c r="FY20" i="11"/>
  <c r="FW20" i="11"/>
  <c r="G21" i="10"/>
  <c r="CJ21" i="11"/>
  <c r="FB18" i="11"/>
  <c r="BO20" i="11"/>
  <c r="EE17" i="11"/>
  <c r="FD21" i="11"/>
  <c r="FL21" i="11" s="1" a="1"/>
  <c r="FL21" i="11" s="1"/>
  <c r="FP21" i="11"/>
  <c r="FX21" i="11" s="1" a="1"/>
  <c r="FX21" i="11" s="1"/>
  <c r="DV18" i="11"/>
  <c r="ES18" i="11"/>
  <c r="BY22" i="11"/>
  <c r="CE21" i="11"/>
  <c r="CB20" i="11"/>
  <c r="CF20" i="11" s="1"/>
  <c r="BG20" i="11"/>
  <c r="BK20" i="11" s="1"/>
  <c r="BB20" i="11"/>
  <c r="BF20" i="11" s="1"/>
  <c r="BJ21" i="11"/>
  <c r="BT21" i="11"/>
  <c r="BE21" i="11"/>
  <c r="G22" i="14" l="1"/>
  <c r="G24" i="15"/>
  <c r="H22" i="14"/>
  <c r="H24" i="15"/>
  <c r="H24" i="13"/>
  <c r="G24" i="13"/>
  <c r="FT21" i="11"/>
  <c r="FV21" i="11" s="1"/>
  <c r="FY21" i="11"/>
  <c r="FW21" i="11"/>
  <c r="FH21" i="11"/>
  <c r="FJ21" i="11" s="1"/>
  <c r="FM21" i="11"/>
  <c r="FK21" i="11"/>
  <c r="G22" i="10"/>
  <c r="CJ22" i="11"/>
  <c r="FB19" i="11"/>
  <c r="BO21" i="11"/>
  <c r="EE18" i="11"/>
  <c r="H22" i="10"/>
  <c r="DV19" i="11"/>
  <c r="ES19" i="11"/>
  <c r="FP22" i="11"/>
  <c r="FX22" i="11" s="1" a="1"/>
  <c r="FX22" i="11" s="1"/>
  <c r="FD22" i="11"/>
  <c r="FL22" i="11" s="1" a="1"/>
  <c r="FL22" i="11" s="1"/>
  <c r="BY23" i="11"/>
  <c r="CE22" i="11"/>
  <c r="CB21" i="11"/>
  <c r="CF21" i="11" s="1"/>
  <c r="BE22" i="11"/>
  <c r="BB21" i="11"/>
  <c r="BF21" i="11" s="1"/>
  <c r="BT22" i="11"/>
  <c r="BJ22" i="11"/>
  <c r="BG21" i="11"/>
  <c r="BK21" i="11" s="1"/>
  <c r="H23" i="14" l="1"/>
  <c r="H25" i="15"/>
  <c r="G23" i="14"/>
  <c r="G25" i="15"/>
  <c r="H25" i="13"/>
  <c r="G25" i="13"/>
  <c r="FH22" i="11"/>
  <c r="FJ22" i="11" s="1"/>
  <c r="FK22" i="11"/>
  <c r="FM22" i="11"/>
  <c r="FT22" i="11"/>
  <c r="FV22" i="11" s="1"/>
  <c r="FY22" i="11"/>
  <c r="FW22" i="11"/>
  <c r="G23" i="10"/>
  <c r="CJ23" i="11"/>
  <c r="FB20" i="11"/>
  <c r="BO22" i="11"/>
  <c r="EE19" i="11"/>
  <c r="H23" i="10"/>
  <c r="FP23" i="11"/>
  <c r="FX23" i="11" s="1" a="1"/>
  <c r="FX23" i="11" s="1"/>
  <c r="DV20" i="11"/>
  <c r="FD23" i="11"/>
  <c r="FL23" i="11" s="1" a="1"/>
  <c r="FL23" i="11" s="1"/>
  <c r="ES20" i="11"/>
  <c r="BY24" i="11"/>
  <c r="CE23" i="11"/>
  <c r="CB22" i="11"/>
  <c r="CF22" i="11" s="1"/>
  <c r="BG22" i="11"/>
  <c r="BK22" i="11" s="1"/>
  <c r="BJ23" i="11"/>
  <c r="BT23" i="11"/>
  <c r="BB22" i="11"/>
  <c r="BF22" i="11" s="1"/>
  <c r="BE23" i="11"/>
  <c r="H24" i="14" l="1"/>
  <c r="H26" i="15"/>
  <c r="G24" i="14"/>
  <c r="G26" i="15"/>
  <c r="G26" i="13"/>
  <c r="H26" i="13"/>
  <c r="FH23" i="11"/>
  <c r="FJ23" i="11" s="1"/>
  <c r="FK23" i="11"/>
  <c r="FM23" i="11"/>
  <c r="FT23" i="11"/>
  <c r="FV23" i="11" s="1"/>
  <c r="FY23" i="11"/>
  <c r="FW23" i="11"/>
  <c r="G24" i="10"/>
  <c r="CJ24" i="11"/>
  <c r="FB21" i="11"/>
  <c r="BO23" i="11"/>
  <c r="EE20" i="11"/>
  <c r="H24" i="10"/>
  <c r="DV21" i="11"/>
  <c r="FD24" i="11"/>
  <c r="FL24" i="11" s="1" a="1"/>
  <c r="FL24" i="11" s="1"/>
  <c r="ES21" i="11"/>
  <c r="FP24" i="11"/>
  <c r="FX24" i="11" s="1" a="1"/>
  <c r="FX24" i="11" s="1"/>
  <c r="BY25" i="11"/>
  <c r="CE24" i="11"/>
  <c r="CB23" i="11"/>
  <c r="CF23" i="11" s="1"/>
  <c r="BB23" i="11"/>
  <c r="BF23" i="11" s="1"/>
  <c r="BE24" i="11"/>
  <c r="BT24" i="11"/>
  <c r="BJ24" i="11"/>
  <c r="BG23" i="11"/>
  <c r="BK23" i="11" s="1"/>
  <c r="H25" i="14" l="1"/>
  <c r="H27" i="15"/>
  <c r="G25" i="14"/>
  <c r="G27" i="15"/>
  <c r="G27" i="13"/>
  <c r="H27" i="13"/>
  <c r="FT24" i="11"/>
  <c r="FV24" i="11" s="1"/>
  <c r="FY24" i="11"/>
  <c r="FW24" i="11"/>
  <c r="FK24" i="11"/>
  <c r="FH24" i="11"/>
  <c r="FJ24" i="11" s="1"/>
  <c r="FM24" i="11"/>
  <c r="G25" i="10"/>
  <c r="CJ25" i="11"/>
  <c r="FB22" i="11"/>
  <c r="BO24" i="11"/>
  <c r="EE21" i="11"/>
  <c r="H25" i="10"/>
  <c r="ES22" i="11"/>
  <c r="DV22" i="11"/>
  <c r="FP25" i="11"/>
  <c r="FX25" i="11" s="1" a="1"/>
  <c r="FX25" i="11" s="1"/>
  <c r="FD25" i="11"/>
  <c r="FL25" i="11" s="1" a="1"/>
  <c r="FL25" i="11" s="1"/>
  <c r="BY26" i="11"/>
  <c r="CE25" i="11"/>
  <c r="CB24" i="11"/>
  <c r="CF24" i="11" s="1"/>
  <c r="BG24" i="11"/>
  <c r="BK24" i="11" s="1"/>
  <c r="BE25" i="11"/>
  <c r="BJ25" i="11"/>
  <c r="BT25" i="11"/>
  <c r="BB24" i="11"/>
  <c r="BF24" i="11" s="1"/>
  <c r="H26" i="14" l="1"/>
  <c r="H28" i="15"/>
  <c r="G26" i="14"/>
  <c r="G28" i="15"/>
  <c r="H28" i="13"/>
  <c r="G28" i="13"/>
  <c r="FK25" i="11"/>
  <c r="FH25" i="11"/>
  <c r="FJ25" i="11" s="1"/>
  <c r="FM25" i="11"/>
  <c r="FT25" i="11"/>
  <c r="FV25" i="11" s="1"/>
  <c r="FY25" i="11"/>
  <c r="FW25" i="11"/>
  <c r="G26" i="10"/>
  <c r="CJ26" i="11"/>
  <c r="FB23" i="11"/>
  <c r="BO25" i="11"/>
  <c r="EE22" i="11"/>
  <c r="H26" i="10"/>
  <c r="DV23" i="11"/>
  <c r="FP26" i="11"/>
  <c r="FX26" i="11" s="1" a="1"/>
  <c r="FX26" i="11" s="1"/>
  <c r="ES23" i="11"/>
  <c r="FD26" i="11"/>
  <c r="FL26" i="11" s="1" a="1"/>
  <c r="FL26" i="11" s="1"/>
  <c r="BY27" i="11"/>
  <c r="CE26" i="11"/>
  <c r="CB25" i="11"/>
  <c r="CF25" i="11" s="1"/>
  <c r="BE26" i="11"/>
  <c r="BB25" i="11"/>
  <c r="BF25" i="11" s="1"/>
  <c r="BT26" i="11"/>
  <c r="BJ26" i="11"/>
  <c r="BG25" i="11"/>
  <c r="BK25" i="11" s="1"/>
  <c r="G27" i="14" l="1"/>
  <c r="G29" i="15"/>
  <c r="H27" i="14"/>
  <c r="H29" i="15"/>
  <c r="G29" i="13"/>
  <c r="H29" i="13"/>
  <c r="FK26" i="11"/>
  <c r="FH26" i="11"/>
  <c r="FJ26" i="11" s="1"/>
  <c r="FM26" i="11"/>
  <c r="FT26" i="11"/>
  <c r="FV26" i="11" s="1"/>
  <c r="FY26" i="11"/>
  <c r="FW26" i="11"/>
  <c r="G27" i="10"/>
  <c r="CJ27" i="11"/>
  <c r="FB24" i="11"/>
  <c r="BO26" i="11"/>
  <c r="EE23" i="11"/>
  <c r="H27" i="10"/>
  <c r="FP27" i="11"/>
  <c r="FX27" i="11" s="1" a="1"/>
  <c r="FX27" i="11" s="1"/>
  <c r="DV24" i="11"/>
  <c r="FD27" i="11"/>
  <c r="FL27" i="11" s="1" a="1"/>
  <c r="FL27" i="11" s="1"/>
  <c r="ES24" i="11"/>
  <c r="BY28" i="11"/>
  <c r="CE27" i="11"/>
  <c r="CB26" i="11"/>
  <c r="CF26" i="11" s="1"/>
  <c r="BG26" i="11"/>
  <c r="BK26" i="11" s="1"/>
  <c r="BJ27" i="11"/>
  <c r="BT27" i="11"/>
  <c r="BB26" i="11"/>
  <c r="BF26" i="11" s="1"/>
  <c r="BE27" i="11"/>
  <c r="H28" i="14" l="1"/>
  <c r="H30" i="15"/>
  <c r="G28" i="14"/>
  <c r="G30" i="15"/>
  <c r="G30" i="13"/>
  <c r="H30" i="13"/>
  <c r="FK27" i="11"/>
  <c r="FM27" i="11"/>
  <c r="FH27" i="11"/>
  <c r="FJ27" i="11" s="1"/>
  <c r="FT27" i="11"/>
  <c r="FV27" i="11" s="1"/>
  <c r="FY27" i="11"/>
  <c r="FW27" i="11"/>
  <c r="G28" i="10"/>
  <c r="CJ28" i="11"/>
  <c r="FB25" i="11"/>
  <c r="BO27" i="11"/>
  <c r="EE24" i="11"/>
  <c r="H28" i="10"/>
  <c r="DV25" i="11"/>
  <c r="FD28" i="11"/>
  <c r="FL28" i="11" s="1" a="1"/>
  <c r="FL28" i="11" s="1"/>
  <c r="ES25" i="11"/>
  <c r="FP28" i="11"/>
  <c r="FX28" i="11" s="1" a="1"/>
  <c r="FX28" i="11" s="1"/>
  <c r="BY29" i="11"/>
  <c r="CE28" i="11"/>
  <c r="CB27" i="11"/>
  <c r="CF27" i="11" s="1"/>
  <c r="BJ28" i="11"/>
  <c r="BE28" i="11"/>
  <c r="BB27" i="11"/>
  <c r="BF27" i="11" s="1"/>
  <c r="BT28" i="11"/>
  <c r="BG27" i="11"/>
  <c r="BK27" i="11" s="1"/>
  <c r="G29" i="14" l="1"/>
  <c r="G31" i="15"/>
  <c r="H29" i="14"/>
  <c r="H31" i="15"/>
  <c r="H31" i="13"/>
  <c r="G31" i="13"/>
  <c r="FK28" i="11"/>
  <c r="FH28" i="11"/>
  <c r="FJ28" i="11" s="1"/>
  <c r="FM28" i="11"/>
  <c r="FT28" i="11"/>
  <c r="FV28" i="11" s="1"/>
  <c r="FY28" i="11"/>
  <c r="FW28" i="11"/>
  <c r="G29" i="10"/>
  <c r="CJ29" i="11"/>
  <c r="FB26" i="11"/>
  <c r="BO28" i="11"/>
  <c r="EE25" i="11"/>
  <c r="H29" i="10"/>
  <c r="ES26" i="11"/>
  <c r="DV26" i="11"/>
  <c r="FP29" i="11"/>
  <c r="FX29" i="11" s="1" a="1"/>
  <c r="FX29" i="11" s="1"/>
  <c r="FD29" i="11"/>
  <c r="FL29" i="11" s="1" a="1"/>
  <c r="FL29" i="11" s="1"/>
  <c r="BY30" i="11"/>
  <c r="CE29" i="11"/>
  <c r="CB28" i="11"/>
  <c r="CF28" i="11" s="1"/>
  <c r="BG28" i="11"/>
  <c r="BK28" i="11" s="1"/>
  <c r="BB28" i="11"/>
  <c r="BF28" i="11" s="1"/>
  <c r="BT29" i="11"/>
  <c r="BE29" i="11"/>
  <c r="BJ29" i="11"/>
  <c r="G30" i="14" l="1"/>
  <c r="G32" i="15"/>
  <c r="H30" i="14"/>
  <c r="H32" i="15"/>
  <c r="G32" i="13"/>
  <c r="H32" i="13"/>
  <c r="FK29" i="11"/>
  <c r="FH29" i="11"/>
  <c r="FJ29" i="11" s="1"/>
  <c r="FM29" i="11"/>
  <c r="FY29" i="11"/>
  <c r="FT29" i="11"/>
  <c r="FV29" i="11" s="1"/>
  <c r="FW29" i="11"/>
  <c r="G30" i="10"/>
  <c r="CJ30" i="11"/>
  <c r="FB27" i="11"/>
  <c r="BO29" i="11"/>
  <c r="EE26" i="11"/>
  <c r="H30" i="10"/>
  <c r="DV27" i="11"/>
  <c r="FD30" i="11"/>
  <c r="FL30" i="11" s="1" a="1"/>
  <c r="FL30" i="11" s="1"/>
  <c r="ES27" i="11"/>
  <c r="FP30" i="11"/>
  <c r="FX30" i="11" s="1" a="1"/>
  <c r="FX30" i="11" s="1"/>
  <c r="BY31" i="11"/>
  <c r="CE30" i="11"/>
  <c r="CB29" i="11"/>
  <c r="CF29" i="11" s="1"/>
  <c r="BJ30" i="11"/>
  <c r="BE30" i="11"/>
  <c r="BT30" i="11"/>
  <c r="BB29" i="11"/>
  <c r="BF29" i="11" s="1"/>
  <c r="BG29" i="11"/>
  <c r="BK29" i="11" s="1"/>
  <c r="G31" i="14" l="1"/>
  <c r="G33" i="15"/>
  <c r="H31" i="14"/>
  <c r="H33" i="15"/>
  <c r="H33" i="13"/>
  <c r="G33" i="13"/>
  <c r="FM30" i="11"/>
  <c r="FK30" i="11"/>
  <c r="FH30" i="11"/>
  <c r="FJ30" i="11" s="1"/>
  <c r="FW30" i="11"/>
  <c r="FT30" i="11"/>
  <c r="FV30" i="11" s="1"/>
  <c r="FY30" i="11"/>
  <c r="G31" i="10"/>
  <c r="CJ31" i="11"/>
  <c r="FB28" i="11"/>
  <c r="BO30" i="11"/>
  <c r="EE27" i="11"/>
  <c r="H31" i="10"/>
  <c r="DV28" i="11"/>
  <c r="FP31" i="11"/>
  <c r="FX31" i="11" s="1" a="1"/>
  <c r="FX31" i="11" s="1"/>
  <c r="FD31" i="11"/>
  <c r="FL31" i="11" s="1" a="1"/>
  <c r="FL31" i="11" s="1"/>
  <c r="ES28" i="11"/>
  <c r="BY32" i="11"/>
  <c r="CE31" i="11"/>
  <c r="CB30" i="11"/>
  <c r="CF30" i="11" s="1"/>
  <c r="BG30" i="11"/>
  <c r="BK30" i="11" s="1"/>
  <c r="BE31" i="11"/>
  <c r="BB30" i="11"/>
  <c r="BF30" i="11" s="1"/>
  <c r="BT31" i="11"/>
  <c r="BJ31" i="11"/>
  <c r="G32" i="14" l="1"/>
  <c r="G34" i="15"/>
  <c r="H32" i="14"/>
  <c r="H34" i="15"/>
  <c r="G34" i="13"/>
  <c r="H34" i="13"/>
  <c r="FY31" i="11"/>
  <c r="FW31" i="11"/>
  <c r="FT31" i="11"/>
  <c r="FV31" i="11" s="1"/>
  <c r="FH31" i="11"/>
  <c r="FJ31" i="11" s="1"/>
  <c r="FM31" i="11"/>
  <c r="FK31" i="11"/>
  <c r="G32" i="10"/>
  <c r="CJ32" i="11"/>
  <c r="FB29" i="11"/>
  <c r="BO31" i="11"/>
  <c r="EE28" i="11"/>
  <c r="H32" i="10"/>
  <c r="FD32" i="11"/>
  <c r="FL32" i="11" s="1" a="1"/>
  <c r="FL32" i="11" s="1"/>
  <c r="FP32" i="11"/>
  <c r="FX32" i="11" s="1" a="1"/>
  <c r="FX32" i="11" s="1"/>
  <c r="DV29" i="11"/>
  <c r="ES29" i="11"/>
  <c r="BY33" i="11"/>
  <c r="CE32" i="11"/>
  <c r="CB31" i="11"/>
  <c r="CF31" i="11" s="1"/>
  <c r="BB31" i="11"/>
  <c r="BF31" i="11" s="1"/>
  <c r="BJ32" i="11"/>
  <c r="BT32" i="11"/>
  <c r="BE32" i="11"/>
  <c r="BG31" i="11"/>
  <c r="BK31" i="11" s="1"/>
  <c r="H35" i="15" l="1"/>
  <c r="G33" i="14"/>
  <c r="G35" i="15"/>
  <c r="H35" i="13"/>
  <c r="H33" i="14"/>
  <c r="G35" i="13"/>
  <c r="FM32" i="11"/>
  <c r="FK32" i="11"/>
  <c r="FH32" i="11"/>
  <c r="FJ32" i="11" s="1"/>
  <c r="FY32" i="11"/>
  <c r="FW32" i="11"/>
  <c r="FT32" i="11"/>
  <c r="FV32" i="11" s="1"/>
  <c r="G33" i="10"/>
  <c r="CJ33" i="11"/>
  <c r="FB30" i="11"/>
  <c r="BO32" i="11"/>
  <c r="EE29" i="11"/>
  <c r="H33" i="10"/>
  <c r="FP33" i="11"/>
  <c r="FX33" i="11" s="1" a="1"/>
  <c r="FX33" i="11" s="1"/>
  <c r="DV30" i="11"/>
  <c r="ES30" i="11"/>
  <c r="FD33" i="11"/>
  <c r="FL33" i="11" s="1" a="1"/>
  <c r="FL33" i="11" s="1"/>
  <c r="BY34" i="11"/>
  <c r="CE33" i="11"/>
  <c r="CB32" i="11"/>
  <c r="CF32" i="11" s="1"/>
  <c r="BE33" i="11"/>
  <c r="BJ33" i="11"/>
  <c r="BG32" i="11"/>
  <c r="BK32" i="11" s="1"/>
  <c r="BT33" i="11"/>
  <c r="BB32" i="11"/>
  <c r="BF32" i="11" s="1"/>
  <c r="H34" i="14" l="1"/>
  <c r="H36" i="15"/>
  <c r="G34" i="14"/>
  <c r="G36" i="15"/>
  <c r="G36" i="13"/>
  <c r="H36" i="13"/>
  <c r="FM33" i="11"/>
  <c r="FH33" i="11"/>
  <c r="FJ33" i="11" s="1"/>
  <c r="FK33" i="11"/>
  <c r="FY33" i="11"/>
  <c r="FW33" i="11"/>
  <c r="FT33" i="11"/>
  <c r="FV33" i="11" s="1"/>
  <c r="G34" i="10"/>
  <c r="CJ34" i="11"/>
  <c r="FB31" i="11"/>
  <c r="BO33" i="11"/>
  <c r="EE30" i="11"/>
  <c r="H34" i="10"/>
  <c r="ES31" i="11"/>
  <c r="DV31" i="11"/>
  <c r="FD34" i="11"/>
  <c r="FL34" i="11" s="1" a="1"/>
  <c r="FL34" i="11" s="1"/>
  <c r="FP34" i="11"/>
  <c r="FX34" i="11" s="1" a="1"/>
  <c r="FX34" i="11" s="1"/>
  <c r="BY35" i="11"/>
  <c r="CE34" i="11"/>
  <c r="CB33" i="11"/>
  <c r="CF33" i="11" s="1"/>
  <c r="BB33" i="11"/>
  <c r="BF33" i="11" s="1"/>
  <c r="BT34" i="11"/>
  <c r="BG33" i="11"/>
  <c r="BK33" i="11" s="1"/>
  <c r="BJ34" i="11"/>
  <c r="BE34" i="11"/>
  <c r="G35" i="14" l="1"/>
  <c r="G37" i="15"/>
  <c r="H35" i="14"/>
  <c r="H37" i="15"/>
  <c r="H37" i="13"/>
  <c r="G37" i="13"/>
  <c r="FM34" i="11"/>
  <c r="FH34" i="11"/>
  <c r="FJ34" i="11" s="1"/>
  <c r="FK34" i="11"/>
  <c r="FY34" i="11"/>
  <c r="FW34" i="11"/>
  <c r="FT34" i="11"/>
  <c r="FV34" i="11" s="1"/>
  <c r="G35" i="10"/>
  <c r="CJ35" i="11"/>
  <c r="FB32" i="11"/>
  <c r="BO34" i="11"/>
  <c r="EE31" i="11"/>
  <c r="H35" i="10"/>
  <c r="ES32" i="11"/>
  <c r="DV32" i="11"/>
  <c r="FP35" i="11"/>
  <c r="FX35" i="11" s="1" a="1"/>
  <c r="FX35" i="11" s="1"/>
  <c r="FD35" i="11"/>
  <c r="FL35" i="11" s="1" a="1"/>
  <c r="FL35" i="11" s="1"/>
  <c r="BY36" i="11"/>
  <c r="CE35" i="11"/>
  <c r="CB34" i="11"/>
  <c r="CF34" i="11" s="1"/>
  <c r="BJ35" i="11"/>
  <c r="BE35" i="11"/>
  <c r="BG34" i="11"/>
  <c r="BK34" i="11" s="1"/>
  <c r="BT35" i="11"/>
  <c r="BB34" i="11"/>
  <c r="BF34" i="11" s="1"/>
  <c r="H36" i="14" l="1"/>
  <c r="H38" i="15"/>
  <c r="G36" i="14"/>
  <c r="G38" i="15"/>
  <c r="H38" i="13"/>
  <c r="G38" i="13"/>
  <c r="FM35" i="11"/>
  <c r="FK35" i="11"/>
  <c r="FH35" i="11"/>
  <c r="FJ35" i="11" s="1"/>
  <c r="FY35" i="11"/>
  <c r="FW35" i="11"/>
  <c r="FT35" i="11"/>
  <c r="FV35" i="11" s="1"/>
  <c r="G36" i="10"/>
  <c r="CJ36" i="11"/>
  <c r="FB33" i="11"/>
  <c r="BO35" i="11"/>
  <c r="EE33" i="11" s="1"/>
  <c r="EE32" i="11"/>
  <c r="H36" i="10"/>
  <c r="ES33" i="11"/>
  <c r="FP36" i="11"/>
  <c r="FX36" i="11" s="1" a="1"/>
  <c r="FX36" i="11" s="1"/>
  <c r="FD36" i="11"/>
  <c r="FL36" i="11" s="1" a="1"/>
  <c r="FL36" i="11" s="1"/>
  <c r="BY37" i="11"/>
  <c r="CE36" i="11"/>
  <c r="CB35" i="11"/>
  <c r="CF35" i="11" s="1"/>
  <c r="BT36" i="11"/>
  <c r="BB35" i="11"/>
  <c r="BF35" i="11" s="1"/>
  <c r="BG35" i="11"/>
  <c r="BK35" i="11" s="1"/>
  <c r="G37" i="14" l="1"/>
  <c r="G39" i="15"/>
  <c r="H37" i="14"/>
  <c r="H39" i="15"/>
  <c r="G39" i="13"/>
  <c r="H39" i="13"/>
  <c r="FH36" i="11"/>
  <c r="FJ36" i="11" s="1"/>
  <c r="FK36" i="11"/>
  <c r="FM36" i="11"/>
  <c r="FT36" i="11"/>
  <c r="FV36" i="11" s="1"/>
  <c r="FY36" i="11"/>
  <c r="FW36" i="11"/>
  <c r="G37" i="10"/>
  <c r="CJ37" i="11"/>
  <c r="FB34" i="11"/>
  <c r="H37" i="10"/>
  <c r="FP37" i="11"/>
  <c r="FX37" i="11" s="1" a="1"/>
  <c r="FX37" i="11" s="1"/>
  <c r="ES34" i="11"/>
  <c r="FD37" i="11"/>
  <c r="FL37" i="11" s="1" a="1"/>
  <c r="FL37" i="11" s="1"/>
  <c r="BY38" i="11"/>
  <c r="CE37" i="11"/>
  <c r="CB36" i="11"/>
  <c r="CF36" i="11" s="1"/>
  <c r="BT37" i="11"/>
  <c r="G38" i="14" l="1"/>
  <c r="G40" i="15"/>
  <c r="H38" i="14"/>
  <c r="H40" i="15"/>
  <c r="G40" i="13"/>
  <c r="H40" i="13"/>
  <c r="FH37" i="11"/>
  <c r="FJ37" i="11" s="1"/>
  <c r="FM37" i="11"/>
  <c r="FK37" i="11"/>
  <c r="FT37" i="11"/>
  <c r="FV37" i="11" s="1"/>
  <c r="FY37" i="11"/>
  <c r="FW37" i="11"/>
  <c r="G38" i="10"/>
  <c r="CJ38" i="11"/>
  <c r="FB35" i="11"/>
  <c r="H38" i="10"/>
  <c r="FD38" i="11"/>
  <c r="FL38" i="11" s="1" a="1"/>
  <c r="FL38" i="11" s="1"/>
  <c r="ES35" i="11"/>
  <c r="FP38" i="11"/>
  <c r="FX38" i="11" s="1" a="1"/>
  <c r="FX38" i="11" s="1"/>
  <c r="BY39" i="11"/>
  <c r="CE38" i="11"/>
  <c r="CB37" i="11"/>
  <c r="CF37" i="11" s="1"/>
  <c r="BT38" i="11"/>
  <c r="H39" i="14" l="1"/>
  <c r="H41" i="15"/>
  <c r="G39" i="14"/>
  <c r="G41" i="15"/>
  <c r="H41" i="13"/>
  <c r="G41" i="13"/>
  <c r="FH38" i="11"/>
  <c r="FJ38" i="11" s="1"/>
  <c r="FM38" i="11"/>
  <c r="FK38" i="11"/>
  <c r="FT38" i="11"/>
  <c r="FV38" i="11" s="1"/>
  <c r="FY38" i="11"/>
  <c r="FW38" i="11"/>
  <c r="G39" i="10"/>
  <c r="CJ39" i="11"/>
  <c r="FB36" i="11"/>
  <c r="H39" i="10"/>
  <c r="ES36" i="11"/>
  <c r="FP39" i="11"/>
  <c r="FX39" i="11" s="1" a="1"/>
  <c r="FX39" i="11" s="1"/>
  <c r="FD39" i="11"/>
  <c r="FL39" i="11" s="1" a="1"/>
  <c r="FL39" i="11" s="1"/>
  <c r="BY40" i="11"/>
  <c r="CE39" i="11"/>
  <c r="CB38" i="11"/>
  <c r="CF38" i="11" s="1"/>
  <c r="BT39" i="11"/>
  <c r="H40" i="14" l="1"/>
  <c r="H42" i="15"/>
  <c r="G40" i="14"/>
  <c r="G42" i="15"/>
  <c r="H42" i="13"/>
  <c r="G42" i="13"/>
  <c r="FT39" i="11"/>
  <c r="FV39" i="11" s="1"/>
  <c r="FY39" i="11"/>
  <c r="FW39" i="11"/>
  <c r="FH39" i="11"/>
  <c r="FJ39" i="11" s="1"/>
  <c r="FM39" i="11"/>
  <c r="FK39" i="11"/>
  <c r="G40" i="10"/>
  <c r="CJ40" i="11"/>
  <c r="FB37" i="11"/>
  <c r="H40" i="10"/>
  <c r="FD40" i="11"/>
  <c r="FL40" i="11" s="1" a="1"/>
  <c r="FL40" i="11" s="1"/>
  <c r="ES37" i="11"/>
  <c r="FP40" i="11"/>
  <c r="FX40" i="11" s="1" a="1"/>
  <c r="FX40" i="11" s="1"/>
  <c r="BY41" i="11"/>
  <c r="CE40" i="11"/>
  <c r="CB39" i="11"/>
  <c r="CF39" i="11" s="1"/>
  <c r="BT40" i="11"/>
  <c r="G41" i="14" l="1"/>
  <c r="G43" i="15"/>
  <c r="H41" i="14"/>
  <c r="H43" i="15"/>
  <c r="H43" i="13"/>
  <c r="G43" i="13"/>
  <c r="FT40" i="11"/>
  <c r="FV40" i="11" s="1"/>
  <c r="FW40" i="11"/>
  <c r="FY40" i="11"/>
  <c r="FK40" i="11"/>
  <c r="FH40" i="11"/>
  <c r="FJ40" i="11" s="1"/>
  <c r="FM40" i="11"/>
  <c r="G41" i="10"/>
  <c r="CJ41" i="11"/>
  <c r="FB38" i="11"/>
  <c r="H41" i="10"/>
  <c r="FP41" i="11"/>
  <c r="FX41" i="11" s="1" a="1"/>
  <c r="FX41" i="11" s="1"/>
  <c r="FD41" i="11"/>
  <c r="FL41" i="11" s="1" a="1"/>
  <c r="FL41" i="11" s="1"/>
  <c r="ES38" i="11"/>
  <c r="BY42" i="11"/>
  <c r="CE41" i="11"/>
  <c r="CB40" i="11"/>
  <c r="CF40" i="11" s="1"/>
  <c r="BT41" i="11"/>
  <c r="G42" i="14" l="1"/>
  <c r="G44" i="15"/>
  <c r="H42" i="14"/>
  <c r="H44" i="15"/>
  <c r="G44" i="13"/>
  <c r="H44" i="13"/>
  <c r="FK41" i="11"/>
  <c r="FH41" i="11"/>
  <c r="FJ41" i="11" s="1"/>
  <c r="FM41" i="11"/>
  <c r="FT41" i="11"/>
  <c r="FV41" i="11" s="1"/>
  <c r="FY41" i="11"/>
  <c r="FW41" i="11"/>
  <c r="G42" i="10"/>
  <c r="CJ42" i="11"/>
  <c r="FB39" i="11"/>
  <c r="H42" i="10"/>
  <c r="FD42" i="11"/>
  <c r="FL42" i="11" s="1" a="1"/>
  <c r="FL42" i="11" s="1"/>
  <c r="ES39" i="11"/>
  <c r="FP42" i="11"/>
  <c r="FX42" i="11" s="1" a="1"/>
  <c r="FX42" i="11" s="1"/>
  <c r="BY43" i="11"/>
  <c r="CE42" i="11"/>
  <c r="CB41" i="11"/>
  <c r="CF41" i="11" s="1"/>
  <c r="BT42" i="11"/>
  <c r="H43" i="14" l="1"/>
  <c r="H45" i="15"/>
  <c r="G43" i="14"/>
  <c r="G45" i="15"/>
  <c r="G45" i="13"/>
  <c r="H45" i="13"/>
  <c r="FK42" i="11"/>
  <c r="FH42" i="11"/>
  <c r="FJ42" i="11" s="1"/>
  <c r="FM42" i="11"/>
  <c r="FT42" i="11"/>
  <c r="FV42" i="11" s="1"/>
  <c r="FY42" i="11"/>
  <c r="FW42" i="11"/>
  <c r="G43" i="10"/>
  <c r="CJ43" i="11"/>
  <c r="FB40" i="11"/>
  <c r="H43" i="10"/>
  <c r="ES40" i="11"/>
  <c r="FP43" i="11"/>
  <c r="FX43" i="11" s="1" a="1"/>
  <c r="FX43" i="11" s="1"/>
  <c r="FD43" i="11"/>
  <c r="FL43" i="11" s="1" a="1"/>
  <c r="FL43" i="11" s="1"/>
  <c r="BY44" i="11"/>
  <c r="CE43" i="11"/>
  <c r="CB42" i="11"/>
  <c r="CF42" i="11" s="1"/>
  <c r="BT43" i="11"/>
  <c r="G44" i="14" l="1"/>
  <c r="G46" i="15"/>
  <c r="H44" i="14"/>
  <c r="H46" i="15"/>
  <c r="H46" i="13"/>
  <c r="G46" i="13"/>
  <c r="FK43" i="11"/>
  <c r="FM43" i="11"/>
  <c r="FH43" i="11"/>
  <c r="FJ43" i="11" s="1"/>
  <c r="FW43" i="11"/>
  <c r="FT43" i="11"/>
  <c r="FV43" i="11" s="1"/>
  <c r="FY43" i="11"/>
  <c r="G44" i="10"/>
  <c r="CJ44" i="11"/>
  <c r="FB41" i="11"/>
  <c r="H44" i="10"/>
  <c r="FD44" i="11"/>
  <c r="FL44" i="11" s="1" a="1"/>
  <c r="FL44" i="11" s="1"/>
  <c r="ES41" i="11"/>
  <c r="FP44" i="11"/>
  <c r="FX44" i="11" s="1" a="1"/>
  <c r="FX44" i="11" s="1"/>
  <c r="BY45" i="11"/>
  <c r="CE44" i="11"/>
  <c r="CB43" i="11"/>
  <c r="CF43" i="11" s="1"/>
  <c r="BT44" i="11"/>
  <c r="G45" i="14" l="1"/>
  <c r="G47" i="15"/>
  <c r="H45" i="14"/>
  <c r="H47" i="15"/>
  <c r="G47" i="13"/>
  <c r="H47" i="13"/>
  <c r="FT44" i="11"/>
  <c r="FV44" i="11" s="1"/>
  <c r="FW44" i="11"/>
  <c r="FY44" i="11"/>
  <c r="FK44" i="11"/>
  <c r="FH44" i="11"/>
  <c r="FJ44" i="11" s="1"/>
  <c r="FM44" i="11"/>
  <c r="G45" i="10"/>
  <c r="CJ45" i="11"/>
  <c r="FB42" i="11"/>
  <c r="H45" i="10"/>
  <c r="ES42" i="11"/>
  <c r="FP45" i="11"/>
  <c r="FX45" i="11" s="1" a="1"/>
  <c r="FX45" i="11" s="1"/>
  <c r="FD45" i="11"/>
  <c r="FL45" i="11" s="1" a="1"/>
  <c r="FL45" i="11" s="1"/>
  <c r="BY46" i="11"/>
  <c r="CE45" i="11"/>
  <c r="CB44" i="11"/>
  <c r="CF44" i="11" s="1"/>
  <c r="BT45" i="11"/>
  <c r="H46" i="14" l="1"/>
  <c r="H48" i="15"/>
  <c r="G46" i="14"/>
  <c r="G49" i="14" s="1"/>
  <c r="G48" i="15"/>
  <c r="G51" i="15" s="1"/>
  <c r="H48" i="13"/>
  <c r="G48" i="13"/>
  <c r="G51" i="13" s="1"/>
  <c r="FW45" i="11"/>
  <c r="FT45" i="11"/>
  <c r="FV45" i="11" s="1"/>
  <c r="FY45" i="11"/>
  <c r="FK45" i="11"/>
  <c r="FH45" i="11"/>
  <c r="FJ45" i="11" s="1"/>
  <c r="FM45" i="11"/>
  <c r="G46" i="10"/>
  <c r="G49" i="10" s="1"/>
  <c r="CJ46" i="11"/>
  <c r="FB44" i="11" s="1"/>
  <c r="FB43" i="11"/>
  <c r="H46" i="10"/>
  <c r="FP46" i="11"/>
  <c r="FX46" i="11" s="1" a="1"/>
  <c r="FX46" i="11" s="1"/>
  <c r="ES43" i="11"/>
  <c r="FD46" i="11"/>
  <c r="FL46" i="11" s="1" a="1"/>
  <c r="FL46" i="11" s="1"/>
  <c r="BY47" i="11"/>
  <c r="CE46" i="11"/>
  <c r="ES44" i="11" s="1"/>
  <c r="CB45" i="11"/>
  <c r="CF45" i="11" s="1"/>
  <c r="BT46" i="11"/>
  <c r="G47" i="14" l="1"/>
  <c r="G49" i="15"/>
  <c r="H47" i="14"/>
  <c r="H49" i="15"/>
  <c r="G49" i="13"/>
  <c r="H49" i="13"/>
  <c r="FK46" i="11"/>
  <c r="FM46" i="11"/>
  <c r="FH46" i="11"/>
  <c r="FJ46" i="11" s="1"/>
  <c r="FW46" i="11"/>
  <c r="FT46" i="11"/>
  <c r="FV46" i="11" s="1"/>
  <c r="FY46" i="11"/>
  <c r="G47" i="10"/>
  <c r="H47" i="10"/>
  <c r="FD47" i="11"/>
  <c r="FL47" i="11" s="1" a="1"/>
  <c r="FL47" i="11" s="1"/>
  <c r="FP47" i="11"/>
  <c r="FX47" i="11" s="1" a="1"/>
  <c r="FX47" i="11" s="1"/>
  <c r="CB46" i="11"/>
  <c r="CF46" i="11" s="1"/>
  <c r="FY47" i="11" l="1"/>
  <c r="FW47" i="11"/>
  <c r="FT47" i="11"/>
  <c r="FV47" i="11" s="1"/>
  <c r="FH47" i="11"/>
  <c r="FJ47" i="11" s="1"/>
  <c r="FK47" i="11"/>
  <c r="FM47" i="11"/>
  <c r="FP48" i="11"/>
  <c r="FX48" i="11" s="1" a="1"/>
  <c r="FX48" i="11" s="1"/>
  <c r="FD48" i="11"/>
  <c r="FL48" i="11" s="1" a="1"/>
  <c r="FL48" i="11" s="1"/>
  <c r="FM48" i="11" l="1"/>
  <c r="FH48" i="11"/>
  <c r="FJ48" i="11" s="1"/>
  <c r="FK48" i="11"/>
  <c r="FY48" i="11"/>
  <c r="FW48" i="11"/>
  <c r="FT48" i="11"/>
  <c r="FV48" i="11" s="1"/>
  <c r="FD49" i="11"/>
  <c r="FL49" i="11" s="1" a="1"/>
  <c r="FL49" i="11" s="1"/>
  <c r="FP49" i="11"/>
  <c r="FX49" i="11" s="1" a="1"/>
  <c r="FX49" i="11" s="1"/>
  <c r="FY49" i="11" l="1"/>
  <c r="FW49" i="11"/>
  <c r="FT49" i="11"/>
  <c r="FV49" i="11" s="1"/>
  <c r="FM49" i="11"/>
  <c r="FH49" i="11"/>
  <c r="FJ49" i="11" s="1"/>
  <c r="FK49" i="11"/>
  <c r="FP50" i="11"/>
  <c r="FX50" i="11" s="1" a="1"/>
  <c r="FX50" i="11" s="1"/>
  <c r="FD50" i="11"/>
  <c r="FL50" i="11" s="1" a="1"/>
  <c r="FL50" i="11" s="1"/>
  <c r="FT50" i="11" l="1"/>
  <c r="FV50" i="11" s="1"/>
  <c r="FY50" i="11"/>
  <c r="FW50" i="11"/>
  <c r="FM50" i="11"/>
  <c r="FK50" i="11"/>
  <c r="FH50" i="11"/>
  <c r="FJ50" i="11" s="1"/>
  <c r="FD51" i="11"/>
  <c r="FL51" i="11" s="1" a="1"/>
  <c r="FL51" i="11" s="1"/>
  <c r="FP51" i="11"/>
  <c r="FX51" i="11" s="1" a="1"/>
  <c r="FX51" i="11" s="1"/>
  <c r="FY51" i="11" l="1"/>
  <c r="FT51" i="11"/>
  <c r="FV51" i="11" s="1"/>
  <c r="FW51" i="11"/>
  <c r="FM51" i="11"/>
  <c r="FK51" i="11"/>
  <c r="FH51" i="11"/>
  <c r="FJ51" i="11" s="1"/>
  <c r="FP52" i="11"/>
  <c r="FD52" i="11"/>
  <c r="FH52" i="11" l="1"/>
  <c r="FJ52" i="11" s="1"/>
  <c r="FK52" i="11"/>
  <c r="FM52" i="11"/>
  <c r="FT52" i="11"/>
  <c r="FY52" i="11"/>
  <c r="FW52" i="11"/>
  <c r="FD53" i="11"/>
  <c r="FP53" i="11"/>
  <c r="FH53" i="11" l="1"/>
  <c r="FM53" i="11"/>
  <c r="FK53" i="11"/>
  <c r="FP54" i="11"/>
  <c r="FT53" i="11"/>
  <c r="FV53" i="11" s="1"/>
  <c r="FY53" i="11"/>
  <c r="FW53" i="11"/>
  <c r="FV52" i="11"/>
  <c r="FD54" i="11"/>
  <c r="FH54" i="11" l="1"/>
  <c r="FJ54" i="11" s="1"/>
  <c r="FK54" i="11"/>
  <c r="FM54" i="11"/>
  <c r="FT54" i="11"/>
  <c r="FY54" i="11"/>
  <c r="FW54" i="11"/>
  <c r="FJ53" i="11"/>
  <c r="FH55" i="11" l="1"/>
  <c r="FV54" i="11"/>
  <c r="FV55" i="11" s="1"/>
  <c r="FT55" i="11"/>
  <c r="FJ55" i="11"/>
  <c r="X2" i="11" l="1"/>
  <c r="CO18" i="11" s="1"/>
  <c r="CO21" i="11" s="1"/>
  <c r="I3" i="11"/>
  <c r="DX5" i="11" l="1"/>
  <c r="EC16" i="11"/>
  <c r="EC13" i="11"/>
  <c r="EC17" i="11"/>
  <c r="EC11" i="11"/>
  <c r="EC18" i="11"/>
  <c r="EC32" i="11"/>
  <c r="EC19" i="11"/>
  <c r="EC20" i="11"/>
  <c r="EC21" i="11"/>
  <c r="EC26" i="11"/>
  <c r="EC14" i="11"/>
  <c r="EC15" i="11"/>
  <c r="EC22" i="11"/>
  <c r="EC12" i="11"/>
  <c r="EC27" i="11"/>
  <c r="EC34" i="11"/>
  <c r="EC30" i="11"/>
  <c r="EC31" i="11"/>
  <c r="EC23" i="11"/>
  <c r="EC24" i="11"/>
  <c r="EC28" i="11"/>
  <c r="EC25" i="11"/>
  <c r="EC29" i="11"/>
  <c r="EC33" i="11"/>
  <c r="CP17" i="11"/>
  <c r="CP23" i="11" s="1"/>
  <c r="CP26" i="11" s="1"/>
  <c r="EA11" i="11"/>
  <c r="EA19" i="11"/>
  <c r="EA27" i="11"/>
  <c r="EB11" i="11"/>
  <c r="EB19" i="11"/>
  <c r="EB27" i="11"/>
  <c r="EA12" i="11"/>
  <c r="EA20" i="11"/>
  <c r="EA28" i="11"/>
  <c r="EB21" i="11"/>
  <c r="EA31" i="11"/>
  <c r="EB12" i="11"/>
  <c r="EA22" i="11"/>
  <c r="EB31" i="11"/>
  <c r="EA13" i="11"/>
  <c r="EB22" i="11"/>
  <c r="EA32" i="11"/>
  <c r="EB13" i="11"/>
  <c r="EA23" i="11"/>
  <c r="EB32" i="11"/>
  <c r="EB20" i="11"/>
  <c r="EA34" i="11"/>
  <c r="EA21" i="11"/>
  <c r="EB34" i="11"/>
  <c r="EB23" i="11"/>
  <c r="EA24" i="11"/>
  <c r="EB24" i="11"/>
  <c r="EA25" i="11"/>
  <c r="EA18" i="11"/>
  <c r="EB18" i="11"/>
  <c r="EB25" i="11"/>
  <c r="EA26" i="11"/>
  <c r="EB26" i="11"/>
  <c r="EB28" i="11"/>
  <c r="EA29" i="11"/>
  <c r="EB29" i="11"/>
  <c r="EA14" i="11"/>
  <c r="EA30" i="11"/>
  <c r="EB14" i="11"/>
  <c r="EB30" i="11"/>
  <c r="EA15" i="11"/>
  <c r="EA33" i="11"/>
  <c r="EB15" i="11"/>
  <c r="EB33" i="11"/>
  <c r="EA16" i="11"/>
  <c r="EB16" i="11"/>
  <c r="EA17" i="11"/>
  <c r="EB17" i="11"/>
  <c r="DX13" i="11"/>
  <c r="DX15" i="11"/>
  <c r="DX25" i="11"/>
  <c r="DX7" i="11"/>
  <c r="DX8" i="11"/>
  <c r="X3" i="11"/>
  <c r="Z11" i="11" s="1"/>
  <c r="DX18" i="11"/>
  <c r="DX21" i="11"/>
  <c r="K8" i="11"/>
  <c r="DX23" i="11"/>
  <c r="U9" i="11"/>
  <c r="DX9" i="11"/>
  <c r="DX6" i="11"/>
  <c r="K9" i="11"/>
  <c r="DX22" i="11"/>
  <c r="DX20" i="11"/>
  <c r="DX31" i="11"/>
  <c r="U11" i="11"/>
  <c r="K12" i="11"/>
  <c r="DX14" i="11"/>
  <c r="U12" i="11"/>
  <c r="DX24" i="11"/>
  <c r="DX16" i="11"/>
  <c r="DX17" i="11"/>
  <c r="U7" i="11"/>
  <c r="DX32" i="11"/>
  <c r="DX11" i="11"/>
  <c r="DX27" i="11"/>
  <c r="K10" i="11"/>
  <c r="DX26" i="11"/>
  <c r="DX19" i="11"/>
  <c r="I7" i="11"/>
  <c r="DX10" i="11"/>
  <c r="U8" i="11"/>
  <c r="DX12" i="11"/>
  <c r="K11" i="11"/>
  <c r="DX29" i="11"/>
  <c r="K7" i="11"/>
  <c r="DX28" i="11"/>
  <c r="DX30" i="11"/>
  <c r="U10" i="11"/>
  <c r="EZ32" i="11" l="1"/>
  <c r="EZ33" i="11"/>
  <c r="EZ16" i="11"/>
  <c r="EZ30" i="11"/>
  <c r="EZ29" i="11"/>
  <c r="EZ44" i="11"/>
  <c r="EZ22" i="11"/>
  <c r="EZ13" i="11"/>
  <c r="EZ31" i="11"/>
  <c r="EZ35" i="11"/>
  <c r="EZ27" i="11"/>
  <c r="EZ41" i="11"/>
  <c r="EZ23" i="11"/>
  <c r="EZ19" i="11"/>
  <c r="EZ37" i="11"/>
  <c r="EZ25" i="11"/>
  <c r="EZ39" i="11"/>
  <c r="EZ20" i="11"/>
  <c r="EZ40" i="11"/>
  <c r="EZ34" i="11"/>
  <c r="EZ17" i="11"/>
  <c r="EZ38" i="11"/>
  <c r="EZ14" i="11"/>
  <c r="EZ15" i="11"/>
  <c r="EZ24" i="11"/>
  <c r="EZ42" i="11"/>
  <c r="EZ18" i="11"/>
  <c r="EZ43" i="11"/>
  <c r="EZ36" i="11"/>
  <c r="EZ26" i="11"/>
  <c r="EZ28" i="11"/>
  <c r="EZ21" i="11"/>
  <c r="DR7" i="11"/>
  <c r="EO9" i="11"/>
  <c r="DR9" i="11"/>
  <c r="DR5" i="11"/>
  <c r="DR6" i="11"/>
  <c r="DR8" i="11"/>
  <c r="DR10" i="11"/>
  <c r="EU7" i="11"/>
  <c r="EX15" i="11"/>
  <c r="EX26" i="11"/>
  <c r="EY37" i="11"/>
  <c r="EX32" i="11"/>
  <c r="EX18" i="11"/>
  <c r="EX36" i="11"/>
  <c r="EX43" i="11"/>
  <c r="EY31" i="11"/>
  <c r="EX19" i="11"/>
  <c r="EX33" i="11"/>
  <c r="EY34" i="11"/>
  <c r="EY24" i="11"/>
  <c r="EY40" i="11"/>
  <c r="EY15" i="11"/>
  <c r="EX38" i="11"/>
  <c r="EX30" i="11"/>
  <c r="EX40" i="11"/>
  <c r="EX22" i="11"/>
  <c r="EY25" i="11"/>
  <c r="EX14" i="11"/>
  <c r="EX27" i="11"/>
  <c r="EX35" i="11"/>
  <c r="EY23" i="11"/>
  <c r="EX23" i="11"/>
  <c r="EY44" i="11"/>
  <c r="EX25" i="11"/>
  <c r="EY38" i="11"/>
  <c r="EY21" i="11"/>
  <c r="EY13" i="11"/>
  <c r="EX42" i="11"/>
  <c r="EX34" i="11"/>
  <c r="EX28" i="11"/>
  <c r="EY19" i="11"/>
  <c r="EU39" i="11"/>
  <c r="EY39" i="11"/>
  <c r="EY17" i="11"/>
  <c r="EX44" i="11"/>
  <c r="EY22" i="11"/>
  <c r="EX17" i="11"/>
  <c r="EY14" i="11"/>
  <c r="EY41" i="11"/>
  <c r="EX37" i="11"/>
  <c r="EY29" i="11"/>
  <c r="EY28" i="11"/>
  <c r="EY30" i="11"/>
  <c r="EY36" i="11"/>
  <c r="EX24" i="11"/>
  <c r="EY27" i="11"/>
  <c r="EY16" i="11"/>
  <c r="DL5" i="11"/>
  <c r="DQ5" i="11"/>
  <c r="DP5" i="11"/>
  <c r="DP8" i="11"/>
  <c r="FL8" i="11" s="1" a="1"/>
  <c r="FL8" i="11" s="1"/>
  <c r="DQ8" i="11"/>
  <c r="DP7" i="11"/>
  <c r="FL7" i="11" s="1" a="1"/>
  <c r="FL7" i="11" s="1"/>
  <c r="DQ7" i="11"/>
  <c r="DO6" i="11"/>
  <c r="DP6" i="11"/>
  <c r="FL6" i="11" s="1" a="1"/>
  <c r="FL6" i="11" s="1"/>
  <c r="DQ6" i="11"/>
  <c r="DQ9" i="11"/>
  <c r="EM9" i="11"/>
  <c r="FX9" i="11" s="1" a="1"/>
  <c r="FX9" i="11" s="1"/>
  <c r="EN9" i="11"/>
  <c r="DP9" i="11"/>
  <c r="FL9" i="11" s="1" a="1"/>
  <c r="FL9" i="11" s="1"/>
  <c r="EY42" i="11"/>
  <c r="EX29" i="11"/>
  <c r="EX31" i="11"/>
  <c r="EY26" i="11"/>
  <c r="EX41" i="11"/>
  <c r="EY32" i="11"/>
  <c r="EX21" i="11"/>
  <c r="DP10" i="11"/>
  <c r="FL10" i="11" s="1" a="1"/>
  <c r="FL10" i="11" s="1"/>
  <c r="DQ10" i="11"/>
  <c r="EX16" i="11"/>
  <c r="EX39" i="11"/>
  <c r="EY35" i="11"/>
  <c r="EY43" i="11"/>
  <c r="EY20" i="11"/>
  <c r="EX13" i="11"/>
  <c r="EX20" i="11"/>
  <c r="EY18" i="11"/>
  <c r="EY33" i="11"/>
  <c r="Z7" i="11"/>
  <c r="AA7" i="11" s="1"/>
  <c r="EU29" i="11"/>
  <c r="EU13" i="11"/>
  <c r="EU37" i="11"/>
  <c r="EU26" i="11"/>
  <c r="EU16" i="11"/>
  <c r="EU31" i="11"/>
  <c r="EU38" i="11"/>
  <c r="EU10" i="11"/>
  <c r="DN6" i="11"/>
  <c r="EU28" i="11"/>
  <c r="EU24" i="11"/>
  <c r="EU21" i="11"/>
  <c r="EU22" i="11"/>
  <c r="EU34" i="11"/>
  <c r="EU8" i="11"/>
  <c r="EU14" i="11"/>
  <c r="EU19" i="11"/>
  <c r="EU30" i="11"/>
  <c r="EU23" i="11"/>
  <c r="Z12" i="11"/>
  <c r="EI10" i="11" s="1"/>
  <c r="EU5" i="11"/>
  <c r="EU20" i="11"/>
  <c r="Z10" i="11"/>
  <c r="EK8" i="11" s="1"/>
  <c r="EU25" i="11"/>
  <c r="EU18" i="11"/>
  <c r="EU44" i="11"/>
  <c r="Z8" i="11"/>
  <c r="EI6" i="11" s="1"/>
  <c r="EU36" i="11"/>
  <c r="EU42" i="11"/>
  <c r="EU32" i="11"/>
  <c r="EU33" i="11"/>
  <c r="EP7" i="11"/>
  <c r="FY14" i="11" s="1"/>
  <c r="DS7" i="11"/>
  <c r="FM14" i="11" s="1"/>
  <c r="DL6" i="11"/>
  <c r="CP18" i="11"/>
  <c r="CP21" i="11" s="1"/>
  <c r="EU9" i="11"/>
  <c r="Z13" i="11"/>
  <c r="EO11" i="11" s="1"/>
  <c r="EU27" i="11"/>
  <c r="EU12" i="11"/>
  <c r="EU17" i="11"/>
  <c r="Z9" i="11"/>
  <c r="EL7" i="11" s="1"/>
  <c r="EU11" i="11"/>
  <c r="EU41" i="11"/>
  <c r="X7" i="11"/>
  <c r="EU6" i="11"/>
  <c r="EU43" i="11"/>
  <c r="EU15" i="11"/>
  <c r="EU40" i="11"/>
  <c r="Z14" i="11"/>
  <c r="EO12" i="11" s="1"/>
  <c r="EU35" i="11"/>
  <c r="V7" i="11"/>
  <c r="DS5" i="11"/>
  <c r="EP5" i="11"/>
  <c r="DN10" i="11"/>
  <c r="DL10" i="11"/>
  <c r="FK17" i="11" s="1"/>
  <c r="DO10" i="11"/>
  <c r="EP9" i="11"/>
  <c r="FY16" i="11" s="1"/>
  <c r="DS9" i="11"/>
  <c r="FM16" i="11" s="1"/>
  <c r="DS8" i="11"/>
  <c r="EP8" i="11"/>
  <c r="EP6" i="11"/>
  <c r="FY13" i="11" s="1"/>
  <c r="DS6" i="11"/>
  <c r="FM13" i="11" s="1"/>
  <c r="DO5" i="11"/>
  <c r="DN5" i="11"/>
  <c r="L7" i="11"/>
  <c r="DS10" i="11"/>
  <c r="FM17" i="11" s="1"/>
  <c r="EP10" i="11"/>
  <c r="FY17" i="11" s="1"/>
  <c r="EK9" i="11"/>
  <c r="DO9" i="11"/>
  <c r="DN9" i="11"/>
  <c r="EL9" i="11"/>
  <c r="DL9" i="11"/>
  <c r="FK16" i="11" s="1"/>
  <c r="EI9" i="11"/>
  <c r="DN8" i="11"/>
  <c r="DO8" i="11"/>
  <c r="DL8" i="11"/>
  <c r="FK15" i="11" s="1"/>
  <c r="DL7" i="11"/>
  <c r="FK14" i="11" s="1"/>
  <c r="DN7" i="11"/>
  <c r="DO7" i="11"/>
  <c r="EC5" i="11" l="1"/>
  <c r="EZ5" i="11"/>
  <c r="EO10" i="11"/>
  <c r="EO8" i="11"/>
  <c r="EO6" i="11"/>
  <c r="EO5" i="11"/>
  <c r="DR55" i="11"/>
  <c r="EO7" i="11"/>
  <c r="FY15" i="11"/>
  <c r="FM15" i="11"/>
  <c r="FK6" i="11"/>
  <c r="FK13" i="11"/>
  <c r="EL5" i="11"/>
  <c r="EK5" i="11"/>
  <c r="FK7" i="11"/>
  <c r="FK8" i="11"/>
  <c r="EN8" i="11"/>
  <c r="EM8" i="11"/>
  <c r="FX8" i="11" s="1" a="1"/>
  <c r="FX8" i="11" s="1"/>
  <c r="EN6" i="11"/>
  <c r="EN7" i="11"/>
  <c r="EM6" i="11"/>
  <c r="FX6" i="11" s="1" a="1"/>
  <c r="FX6" i="11" s="1"/>
  <c r="EM7" i="11"/>
  <c r="FX7" i="11" s="1" a="1"/>
  <c r="FX7" i="11" s="1"/>
  <c r="EI12" i="11"/>
  <c r="FW10" i="11" s="1"/>
  <c r="EN12" i="11"/>
  <c r="EM12" i="11"/>
  <c r="FX12" i="11" s="1" a="1"/>
  <c r="FX12" i="11" s="1"/>
  <c r="FM6" i="11"/>
  <c r="FY6" i="11"/>
  <c r="AB7" i="11"/>
  <c r="X8" i="11" s="1"/>
  <c r="AB8" i="11" s="1"/>
  <c r="X9" i="11" s="1"/>
  <c r="AB9" i="11" s="1"/>
  <c r="X10" i="11" s="1"/>
  <c r="AB10" i="11" s="1"/>
  <c r="X11" i="11" s="1"/>
  <c r="AB11" i="11" s="1"/>
  <c r="X12" i="11" s="1"/>
  <c r="AB12" i="11" s="1"/>
  <c r="X13" i="11" s="1"/>
  <c r="AB13" i="11" s="1"/>
  <c r="X14" i="11" s="1"/>
  <c r="EM5" i="11"/>
  <c r="EN5" i="11"/>
  <c r="EM11" i="11"/>
  <c r="FX11" i="11" s="1" a="1"/>
  <c r="FX11" i="11" s="1"/>
  <c r="EN11" i="11"/>
  <c r="DP55" i="11"/>
  <c r="M7" i="11"/>
  <c r="I8" i="11" s="1"/>
  <c r="M8" i="11" s="1"/>
  <c r="I9" i="11" s="1"/>
  <c r="M9" i="11" s="1"/>
  <c r="I10" i="11" s="1"/>
  <c r="M10" i="11" s="1"/>
  <c r="I11" i="11" s="1"/>
  <c r="M11" i="11" s="1"/>
  <c r="I12" i="11" s="1"/>
  <c r="M12" i="11" s="1"/>
  <c r="EA5" i="11"/>
  <c r="FL5" i="11" s="1" a="1"/>
  <c r="FL5" i="11" s="1"/>
  <c r="EY5" i="11"/>
  <c r="EB5" i="11"/>
  <c r="EX5" i="11"/>
  <c r="FX5" i="11" s="1"/>
  <c r="EN10" i="11"/>
  <c r="DQ55" i="11"/>
  <c r="EI5" i="11"/>
  <c r="EM10" i="11"/>
  <c r="FX10" i="11" s="1" a="1"/>
  <c r="FX10" i="11" s="1"/>
  <c r="FY8" i="11"/>
  <c r="FY10" i="11"/>
  <c r="FY12" i="11"/>
  <c r="FY9" i="11"/>
  <c r="FY11" i="11"/>
  <c r="FW14" i="11"/>
  <c r="FM7" i="11"/>
  <c r="EL8" i="11"/>
  <c r="EL12" i="11"/>
  <c r="FM8" i="11"/>
  <c r="FK10" i="11"/>
  <c r="FK12" i="11"/>
  <c r="FM9" i="11"/>
  <c r="FM11" i="11"/>
  <c r="FY7" i="11"/>
  <c r="FK9" i="11"/>
  <c r="FK11" i="11"/>
  <c r="FM10" i="11"/>
  <c r="FM12" i="11"/>
  <c r="EK12" i="11"/>
  <c r="EI8" i="11"/>
  <c r="EL10" i="11"/>
  <c r="EK10" i="11"/>
  <c r="AA8" i="11"/>
  <c r="AA9" i="11" s="1"/>
  <c r="AA10" i="11" s="1"/>
  <c r="AA11" i="11" s="1"/>
  <c r="AA12" i="11" s="1"/>
  <c r="AA13" i="11" s="1"/>
  <c r="EZ11" i="11" s="1"/>
  <c r="EL6" i="11"/>
  <c r="EK6" i="11"/>
  <c r="EI7" i="11"/>
  <c r="EK11" i="11"/>
  <c r="EL11" i="11"/>
  <c r="EI11" i="11"/>
  <c r="FW18" i="11" s="1"/>
  <c r="EK7" i="11"/>
  <c r="DN55" i="11"/>
  <c r="DL55" i="11"/>
  <c r="DS55" i="11"/>
  <c r="L8" i="11"/>
  <c r="ET5" i="11"/>
  <c r="DW5" i="11"/>
  <c r="DY5" i="11"/>
  <c r="EV5" i="11"/>
  <c r="EW5" i="11"/>
  <c r="DZ5" i="11"/>
  <c r="DO55" i="11"/>
  <c r="EP55" i="11"/>
  <c r="V8" i="11"/>
  <c r="W7" i="11"/>
  <c r="S8" i="11" s="1"/>
  <c r="W8" i="11" s="1"/>
  <c r="S9" i="11" s="1"/>
  <c r="W9" i="11" s="1"/>
  <c r="S10" i="11" s="1"/>
  <c r="W10" i="11" s="1"/>
  <c r="S11" i="11" s="1"/>
  <c r="W11" i="11" s="1"/>
  <c r="S12" i="11" s="1"/>
  <c r="W12" i="11" s="1"/>
  <c r="FA5" i="11"/>
  <c r="ED5" i="11"/>
  <c r="EM55" i="11" l="1"/>
  <c r="EO55" i="11"/>
  <c r="EC6" i="11"/>
  <c r="EZ6" i="11"/>
  <c r="I16" i="15"/>
  <c r="I10" i="14"/>
  <c r="EN55" i="11"/>
  <c r="EK55" i="11"/>
  <c r="EL55" i="11"/>
  <c r="I13" i="10"/>
  <c r="FW16" i="11"/>
  <c r="FW17" i="11"/>
  <c r="I8" i="14"/>
  <c r="I14" i="13"/>
  <c r="FW12" i="11"/>
  <c r="H16" i="15" s="1"/>
  <c r="FW19" i="11"/>
  <c r="H22" i="13"/>
  <c r="H20" i="10"/>
  <c r="H20" i="14"/>
  <c r="H22" i="15"/>
  <c r="FW8" i="11"/>
  <c r="H12" i="13" s="1"/>
  <c r="FW15" i="11"/>
  <c r="FW7" i="11"/>
  <c r="H9" i="10" s="1"/>
  <c r="I13" i="13"/>
  <c r="I14" i="14"/>
  <c r="I14" i="10"/>
  <c r="H14" i="15"/>
  <c r="H16" i="14"/>
  <c r="H18" i="15"/>
  <c r="H16" i="10"/>
  <c r="H18" i="13"/>
  <c r="AA14" i="11"/>
  <c r="EZ12" i="11" s="1"/>
  <c r="EY11" i="11"/>
  <c r="EX11" i="11"/>
  <c r="FW6" i="11"/>
  <c r="EB6" i="11"/>
  <c r="EY6" i="11"/>
  <c r="EA6" i="11"/>
  <c r="EX6" i="11"/>
  <c r="H12" i="10"/>
  <c r="H12" i="14"/>
  <c r="H14" i="13"/>
  <c r="FW11" i="11"/>
  <c r="H13" i="14" s="1"/>
  <c r="FW13" i="11"/>
  <c r="FW9" i="11"/>
  <c r="H13" i="15" s="1"/>
  <c r="EI55" i="11"/>
  <c r="ET6" i="11"/>
  <c r="L9" i="11"/>
  <c r="DW6" i="11"/>
  <c r="DZ6" i="11"/>
  <c r="DY6" i="11"/>
  <c r="EV6" i="11"/>
  <c r="EW6" i="11"/>
  <c r="V9" i="11"/>
  <c r="ED6" i="11"/>
  <c r="FA6" i="11"/>
  <c r="I12" i="10" l="1"/>
  <c r="I14" i="15"/>
  <c r="EC7" i="11"/>
  <c r="EZ7" i="11"/>
  <c r="I12" i="14"/>
  <c r="H21" i="15"/>
  <c r="H19" i="14"/>
  <c r="H19" i="10"/>
  <c r="H21" i="13"/>
  <c r="H20" i="15"/>
  <c r="H18" i="10"/>
  <c r="H20" i="13"/>
  <c r="H18" i="14"/>
  <c r="H16" i="13"/>
  <c r="H14" i="14"/>
  <c r="H14" i="10"/>
  <c r="H10" i="14"/>
  <c r="H12" i="15"/>
  <c r="H10" i="10"/>
  <c r="H11" i="15"/>
  <c r="H9" i="14"/>
  <c r="H19" i="13"/>
  <c r="H17" i="14"/>
  <c r="H19" i="15"/>
  <c r="H17" i="10"/>
  <c r="H21" i="14"/>
  <c r="H23" i="13"/>
  <c r="H23" i="15"/>
  <c r="H21" i="10"/>
  <c r="H11" i="13"/>
  <c r="I16" i="13"/>
  <c r="I10" i="13"/>
  <c r="I8" i="10"/>
  <c r="I10" i="10"/>
  <c r="I10" i="15"/>
  <c r="I11" i="14"/>
  <c r="I42" i="14"/>
  <c r="I44" i="13"/>
  <c r="I44" i="15"/>
  <c r="I42" i="10"/>
  <c r="I24" i="14"/>
  <c r="I26" i="15"/>
  <c r="I26" i="13"/>
  <c r="I24" i="10"/>
  <c r="I38" i="14"/>
  <c r="I40" i="15"/>
  <c r="I40" i="13"/>
  <c r="I38" i="10"/>
  <c r="I21" i="14"/>
  <c r="I23" i="15"/>
  <c r="I23" i="13"/>
  <c r="I21" i="10"/>
  <c r="I19" i="14"/>
  <c r="I21" i="15"/>
  <c r="I21" i="13"/>
  <c r="I19" i="10"/>
  <c r="I33" i="14"/>
  <c r="I35" i="15"/>
  <c r="I35" i="13"/>
  <c r="I33" i="10"/>
  <c r="I15" i="15"/>
  <c r="I31" i="14"/>
  <c r="I33" i="15"/>
  <c r="I33" i="13"/>
  <c r="I31" i="10"/>
  <c r="I15" i="14"/>
  <c r="I17" i="15"/>
  <c r="I17" i="13"/>
  <c r="I15" i="10"/>
  <c r="I27" i="14"/>
  <c r="I29" i="15"/>
  <c r="I29" i="13"/>
  <c r="I27" i="10"/>
  <c r="I40" i="14"/>
  <c r="I42" i="13"/>
  <c r="I42" i="15"/>
  <c r="I40" i="10"/>
  <c r="I25" i="13"/>
  <c r="I23" i="14"/>
  <c r="I25" i="15"/>
  <c r="I23" i="10"/>
  <c r="I37" i="14"/>
  <c r="I39" i="15"/>
  <c r="I39" i="13"/>
  <c r="I37" i="10"/>
  <c r="I20" i="14"/>
  <c r="I22" i="15"/>
  <c r="I22" i="13"/>
  <c r="I20" i="10"/>
  <c r="I20" i="15"/>
  <c r="I18" i="14"/>
  <c r="I20" i="13"/>
  <c r="I18" i="10"/>
  <c r="I13" i="14"/>
  <c r="I16" i="14"/>
  <c r="I18" i="15"/>
  <c r="I18" i="13"/>
  <c r="I16" i="10"/>
  <c r="I12" i="15"/>
  <c r="I46" i="14"/>
  <c r="I48" i="15"/>
  <c r="I48" i="13"/>
  <c r="I46" i="10"/>
  <c r="I32" i="13"/>
  <c r="I30" i="14"/>
  <c r="I32" i="15"/>
  <c r="I30" i="10"/>
  <c r="I15" i="13"/>
  <c r="I43" i="14"/>
  <c r="I45" i="15"/>
  <c r="I45" i="13"/>
  <c r="I43" i="10"/>
  <c r="I26" i="14"/>
  <c r="I28" i="15"/>
  <c r="I28" i="13"/>
  <c r="I26" i="10"/>
  <c r="I41" i="14"/>
  <c r="I43" i="15"/>
  <c r="I43" i="13"/>
  <c r="I41" i="10"/>
  <c r="I39" i="14"/>
  <c r="I41" i="13"/>
  <c r="I41" i="15"/>
  <c r="I39" i="10"/>
  <c r="I13" i="15"/>
  <c r="I11" i="10"/>
  <c r="I45" i="14"/>
  <c r="I47" i="15"/>
  <c r="I47" i="13"/>
  <c r="I45" i="10"/>
  <c r="I29" i="14"/>
  <c r="I31" i="15"/>
  <c r="I31" i="13"/>
  <c r="I29" i="10"/>
  <c r="I9" i="10"/>
  <c r="I11" i="13"/>
  <c r="I11" i="15"/>
  <c r="I9" i="14"/>
  <c r="I25" i="14"/>
  <c r="I27" i="13"/>
  <c r="I27" i="15"/>
  <c r="I25" i="10"/>
  <c r="I12" i="13"/>
  <c r="I22" i="14"/>
  <c r="I24" i="15"/>
  <c r="I24" i="13"/>
  <c r="I22" i="10"/>
  <c r="I36" i="14"/>
  <c r="I38" i="15"/>
  <c r="I38" i="13"/>
  <c r="I36" i="10"/>
  <c r="I35" i="14"/>
  <c r="I37" i="15"/>
  <c r="I37" i="13"/>
  <c r="I35" i="10"/>
  <c r="I36" i="15"/>
  <c r="I36" i="13"/>
  <c r="I34" i="14"/>
  <c r="I34" i="10"/>
  <c r="I19" i="13"/>
  <c r="I17" i="14"/>
  <c r="I19" i="15"/>
  <c r="I17" i="10"/>
  <c r="I34" i="13"/>
  <c r="I32" i="14"/>
  <c r="I34" i="15"/>
  <c r="I32" i="10"/>
  <c r="I49" i="15"/>
  <c r="I49" i="13"/>
  <c r="I47" i="14"/>
  <c r="I47" i="10"/>
  <c r="I44" i="14"/>
  <c r="I46" i="15"/>
  <c r="I46" i="13"/>
  <c r="I44" i="10"/>
  <c r="I28" i="14"/>
  <c r="I30" i="15"/>
  <c r="I30" i="13"/>
  <c r="I28" i="10"/>
  <c r="H11" i="10"/>
  <c r="H13" i="10"/>
  <c r="H15" i="13"/>
  <c r="H11" i="14"/>
  <c r="H13" i="13"/>
  <c r="H15" i="14"/>
  <c r="H17" i="15"/>
  <c r="H15" i="10"/>
  <c r="H17" i="13"/>
  <c r="H10" i="13"/>
  <c r="H8" i="14"/>
  <c r="H10" i="15"/>
  <c r="H8" i="10"/>
  <c r="H15" i="15"/>
  <c r="EB7" i="11"/>
  <c r="EA7" i="11"/>
  <c r="EY7" i="11"/>
  <c r="EX7" i="11"/>
  <c r="EX12" i="11"/>
  <c r="EY12" i="11"/>
  <c r="V10" i="11"/>
  <c r="FA7" i="11"/>
  <c r="ED7" i="11"/>
  <c r="ET7" i="11"/>
  <c r="DW7" i="11"/>
  <c r="L10" i="11"/>
  <c r="DY7" i="11"/>
  <c r="EV7" i="11"/>
  <c r="DZ7" i="11"/>
  <c r="EW7" i="11"/>
  <c r="EC8" i="11" l="1"/>
  <c r="EZ8" i="11"/>
  <c r="EX8" i="11"/>
  <c r="EA8" i="11"/>
  <c r="EY8" i="11"/>
  <c r="EB8" i="11"/>
  <c r="L11" i="11"/>
  <c r="DW8" i="11"/>
  <c r="ET8" i="11"/>
  <c r="EV8" i="11"/>
  <c r="EW8" i="11"/>
  <c r="DY8" i="11"/>
  <c r="DZ8" i="11"/>
  <c r="ED8" i="11"/>
  <c r="V11" i="11"/>
  <c r="FA8" i="11"/>
  <c r="EC9" i="11" l="1"/>
  <c r="EZ9" i="11"/>
  <c r="EA9" i="11"/>
  <c r="EY9" i="11"/>
  <c r="EB9" i="11"/>
  <c r="EX9" i="11"/>
  <c r="V12" i="11"/>
  <c r="FA9" i="11"/>
  <c r="ED9" i="11"/>
  <c r="L12" i="11"/>
  <c r="DW9" i="11"/>
  <c r="ET9" i="11"/>
  <c r="EW9" i="11"/>
  <c r="DY9" i="11"/>
  <c r="EV9" i="11"/>
  <c r="DZ9" i="11"/>
  <c r="EC10" i="11" l="1"/>
  <c r="EZ10" i="11"/>
  <c r="EB10" i="11"/>
  <c r="EX10" i="11"/>
  <c r="EA10" i="11"/>
  <c r="EY10" i="11"/>
  <c r="DW31" i="11"/>
  <c r="DW13" i="11"/>
  <c r="ET37" i="11"/>
  <c r="DW12" i="11"/>
  <c r="ET25" i="11"/>
  <c r="ET12" i="11"/>
  <c r="DW25" i="11"/>
  <c r="ET14" i="11"/>
  <c r="DW26" i="11"/>
  <c r="DW30" i="11"/>
  <c r="DW11" i="11"/>
  <c r="ET28" i="11"/>
  <c r="ET33" i="11"/>
  <c r="ET11" i="11"/>
  <c r="ET23" i="11"/>
  <c r="ET17" i="11"/>
  <c r="DW15" i="11"/>
  <c r="ET21" i="11"/>
  <c r="ET19" i="11"/>
  <c r="DW27" i="11"/>
  <c r="ET10" i="11"/>
  <c r="ET30" i="11"/>
  <c r="ET27" i="11"/>
  <c r="ET38" i="11"/>
  <c r="DW28" i="11"/>
  <c r="DW22" i="11"/>
  <c r="DW29" i="11"/>
  <c r="ET22" i="11"/>
  <c r="DW32" i="11"/>
  <c r="ET29" i="11"/>
  <c r="DW10" i="11"/>
  <c r="ET35" i="11"/>
  <c r="DZ13" i="11"/>
  <c r="DZ18" i="11"/>
  <c r="DY15" i="11"/>
  <c r="ET13" i="11"/>
  <c r="ET31" i="11"/>
  <c r="DY28" i="11"/>
  <c r="DY13" i="11"/>
  <c r="DW24" i="11"/>
  <c r="DW17" i="11"/>
  <c r="ET34" i="11"/>
  <c r="ET24" i="11"/>
  <c r="DW18" i="11"/>
  <c r="DY18" i="11"/>
  <c r="DW14" i="11"/>
  <c r="DY12" i="11"/>
  <c r="ET15" i="11"/>
  <c r="DY17" i="11"/>
  <c r="DW19" i="11"/>
  <c r="ET40" i="11"/>
  <c r="DW20" i="11"/>
  <c r="ET32" i="11"/>
  <c r="ET44" i="11"/>
  <c r="DW16" i="11"/>
  <c r="ET36" i="11"/>
  <c r="DW21" i="11"/>
  <c r="DY24" i="11"/>
  <c r="DY32" i="11"/>
  <c r="ET26" i="11"/>
  <c r="DZ21" i="11"/>
  <c r="ET43" i="11"/>
  <c r="ET41" i="11"/>
  <c r="DZ14" i="11"/>
  <c r="ET16" i="11"/>
  <c r="ET42" i="11"/>
  <c r="DZ26" i="11"/>
  <c r="DZ25" i="11"/>
  <c r="DY33" i="11"/>
  <c r="DZ31" i="11"/>
  <c r="EW43" i="11"/>
  <c r="EW17" i="11"/>
  <c r="DW23" i="11"/>
  <c r="EW36" i="11"/>
  <c r="DY25" i="11"/>
  <c r="DY11" i="11"/>
  <c r="FL55" i="11" s="1"/>
  <c r="EW41" i="11"/>
  <c r="ET18" i="11"/>
  <c r="ET39" i="11"/>
  <c r="EW25" i="11"/>
  <c r="ET20" i="11"/>
  <c r="EV27" i="11"/>
  <c r="EW22" i="11"/>
  <c r="EV30" i="11"/>
  <c r="DY23" i="11"/>
  <c r="EW28" i="11"/>
  <c r="EV44" i="11"/>
  <c r="DY29" i="11"/>
  <c r="EV39" i="11"/>
  <c r="EW13" i="11"/>
  <c r="EW24" i="11"/>
  <c r="DZ27" i="11"/>
  <c r="DZ28" i="11"/>
  <c r="DY20" i="11"/>
  <c r="EW14" i="11"/>
  <c r="DZ11" i="11"/>
  <c r="EW18" i="11"/>
  <c r="EV19" i="11"/>
  <c r="DZ33" i="11"/>
  <c r="DZ19" i="11"/>
  <c r="DZ16" i="11"/>
  <c r="EV43" i="11"/>
  <c r="EV23" i="11"/>
  <c r="DY31" i="11"/>
  <c r="DY30" i="11"/>
  <c r="DY27" i="11"/>
  <c r="EV34" i="11"/>
  <c r="EV28" i="11"/>
  <c r="EV24" i="11"/>
  <c r="EW12" i="11"/>
  <c r="EW34" i="11"/>
  <c r="DZ22" i="11"/>
  <c r="EW15" i="11"/>
  <c r="EW40" i="11"/>
  <c r="EV29" i="11"/>
  <c r="EV37" i="11"/>
  <c r="DY10" i="11"/>
  <c r="EW26" i="11"/>
  <c r="EW39" i="11"/>
  <c r="EV14" i="11"/>
  <c r="DY22" i="11"/>
  <c r="DY19" i="11"/>
  <c r="EV32" i="11"/>
  <c r="EV10" i="11"/>
  <c r="EV17" i="11"/>
  <c r="DZ24" i="11"/>
  <c r="DY16" i="11"/>
  <c r="EV31" i="11"/>
  <c r="DZ12" i="11"/>
  <c r="DY21" i="11"/>
  <c r="EV41" i="11"/>
  <c r="EV15" i="11"/>
  <c r="DY26" i="11"/>
  <c r="EV22" i="11"/>
  <c r="EW10" i="11"/>
  <c r="DZ17" i="11"/>
  <c r="EW30" i="11"/>
  <c r="EV21" i="11"/>
  <c r="EW42" i="11"/>
  <c r="EV13" i="11"/>
  <c r="EW20" i="11"/>
  <c r="DZ20" i="11"/>
  <c r="EW33" i="11"/>
  <c r="EV18" i="11"/>
  <c r="DZ15" i="11"/>
  <c r="EV35" i="11"/>
  <c r="EV42" i="11"/>
  <c r="DZ23" i="11"/>
  <c r="EV26" i="11"/>
  <c r="EW27" i="11"/>
  <c r="EV11" i="11"/>
  <c r="EW21" i="11"/>
  <c r="EV25" i="11"/>
  <c r="EW19" i="11"/>
  <c r="EV12" i="11"/>
  <c r="EW38" i="11"/>
  <c r="EW31" i="11"/>
  <c r="EW37" i="11"/>
  <c r="DZ29" i="11"/>
  <c r="EW32" i="11"/>
  <c r="EV33" i="11"/>
  <c r="DZ32" i="11"/>
  <c r="EW35" i="11"/>
  <c r="EV20" i="11"/>
  <c r="DZ10" i="11"/>
  <c r="EW16" i="11"/>
  <c r="EV40" i="11"/>
  <c r="EV36" i="11"/>
  <c r="EV16" i="11"/>
  <c r="EW44" i="11"/>
  <c r="DY14" i="11"/>
  <c r="EW29" i="11"/>
  <c r="EW11" i="11"/>
  <c r="EV38" i="11"/>
  <c r="DZ30" i="11"/>
  <c r="EW23" i="11"/>
  <c r="FA21" i="11"/>
  <c r="FA20" i="11"/>
  <c r="FA11" i="11"/>
  <c r="ED33" i="11"/>
  <c r="ED23" i="11"/>
  <c r="ED29" i="11"/>
  <c r="FA26" i="11"/>
  <c r="ED27" i="11"/>
  <c r="FA43" i="11"/>
  <c r="ED20" i="11"/>
  <c r="FA29" i="11"/>
  <c r="FA17" i="11"/>
  <c r="FA28" i="11"/>
  <c r="FA37" i="11"/>
  <c r="ED14" i="11"/>
  <c r="ED24" i="11"/>
  <c r="FA35" i="11"/>
  <c r="FA12" i="11"/>
  <c r="ED15" i="11"/>
  <c r="FA10" i="11"/>
  <c r="FA25" i="11"/>
  <c r="ED30" i="11"/>
  <c r="FA32" i="11"/>
  <c r="FA18" i="11"/>
  <c r="ED26" i="11"/>
  <c r="FA39" i="11"/>
  <c r="FA19" i="11"/>
  <c r="FA31" i="11"/>
  <c r="ED32" i="11"/>
  <c r="FA34" i="11"/>
  <c r="ED21" i="11"/>
  <c r="ED18" i="11"/>
  <c r="FA41" i="11"/>
  <c r="FA30" i="11"/>
  <c r="FA16" i="11"/>
  <c r="ED16" i="11"/>
  <c r="ED31" i="11"/>
  <c r="FA38" i="11"/>
  <c r="FA23" i="11"/>
  <c r="FA36" i="11"/>
  <c r="ED13" i="11"/>
  <c r="FA13" i="11"/>
  <c r="FA15" i="11"/>
  <c r="FA27" i="11"/>
  <c r="FA44" i="11"/>
  <c r="FA22" i="11"/>
  <c r="FA24" i="11"/>
  <c r="ED12" i="11"/>
  <c r="FA40" i="11"/>
  <c r="FA42" i="11"/>
  <c r="ED25" i="11"/>
  <c r="ED10" i="11"/>
  <c r="ED19" i="11"/>
  <c r="ED28" i="11"/>
  <c r="ED22" i="11"/>
  <c r="ED17" i="11"/>
  <c r="ED34" i="11"/>
  <c r="ED11" i="11"/>
  <c r="FA14" i="11"/>
  <c r="FA33" i="11"/>
  <c r="FW5" i="11" l="1"/>
  <c r="FW55" i="11" s="1"/>
  <c r="FY5" i="11"/>
  <c r="FY55" i="11" s="1"/>
  <c r="I7" i="14"/>
  <c r="FM5" i="11"/>
  <c r="FM55" i="11" s="1"/>
  <c r="FK5" i="11"/>
  <c r="FK55" i="11" s="1"/>
  <c r="AB14" i="11"/>
  <c r="I49" i="14" l="1"/>
  <c r="R2" i="14"/>
  <c r="E56" i="14" s="1"/>
  <c r="H7" i="10"/>
  <c r="H49" i="10" s="1"/>
  <c r="H9" i="15"/>
  <c r="H51" i="15" s="1"/>
  <c r="H9" i="13"/>
  <c r="H51" i="13" s="1"/>
  <c r="H7" i="14"/>
  <c r="H49" i="14" s="1"/>
  <c r="I9" i="13"/>
  <c r="I7" i="10"/>
  <c r="R2" i="10" s="1"/>
  <c r="E56" i="10" s="1"/>
  <c r="FX55" i="11"/>
  <c r="I9" i="15"/>
  <c r="I51" i="15" s="1"/>
  <c r="H56" i="14" l="1"/>
  <c r="I51" i="13"/>
  <c r="Q2" i="13"/>
  <c r="H57" i="13" s="1"/>
  <c r="I49"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<sst xmlns="http://schemas.openxmlformats.org/spreadsheetml/2006/main" count="712" uniqueCount="289">
  <si>
    <t>Zip Code</t>
  </si>
  <si>
    <t>Premium</t>
  </si>
  <si>
    <t>Cost Basis</t>
  </si>
  <si>
    <t>SqFt Building</t>
  </si>
  <si>
    <t>Type of Prop</t>
  </si>
  <si>
    <t>Multiple Properties? #</t>
  </si>
  <si>
    <t>Acres Land</t>
  </si>
  <si>
    <t>9+</t>
  </si>
  <si>
    <t>55000+</t>
  </si>
  <si>
    <t>9000000+</t>
  </si>
  <si>
    <t># Floors</t>
  </si>
  <si>
    <t>12+</t>
  </si>
  <si>
    <t>Purchase Price</t>
  </si>
  <si>
    <t>Type of Property</t>
  </si>
  <si>
    <t>Number of Floors</t>
  </si>
  <si>
    <t>Multiple Properties</t>
  </si>
  <si>
    <t>Cost for 1</t>
  </si>
  <si>
    <t>Cost for Mulitple</t>
  </si>
  <si>
    <t>(cost per property)</t>
  </si>
  <si>
    <t>Cost Basis Factor</t>
  </si>
  <si>
    <t>Zip Code Factor</t>
  </si>
  <si>
    <t>SqFt Factor</t>
  </si>
  <si>
    <t>Acres Factor</t>
  </si>
  <si>
    <t>Industrial</t>
  </si>
  <si>
    <t>Medical</t>
  </si>
  <si>
    <t>Office</t>
  </si>
  <si>
    <t>Other</t>
  </si>
  <si>
    <t>Restaurant</t>
  </si>
  <si>
    <t>Retail</t>
  </si>
  <si>
    <t>Warehouse</t>
  </si>
  <si>
    <t># Floors Factor</t>
  </si>
  <si>
    <t># Properties</t>
  </si>
  <si>
    <t># Properties Factor</t>
  </si>
  <si>
    <t>Prop Type</t>
  </si>
  <si>
    <t>Prop Type Factor</t>
  </si>
  <si>
    <t>Bldg SqFt Factor</t>
  </si>
  <si>
    <t>Property Type Factor</t>
  </si>
  <si>
    <t>Linked to Input Sheet</t>
  </si>
  <si>
    <t>Cost Seg Bid</t>
  </si>
  <si>
    <t>Multiple Properties Bid</t>
  </si>
  <si>
    <t>X0</t>
  </si>
  <si>
    <t>L</t>
  </si>
  <si>
    <t>K</t>
  </si>
  <si>
    <t>nat Log</t>
  </si>
  <si>
    <t>e^</t>
  </si>
  <si>
    <t>Nat Log Quote</t>
  </si>
  <si>
    <t>Final Bid</t>
  </si>
  <si>
    <t>Total Cost</t>
  </si>
  <si>
    <t>Cost Basis Purchase</t>
  </si>
  <si>
    <t>Year</t>
  </si>
  <si>
    <t>Estimate</t>
  </si>
  <si>
    <t>Factor</t>
  </si>
  <si>
    <t>Bonus</t>
  </si>
  <si>
    <t>Land</t>
  </si>
  <si>
    <t>Place in Service</t>
  </si>
  <si>
    <t>CS Date</t>
  </si>
  <si>
    <t>Cost Seg Est</t>
  </si>
  <si>
    <t>Trad. Cost Seg</t>
  </si>
  <si>
    <t>Bonus Dep</t>
  </si>
  <si>
    <t>Address of Property</t>
  </si>
  <si>
    <t>123 Main St., Any City, XX 00000</t>
  </si>
  <si>
    <t>Bid</t>
  </si>
  <si>
    <t>Building</t>
  </si>
  <si>
    <t>Without CS</t>
  </si>
  <si>
    <t>Bonus Depreciation</t>
  </si>
  <si>
    <t>Minus 1 yr</t>
  </si>
  <si>
    <t>Minus 2yr</t>
  </si>
  <si>
    <t>Minus 3yr</t>
  </si>
  <si>
    <t>Minus 4yr</t>
  </si>
  <si>
    <t>Minus 5yr</t>
  </si>
  <si>
    <t>Year of Purchase</t>
  </si>
  <si>
    <t>YoP Vlookup</t>
  </si>
  <si>
    <t>27.5yr</t>
  </si>
  <si>
    <t>Trad CS</t>
  </si>
  <si>
    <t>Multi-Family</t>
  </si>
  <si>
    <t>39/27.5</t>
  </si>
  <si>
    <t>50/50</t>
  </si>
  <si>
    <t>Monthly</t>
  </si>
  <si>
    <t>Pay 50/50</t>
  </si>
  <si>
    <t>Minus 6yr</t>
  </si>
  <si>
    <t>Minus 7yr</t>
  </si>
  <si>
    <t>Minus 8yr</t>
  </si>
  <si>
    <t>Minus 9yr</t>
  </si>
  <si>
    <t>Minus 10 yr</t>
  </si>
  <si>
    <t>Years on Quote</t>
  </si>
  <si>
    <t>5 year property</t>
  </si>
  <si>
    <t>60 months</t>
  </si>
  <si>
    <t>7 year property</t>
  </si>
  <si>
    <t>84 months</t>
  </si>
  <si>
    <t>15 year property</t>
  </si>
  <si>
    <t>180 months</t>
  </si>
  <si>
    <t>27.5 yr</t>
  </si>
  <si>
    <t>New</t>
  </si>
  <si>
    <t>Old</t>
  </si>
  <si>
    <t>39 year property</t>
  </si>
  <si>
    <t>468  months</t>
  </si>
  <si>
    <t>QIP</t>
  </si>
  <si>
    <t>Date</t>
  </si>
  <si>
    <t>Aquired</t>
  </si>
  <si>
    <t>CSS</t>
  </si>
  <si>
    <t>Years</t>
  </si>
  <si>
    <t>Months</t>
  </si>
  <si>
    <t>Years+Months</t>
  </si>
  <si>
    <t>Beginning Months Subtracted</t>
  </si>
  <si>
    <t>End Months Added</t>
  </si>
  <si>
    <t>Half Year</t>
  </si>
  <si>
    <t>Half-Yr -1</t>
  </si>
  <si>
    <t>Half Year +1</t>
  </si>
  <si>
    <t>BV</t>
  </si>
  <si>
    <t>Rate</t>
  </si>
  <si>
    <t>Dep</t>
  </si>
  <si>
    <t>Accum</t>
  </si>
  <si>
    <t>EV</t>
  </si>
  <si>
    <t>MidMonth 39 Yr</t>
  </si>
  <si>
    <t>MidMonth</t>
  </si>
  <si>
    <t>MM/12</t>
  </si>
  <si>
    <t>5yr</t>
  </si>
  <si>
    <t>MidMonth 27.5 Yr</t>
  </si>
  <si>
    <t>Month</t>
  </si>
  <si>
    <t>Land Value</t>
  </si>
  <si>
    <t>No Land</t>
  </si>
  <si>
    <t>Know Land Value</t>
  </si>
  <si>
    <t>Known Land Value</t>
  </si>
  <si>
    <t>Date of Purchase</t>
  </si>
  <si>
    <t>Bonus Change</t>
  </si>
  <si>
    <t>Yr</t>
  </si>
  <si>
    <t>Half-Year 5yr</t>
  </si>
  <si>
    <t>Half-Year 7yr</t>
  </si>
  <si>
    <t>SL</t>
  </si>
  <si>
    <t>Half-Year 15yr</t>
  </si>
  <si>
    <t>What we offer</t>
  </si>
  <si>
    <t>What you have</t>
  </si>
  <si>
    <t>1031 Acc Dep</t>
  </si>
  <si>
    <t>1031 Exchange?</t>
  </si>
  <si>
    <t>1031 Exchange</t>
  </si>
  <si>
    <t>Yes</t>
  </si>
  <si>
    <t>No</t>
  </si>
  <si>
    <t>Show Cell?</t>
  </si>
  <si>
    <t>Show KLV?</t>
  </si>
  <si>
    <t>Cost Segregation Quote</t>
  </si>
  <si>
    <t>Company:</t>
  </si>
  <si>
    <t>Purchase Date</t>
  </si>
  <si>
    <t>*price match guarantee</t>
  </si>
  <si>
    <t>Total</t>
  </si>
  <si>
    <t>RCG Contact:</t>
  </si>
  <si>
    <t>rcgvaluation.com</t>
  </si>
  <si>
    <t>CSS Year</t>
  </si>
  <si>
    <t>Tax Year</t>
  </si>
  <si>
    <t>Name of Property Owner</t>
  </si>
  <si>
    <t>MidMonth 40yr ADS</t>
  </si>
  <si>
    <t>Years 2-40</t>
  </si>
  <si>
    <t>PAD* &amp; Deferred Growth</t>
  </si>
  <si>
    <t>40 year property</t>
  </si>
  <si>
    <t>480 months</t>
  </si>
  <si>
    <t>Std</t>
  </si>
  <si>
    <t>Trad</t>
  </si>
  <si>
    <t>ADS</t>
  </si>
  <si>
    <t>Acc</t>
  </si>
  <si>
    <t>20 year property</t>
  </si>
  <si>
    <t>10 year property</t>
  </si>
  <si>
    <t>120 months</t>
  </si>
  <si>
    <t>Mid-Mon 30yr SL</t>
  </si>
  <si>
    <t>50% Bonus</t>
  </si>
  <si>
    <t>Std. Dep</t>
  </si>
  <si>
    <t>Company</t>
  </si>
  <si>
    <t>Property Address</t>
  </si>
  <si>
    <t>City</t>
  </si>
  <si>
    <t>State</t>
  </si>
  <si>
    <t>Zip</t>
  </si>
  <si>
    <t>CapEx</t>
  </si>
  <si>
    <t>CapEx Amount</t>
  </si>
  <si>
    <t>CapEx Date</t>
  </si>
  <si>
    <t>Purchase</t>
  </si>
  <si>
    <t>Sum</t>
  </si>
  <si>
    <t>Property #</t>
  </si>
  <si>
    <t>Capital Improvements</t>
  </si>
  <si>
    <t>Short-Term Rental</t>
  </si>
  <si>
    <t>80% Bonus</t>
  </si>
  <si>
    <t>80% Bonus Change</t>
  </si>
  <si>
    <t>Engagement Fee</t>
  </si>
  <si>
    <t>Originally Quoted</t>
  </si>
  <si>
    <t>Pay Upfront**</t>
  </si>
  <si>
    <t>info@rcgvaluation.com</t>
  </si>
  <si>
    <t>Pay At The End</t>
  </si>
  <si>
    <t>Price Override</t>
  </si>
  <si>
    <t>New Quote</t>
  </si>
  <si>
    <t>Signature</t>
  </si>
  <si>
    <t>N/A</t>
  </si>
  <si>
    <t>H.Tollefson</t>
  </si>
  <si>
    <t>Building (plus CapEx)</t>
  </si>
  <si>
    <t>Tax Deadline</t>
  </si>
  <si>
    <t>March</t>
  </si>
  <si>
    <t>April</t>
  </si>
  <si>
    <t>September</t>
  </si>
  <si>
    <t>October</t>
  </si>
  <si>
    <t>6929 N Hayden Rd Suite C4-494</t>
  </si>
  <si>
    <t>Scottsdale, AZ 85250</t>
  </si>
  <si>
    <t>Smart Contact:</t>
  </si>
  <si>
    <t>info@smartcostseg.com</t>
  </si>
  <si>
    <t>SMARTCOSTSEG.COM</t>
  </si>
  <si>
    <t>Need a Rush?</t>
  </si>
  <si>
    <t>Rush Fee</t>
  </si>
  <si>
    <t>4W $500</t>
  </si>
  <si>
    <t>2W $1000</t>
  </si>
  <si>
    <t>No Rush</t>
  </si>
  <si>
    <t>Client Friendly</t>
  </si>
  <si>
    <t>B438rh*dkdu</t>
  </si>
  <si>
    <t>Year Built</t>
  </si>
  <si>
    <t>Land to SQFT</t>
  </si>
  <si>
    <t>Referral Fee</t>
  </si>
  <si>
    <t>Scott Roelofs</t>
  </si>
  <si>
    <t>6+</t>
  </si>
  <si>
    <t xml:space="preserve">   Rush Fee</t>
  </si>
  <si>
    <t>Yes, 10%</t>
  </si>
  <si>
    <t>Yes, 5%</t>
  </si>
  <si>
    <t>Yes, 20%</t>
  </si>
  <si>
    <t>MSRP</t>
  </si>
  <si>
    <t>Ryan Stephens</t>
  </si>
  <si>
    <t>1 (414) 588 - 9816</t>
  </si>
  <si>
    <t>Ryans@crjpc.com</t>
  </si>
  <si>
    <t>60% Bonus</t>
  </si>
  <si>
    <t>40% Bonus</t>
  </si>
  <si>
    <t>=IF(AND($CQ$5&gt;$CO$5,$CQ$5&lt;$CN$5),XLOOKUP(EZ5,$EE$5:$EE$54,$ET$5:$ET$54))</t>
  </si>
  <si>
    <t>=IF(AND($CQ$5&gt;$CP$5,$CQ$5&lt;$CO$5),XLOOKUP(EZ5,$EE$5:$EE$54,$ER$5:$ER$54))</t>
  </si>
  <si>
    <t>=IF($CQ$5&lt;$CP$5,XLOOKUP(EZ5,$EE$5:$EE$54,$ES$5:$ES$54))</t>
  </si>
  <si>
    <t>=IF(AND($CQ$5&gt;$CN$5,$CQ$5&lt;$CM$5),XLOOKUP(EZ5,$EE$5:$EE$54,$EU$5:$EU$54))</t>
  </si>
  <si>
    <t>C</t>
  </si>
  <si>
    <t>=IF(AND($CQ$5&gt;$CO$5,$CQ$5&lt;$CN$5),XLOOKUP(EZ6,$EE$5:$EE$54,$DO$5:$DO$54),</t>
  </si>
  <si>
    <t>=IF(AND($CQ$5&gt;$CN$5,$CQ$5&lt;$CM$5),XLOOKUP(EZ6,$EE$5:$EE$54,$DP$5:$DP$54)</t>
  </si>
  <si>
    <t>=IF($CQ$5&lt;$CP$5,XLOOKUP(EZ6,$EE$5:$EE$54,$DN$5:$DN$54)</t>
  </si>
  <si>
    <t>=XLOOKUP(EZ6,$EE$5:$EE$54,$DM$5:DM$54))))</t>
  </si>
  <si>
    <t>=XLOOKUP(EZ5,$EE$5:$EE$54,EV5:EV54))</t>
  </si>
  <si>
    <r>
      <t xml:space="preserve"> The referenced approaches are entitled “Detailed Engineering Approach From Actual Cost Records” and “Detailed Engineering Cost Estimate Approach”.  The full list of approaches can be found at the following address: </t>
    </r>
    <r>
      <rPr>
        <u/>
        <sz val="8"/>
        <color rgb="FF222222"/>
        <rFont val="Open Sans"/>
        <family val="2"/>
      </rPr>
      <t>https://www.irs.gov/businesses/cost-segregation-audit-techniques-guide-chapter-3-cost-segregation-approaches</t>
    </r>
  </si>
  <si>
    <r>
      <t xml:space="preserve">  The full list of approaches can be found at the following address: </t>
    </r>
    <r>
      <rPr>
        <u/>
        <sz val="8"/>
        <color rgb="FF222222"/>
        <rFont val="Open Sans"/>
        <family val="2"/>
      </rPr>
      <t>https://www.irs.gov/businesses/cost-segregation-audit-techniques-guide-chapter-3-cost-segregation-approaches</t>
    </r>
  </si>
  <si>
    <t>General</t>
  </si>
  <si>
    <t>Engineering</t>
  </si>
  <si>
    <t>Scanning</t>
  </si>
  <si>
    <t>Equipment</t>
  </si>
  <si>
    <t>Leads</t>
  </si>
  <si>
    <t>Profit</t>
  </si>
  <si>
    <t>(Up to 36 months)</t>
  </si>
  <si>
    <t>Pay Over Time with</t>
  </si>
  <si>
    <t xml:space="preserve">Pay Over Time with </t>
  </si>
  <si>
    <t>Pay over time with</t>
  </si>
  <si>
    <t>Drone</t>
  </si>
  <si>
    <t>Per SQFT</t>
  </si>
  <si>
    <t>Cost/Sqft</t>
  </si>
  <si>
    <t>Scan+Drone</t>
  </si>
  <si>
    <t>$1,500 Ceiling</t>
  </si>
  <si>
    <t>If SQFT</t>
  </si>
  <si>
    <t>Commision</t>
  </si>
  <si>
    <t>Cost Method</t>
  </si>
  <si>
    <t>UpFront + Rush</t>
  </si>
  <si>
    <t>A: Company Name (Name_of_Prospect)</t>
  </si>
  <si>
    <t>B: Street Address (Address_of_Property)</t>
  </si>
  <si>
    <t>C: Zip Code (Zip_Code)</t>
  </si>
  <si>
    <t>D: Purchase Price (Purchase_Price)</t>
  </si>
  <si>
    <t>E: Capital Improvements (Capital_Improvements_Amount)</t>
  </si>
  <si>
    <t>F: Building Value (Building_Value)</t>
  </si>
  <si>
    <t>G: Land Value (Know_Land_Value)</t>
  </si>
  <si>
    <t>H: Purchase Date (Date_of_Purchase)</t>
  </si>
  <si>
    <t>I: SqFt Building (SqFt_Building)</t>
  </si>
  <si>
    <t>J: Acres Land (Acres_Land)</t>
  </si>
  <si>
    <t>K: Year Built (Year_Built)</t>
  </si>
  <si>
    <t>L: Bid Amount Original (Bid_Amount_Original)</t>
  </si>
  <si>
    <t>M: Pay Upfront (Pay_Upfront)</t>
  </si>
  <si>
    <t>N: Pay 50/50 (Pay_50_50_Amount)</t>
  </si>
  <si>
    <t>O: Pay Over Time (Pay_Over_Time)</t>
  </si>
  <si>
    <t>P: Rush Fee (Rush_Fee)</t>
  </si>
  <si>
    <t>Q: Multiple Properties (Multiple_Properties_Quote)</t>
  </si>
  <si>
    <t>R: Bonus Quote (First_Year_Bonus_Quote)</t>
  </si>
  <si>
    <t>S: Tax Year (Tax_Year)</t>
  </si>
  <si>
    <t>T: Tax Deadline Month (Tax_Deadline_Quote)</t>
  </si>
  <si>
    <t>U: CapEx Date</t>
  </si>
  <si>
    <t>V: Type of Property</t>
  </si>
  <si>
    <t>M: SMART_Premium</t>
  </si>
  <si>
    <t>N: Bid Amount</t>
  </si>
  <si>
    <t>L: Total Bid Amount</t>
  </si>
  <si>
    <t>U: Referral Fee</t>
  </si>
  <si>
    <t>20% Bonus</t>
  </si>
  <si>
    <t>100% Bonus</t>
  </si>
  <si>
    <t>Residential/LTR</t>
  </si>
  <si>
    <t>Valued Client</t>
  </si>
  <si>
    <t>123 Main St, Yourtown, US, 85260</t>
  </si>
  <si>
    <t>W: Number of Floors</t>
  </si>
  <si>
    <r>
      <t xml:space="preserve"> ** The Upfront payment needs to be paid within 15 days of execution of the engagement letter or the Engagement Fee will revert to the "Originally Quoted" value. The full list of approaches can be found at the following address: </t>
    </r>
    <r>
      <rPr>
        <u/>
        <sz val="8"/>
        <color rgb="FF222222"/>
        <rFont val="Open Sans"/>
        <family val="2"/>
      </rPr>
      <t>https://www.irs.gov/pub/irs-pdf/p5653.pdf</t>
    </r>
  </si>
  <si>
    <t>O: 331.248.7245    C: 480.276.5626</t>
  </si>
  <si>
    <t>O: 330.248.7245    C: 480.276.5626</t>
  </si>
  <si>
    <r>
      <t xml:space="preserve">  ** The Upfront payment needs to be paid within 15 days of execution of the engagement letter or the Engagement Fee will revert to the "Originally Quoted" value. The full list of approaches can be found at the following address: </t>
    </r>
    <r>
      <rPr>
        <u/>
        <sz val="8"/>
        <color rgb="FF222222"/>
        <rFont val="Open Sans"/>
        <family val="2"/>
      </rPr>
      <t>https://www.irs.gov/pub/irs-pdf/p5653.pdf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</si>
</sst>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7">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00"/>
    <numFmt numFmtId="165" formatCode="&quot;$&quot;#,##0"/>
    <numFmt numFmtId="166" formatCode="&quot;$&quot;#,##0.000"/>
    <numFmt numFmtId="167" formatCode="0.0000000000"/>
    <numFmt numFmtId="168" formatCode="#,##0.00000000_);\(#,##0.00000000\)"/>
    <numFmt numFmtId="169" formatCode="#,##0.000000"/>
    <numFmt numFmtId="170" formatCode="#,##0.00000000"/>
    <numFmt numFmtId="171" formatCode="#,##0.0000000_);\(#,##0.0000000\)"/>
    <numFmt numFmtId="172" formatCode="0.000000"/>
    <numFmt numFmtId="173" formatCode="#,##0.000000_);\(#,##0.000000\)"/>
    <numFmt numFmtId="174" formatCode="00000"/>
    <numFmt numFmtId="175" formatCode="mm/dd/yy;@"/>
    <numFmt numFmtId="176" formatCode="#,##0.0_);\(#,##0.0\)"/>
    <numFmt numFmtId="177" formatCode="0.0000%"/>
    <numFmt numFmtId="178" formatCode="_(* #,##0.0_);_(* \(#,##0.0\);_(* &quot;-&quot;?_);_(@_)"/>
    <numFmt numFmtId="179" formatCode="0.000%"/>
    <numFmt numFmtId="180" formatCode="_(* #,##0.0_);_(* \(#,##0.0\);_(* &quot;-&quot;_);_(@_)"/>
    <numFmt numFmtId="181" formatCode="0_);\(0\)"/>
    <numFmt numFmtId="182" formatCode="_(* #,##0_);_(* \(#,##0\);_(* &quot;-&quot;??_);_(@_)"/>
    <numFmt numFmtId="183" formatCode="0.00000000000000"/>
    <numFmt numFmtId="184" formatCode="0.000000%"/>
    <numFmt numFmtId="185" formatCode="_(&quot;$&quot;* #,##0_);_(&quot;$&quot;* \(#,##0\);_(&quot;$&quot;* &quot;-&quot;??_);_(@_)"/>
    <numFmt numFmtId="186" formatCode="_(* #,##0.00000_);_(* \(#,##0.00000\);_(* &quot;-&quot;_);_(@_)"/>
  </numFmts>
  <fonts count="38" x14ac:knownFonts="1">
    <font>
      <sz val="11"/>
      <color theme="1"/>
      <name val="Calibri"/>
      <family val="2"/>
      <scheme val="minor"/>
    </font>
    <font>
      <b/>
      <sz val="11"/>
      <color theme="1"/>
      <name val="Calibri"/>
      <family val="2"/>
      <scheme val="minor"/>
    </font>
    <font>
      <sz val="9"/>
      <color theme="1"/>
      <name val="Calibri"/>
      <family val="2"/>
      <scheme val="minor"/>
    </font>
    <font>
      <sz val="12"/>
      <color rgb="FF222222"/>
      <name val="Verdana"/>
      <family val="2"/>
    </font>
    <font>
      <sz val="14"/>
      <color rgb="FF555555"/>
      <name val="Helvetica"/>
      <family val="2"/>
    </font>
    <font>
      <sz val="11"/>
      <color theme="1"/>
      <name val="Calibri"/>
      <family val="2"/>
      <scheme val="minor"/>
    </font>
    <font>
      <b/>
      <sz val="10"/>
      <color theme="1"/>
      <name val="Open Sans"/>
      <family val="2"/>
    </font>
    <font>
      <sz val="10"/>
      <color theme="1"/>
      <name val="Open Sans"/>
      <family val="2"/>
    </font>
    <font>
      <b/>
      <sz val="12"/>
      <color theme="1"/>
      <name val="Open Sans"/>
      <family val="2"/>
    </font>
    <font>
      <sz val="10"/>
      <name val="Open Sans"/>
      <family val="2"/>
    </font>
    <font>
      <sz val="10"/>
      <color rgb="FF222222"/>
      <name val="Open Sans"/>
      <family val="2"/>
    </font>
    <font>
      <b/>
      <sz val="10"/>
      <color theme="0"/>
      <name val="Open Sans"/>
      <family val="2"/>
    </font>
    <font>
      <b/>
      <sz val="6"/>
      <color theme="1"/>
      <name val="Open Sans"/>
      <family val="2"/>
    </font>
    <font>
      <sz val="6"/>
      <color theme="1"/>
      <name val="Open Sans"/>
      <family val="2"/>
    </font>
    <font>
      <sz val="8"/>
      <color rgb="FF222222"/>
      <name val="Open Sans"/>
      <family val="2"/>
    </font>
    <font>
      <u/>
      <sz val="8"/>
      <color rgb="FF222222"/>
      <name val="Open Sans"/>
      <family val="2"/>
    </font>
    <font>
      <sz val="10"/>
      <color rgb="FFFFFFFF"/>
      <name val="Open Sans"/>
      <family val="2"/>
    </font>
    <font>
      <b/>
      <sz val="10"/>
      <color rgb="FFFFFFFF"/>
      <name val="Open Sans"/>
      <family val="2"/>
    </font>
    <font>
      <b/>
      <sz val="12"/>
      <color rgb="FFFFFFFF"/>
      <name val="Open Sans"/>
      <family val="2"/>
    </font>
    <font>
      <sz val="7"/>
      <color theme="1"/>
      <name val="Open Sans"/>
      <family val="2"/>
    </font>
    <font>
      <sz val="5"/>
      <name val="Open Sans"/>
      <family val="2"/>
    </font>
    <font>
      <b/>
      <sz val="11"/>
      <color theme="0"/>
      <name val="Open Sans"/>
      <family val="2"/>
    </font>
    <font>
      <u/>
      <sz val="11"/>
      <color theme="10"/>
      <name val="Calibri"/>
      <family val="2"/>
      <scheme val="minor"/>
    </font>
    <font>
      <sz val="10"/>
      <color rgb="FF313130"/>
      <name val="Open Sans"/>
      <family val="2"/>
    </font>
    <font>
      <sz val="10"/>
      <color theme="0"/>
      <name val="Open Sans"/>
      <family val="2"/>
    </font>
    <font>
      <sz val="6"/>
      <color theme="0"/>
      <name val="Open Sans"/>
      <family val="2"/>
    </font>
    <font>
      <sz val="24"/>
      <color theme="1"/>
      <name val="Open Sans"/>
      <family val="2"/>
    </font>
    <font>
      <b/>
      <sz val="10"/>
      <name val="Open Sans"/>
      <family val="2"/>
    </font>
    <font>
      <sz val="8"/>
      <color rgb="FFFFFFFF"/>
      <name val="Ubuntu Mono"/>
      <family val="3"/>
    </font>
    <font>
      <sz val="56"/>
      <color theme="1"/>
      <name val="Congenial Light"/>
    </font>
    <font>
      <sz val="12"/>
      <color theme="1"/>
      <name val="Aptos"/>
      <family val="2"/>
    </font>
    <font>
      <sz val="12"/>
      <color theme="1"/>
      <name val="Calibri"/>
      <family val="2"/>
      <scheme val="minor"/>
    </font>
    <font>
      <b/>
      <sz val="48"/>
      <color theme="5" tint="-0.249977111117893"/>
      <name val="Trade Gothic Next Heavy"/>
      <family val="2"/>
    </font>
    <font>
      <sz val="48"/>
      <color theme="1"/>
      <name val="Congenial Light"/>
    </font>
    <font>
      <sz val="12"/>
      <color theme="1"/>
      <name val="Open Sans"/>
      <family val="2"/>
    </font>
    <font>
      <sz val="9"/>
      <color theme="1"/>
      <name val="Open Sans"/>
      <family val="2"/>
    </font>
    <font>
      <sz val="8"/>
      <color theme="0"/>
      <name val="Open Sans"/>
      <family val="2"/>
    </font>
    <font>
      <sz val="1"/>
      <color theme="0"/>
      <name val="Open Sans"/>
      <family val="2"/>
    </font>
  </fonts>
  <fills count="18">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tint="-0.14999847407452621"/>
        <bgColor theme="0" tint="-0.14999847407452621"/>
      </patternFill>
    </fill>
    <fill>
      <patternFill patternType="solid">
        <fgColor theme="0"/>
        <bgColor indexed="64"/>
      </patternFill>
    </fill>
    <fill>
      <patternFill patternType="solid">
        <fgColor theme="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FFC000"/>
        <bgColor indexed="64"/>
      </patternFill>
    </fill>
    <fill>
      <patternFill patternType="solid">
        <fgColor rgb="FF222840"/>
      </patternFill>
    </fill>
    <fill>
      <patternFill patternType="solid">
        <fgColor theme="1" tint="0.34998626667073579"/>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ouble">
        <color indexed="64"/>
      </bottom>
      <diagonal/>
    </border>
    <border>
      <left style="medium">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double">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top style="thin">
        <color indexed="64"/>
      </top>
      <bottom style="thin">
        <color indexed="64"/>
      </bottom>
      <diagonal/>
    </border>
  </borders>
  <cellStyleXfs count="5">
    <xf numFmtId="0" fontId="0" fillId="0" borderId="0"/>
    <xf numFmtId="9"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0" fontId="22" fillId="0" borderId="0" applyNumberFormat="0" applyFill="0" applyBorder="0" applyAlignment="0" applyProtection="0"/>
  </cellStyleXfs>
  <cellXfs count="246">
    <xf numFmtId="0" fontId="0" fillId="0" borderId="0" xfId="0"/>
    <xf numFmtId="164" fontId="0" fillId="0" borderId="0" xfId="0" applyNumberFormat="1"/>
    <xf numFmtId="0" fontId="0" fillId="0" borderId="0" xfId="0" applyAlignment="1">
      <alignment horizontal="right"/>
    </xf>
    <xf numFmtId="165" fontId="0" fillId="0" borderId="0" xfId="0" applyNumberFormat="1"/>
    <xf numFmtId="0" fontId="0" fillId="0" borderId="1" xfId="0" applyBorder="1"/>
    <xf numFmtId="0" fontId="0" fillId="2" borderId="1" xfId="0" applyFill="1" applyBorder="1"/>
    <xf numFmtId="165" fontId="0" fillId="3" borderId="1" xfId="0" applyNumberFormat="1" applyFill="1" applyBorder="1"/>
    <xf numFmtId="3" fontId="0" fillId="0" borderId="0" xfId="0" applyNumberFormat="1"/>
    <xf numFmtId="0" fontId="0" fillId="4" borderId="0" xfId="0" applyFill="1"/>
    <xf numFmtId="0" fontId="0" fillId="5" borderId="0" xfId="0" applyFill="1"/>
    <xf numFmtId="0" fontId="0" fillId="0" borderId="3" xfId="0" applyBorder="1"/>
    <xf numFmtId="0" fontId="0" fillId="0" borderId="4" xfId="0" applyBorder="1"/>
    <xf numFmtId="0" fontId="1" fillId="0" borderId="0" xfId="0" applyFont="1"/>
    <xf numFmtId="0" fontId="0" fillId="5" borderId="3" xfId="0" applyFill="1" applyBorder="1"/>
    <xf numFmtId="0" fontId="0" fillId="4" borderId="2" xfId="0" applyFill="1" applyBorder="1"/>
    <xf numFmtId="0" fontId="0" fillId="4" borderId="3" xfId="0" applyFill="1" applyBorder="1"/>
    <xf numFmtId="165" fontId="0" fillId="6" borderId="1" xfId="0" applyNumberFormat="1" applyFill="1" applyBorder="1"/>
    <xf numFmtId="164" fontId="0" fillId="6" borderId="1" xfId="0" applyNumberFormat="1" applyFill="1" applyBorder="1"/>
    <xf numFmtId="166" fontId="0" fillId="0" borderId="0" xfId="0" applyNumberFormat="1"/>
    <xf numFmtId="167" fontId="0" fillId="0" borderId="0" xfId="0" applyNumberFormat="1"/>
    <xf numFmtId="165" fontId="0" fillId="6" borderId="0" xfId="0" applyNumberFormat="1" applyFill="1"/>
    <xf numFmtId="14" fontId="0" fillId="0" borderId="0" xfId="0" applyNumberFormat="1"/>
    <xf numFmtId="41" fontId="0" fillId="0" borderId="0" xfId="0" applyNumberFormat="1"/>
    <xf numFmtId="0" fontId="0" fillId="6" borderId="1" xfId="0" applyFill="1" applyBorder="1"/>
    <xf numFmtId="0" fontId="0" fillId="6" borderId="0" xfId="0" applyFill="1"/>
    <xf numFmtId="4" fontId="3" fillId="6" borderId="0" xfId="0" applyNumberFormat="1" applyFont="1" applyFill="1"/>
    <xf numFmtId="14" fontId="0" fillId="8" borderId="0" xfId="0" applyNumberFormat="1" applyFill="1"/>
    <xf numFmtId="4" fontId="0" fillId="0" borderId="0" xfId="0" applyNumberFormat="1"/>
    <xf numFmtId="168" fontId="0" fillId="0" borderId="0" xfId="0" applyNumberFormat="1"/>
    <xf numFmtId="169" fontId="0" fillId="0" borderId="0" xfId="0" applyNumberFormat="1"/>
    <xf numFmtId="170" fontId="0" fillId="0" borderId="0" xfId="0" applyNumberFormat="1"/>
    <xf numFmtId="4" fontId="0" fillId="6" borderId="0" xfId="0" applyNumberFormat="1" applyFill="1"/>
    <xf numFmtId="171" fontId="0" fillId="0" borderId="0" xfId="0" applyNumberFormat="1"/>
    <xf numFmtId="0" fontId="0" fillId="0" borderId="12" xfId="0" applyBorder="1"/>
    <xf numFmtId="164" fontId="0" fillId="0" borderId="12" xfId="0" applyNumberFormat="1" applyBorder="1"/>
    <xf numFmtId="42" fontId="0" fillId="0" borderId="0" xfId="0" applyNumberFormat="1"/>
    <xf numFmtId="1" fontId="0" fillId="0" borderId="0" xfId="0" applyNumberFormat="1"/>
    <xf numFmtId="0" fontId="4" fillId="0" borderId="0" xfId="0" applyFont="1"/>
    <xf numFmtId="172" fontId="0" fillId="0" borderId="0" xfId="0" applyNumberFormat="1"/>
    <xf numFmtId="173" fontId="0" fillId="0" borderId="0" xfId="0" applyNumberFormat="1"/>
    <xf numFmtId="174" fontId="0" fillId="3" borderId="1" xfId="0" applyNumberFormat="1" applyFill="1" applyBorder="1"/>
    <xf numFmtId="41" fontId="0" fillId="0" borderId="13" xfId="0" applyNumberFormat="1" applyBorder="1"/>
    <xf numFmtId="41" fontId="0" fillId="10" borderId="14" xfId="0" applyNumberFormat="1" applyFill="1" applyBorder="1"/>
    <xf numFmtId="41" fontId="0" fillId="10" borderId="1" xfId="0" applyNumberFormat="1" applyFill="1" applyBorder="1"/>
    <xf numFmtId="41" fontId="0" fillId="0" borderId="1" xfId="0" applyNumberFormat="1" applyBorder="1"/>
    <xf numFmtId="41" fontId="0" fillId="7" borderId="1" xfId="0" applyNumberFormat="1" applyFill="1" applyBorder="1"/>
    <xf numFmtId="41" fontId="0" fillId="11" borderId="1" xfId="0" applyNumberFormat="1" applyFill="1" applyBorder="1"/>
    <xf numFmtId="41" fontId="0" fillId="0" borderId="12" xfId="0" applyNumberFormat="1" applyBorder="1"/>
    <xf numFmtId="41" fontId="0" fillId="0" borderId="15" xfId="0" applyNumberFormat="1" applyBorder="1"/>
    <xf numFmtId="9" fontId="0" fillId="10" borderId="14" xfId="0" applyNumberFormat="1" applyFill="1" applyBorder="1"/>
    <xf numFmtId="9" fontId="0" fillId="10" borderId="1" xfId="0" applyNumberFormat="1" applyFill="1" applyBorder="1"/>
    <xf numFmtId="9" fontId="0" fillId="0" borderId="1" xfId="0" applyNumberFormat="1" applyBorder="1"/>
    <xf numFmtId="9" fontId="0" fillId="7" borderId="1" xfId="0" applyNumberFormat="1" applyFill="1" applyBorder="1"/>
    <xf numFmtId="9" fontId="0" fillId="11" borderId="1" xfId="0" applyNumberFormat="1" applyFill="1" applyBorder="1"/>
    <xf numFmtId="2" fontId="0" fillId="0" borderId="0" xfId="0" applyNumberFormat="1"/>
    <xf numFmtId="175" fontId="0" fillId="0" borderId="0" xfId="0" applyNumberFormat="1"/>
    <xf numFmtId="41" fontId="0" fillId="10" borderId="0" xfId="0" applyNumberFormat="1" applyFill="1"/>
    <xf numFmtId="44" fontId="0" fillId="0" borderId="0" xfId="0" applyNumberFormat="1"/>
    <xf numFmtId="10" fontId="0" fillId="10" borderId="1" xfId="0" applyNumberFormat="1" applyFill="1" applyBorder="1"/>
    <xf numFmtId="10" fontId="0" fillId="0" borderId="1" xfId="0" applyNumberFormat="1" applyBorder="1"/>
    <xf numFmtId="10" fontId="0" fillId="11" borderId="1" xfId="0" applyNumberFormat="1" applyFill="1" applyBorder="1"/>
    <xf numFmtId="0" fontId="0" fillId="0" borderId="16" xfId="0" applyBorder="1"/>
    <xf numFmtId="0" fontId="0" fillId="0" borderId="14" xfId="0" applyBorder="1"/>
    <xf numFmtId="0" fontId="0" fillId="0" borderId="5" xfId="0" applyBorder="1"/>
    <xf numFmtId="0" fontId="0" fillId="0" borderId="6" xfId="0" applyBorder="1"/>
    <xf numFmtId="0" fontId="0" fillId="2" borderId="5" xfId="0" applyFill="1" applyBorder="1"/>
    <xf numFmtId="0" fontId="0" fillId="2" borderId="6" xfId="0" applyFill="1" applyBorder="1"/>
    <xf numFmtId="0" fontId="0" fillId="2" borderId="0" xfId="0" applyFill="1"/>
    <xf numFmtId="176" fontId="0" fillId="0" borderId="0" xfId="0" applyNumberFormat="1"/>
    <xf numFmtId="1" fontId="0" fillId="12" borderId="5" xfId="0" applyNumberFormat="1" applyFill="1" applyBorder="1"/>
    <xf numFmtId="1" fontId="0" fillId="12" borderId="10" xfId="0" applyNumberFormat="1" applyFill="1" applyBorder="1"/>
    <xf numFmtId="0" fontId="0" fillId="2" borderId="7" xfId="0" applyFill="1" applyBorder="1"/>
    <xf numFmtId="0" fontId="0" fillId="2" borderId="8" xfId="0" applyFill="1" applyBorder="1"/>
    <xf numFmtId="0" fontId="0" fillId="12" borderId="5" xfId="0" applyFill="1" applyBorder="1"/>
    <xf numFmtId="41" fontId="0" fillId="12" borderId="6" xfId="0" applyNumberFormat="1" applyFill="1" applyBorder="1"/>
    <xf numFmtId="41" fontId="0" fillId="7" borderId="0" xfId="0" applyNumberFormat="1" applyFill="1"/>
    <xf numFmtId="0" fontId="0" fillId="12" borderId="7" xfId="0" applyFill="1" applyBorder="1"/>
    <xf numFmtId="41" fontId="0" fillId="12" borderId="8" xfId="0" applyNumberFormat="1" applyFill="1" applyBorder="1"/>
    <xf numFmtId="44" fontId="0" fillId="0" borderId="1" xfId="0" applyNumberFormat="1" applyBorder="1"/>
    <xf numFmtId="0" fontId="0" fillId="2" borderId="9" xfId="0" applyFill="1" applyBorder="1"/>
    <xf numFmtId="0" fontId="0" fillId="2" borderId="11" xfId="0" applyFill="1" applyBorder="1"/>
    <xf numFmtId="14" fontId="0" fillId="10" borderId="14" xfId="0" applyNumberFormat="1" applyFill="1" applyBorder="1"/>
    <xf numFmtId="14" fontId="0" fillId="10" borderId="1" xfId="0" applyNumberFormat="1" applyFill="1" applyBorder="1"/>
    <xf numFmtId="14" fontId="0" fillId="0" borderId="1" xfId="0" applyNumberFormat="1" applyBorder="1"/>
    <xf numFmtId="0" fontId="0" fillId="12" borderId="9" xfId="0" applyFill="1" applyBorder="1"/>
    <xf numFmtId="41" fontId="0" fillId="12" borderId="11" xfId="0" applyNumberFormat="1" applyFill="1" applyBorder="1"/>
    <xf numFmtId="0" fontId="0" fillId="10" borderId="14" xfId="0" applyFill="1" applyBorder="1"/>
    <xf numFmtId="0" fontId="0" fillId="10" borderId="1" xfId="0" applyFill="1" applyBorder="1"/>
    <xf numFmtId="2" fontId="0" fillId="10" borderId="14" xfId="0" applyNumberFormat="1" applyFill="1" applyBorder="1"/>
    <xf numFmtId="2" fontId="0" fillId="0" borderId="1" xfId="0" applyNumberFormat="1" applyBorder="1"/>
    <xf numFmtId="41" fontId="0" fillId="0" borderId="4" xfId="0" applyNumberFormat="1" applyBorder="1"/>
    <xf numFmtId="41" fontId="0" fillId="0" borderId="18" xfId="0" applyNumberFormat="1" applyBorder="1"/>
    <xf numFmtId="41" fontId="0" fillId="10" borderId="7" xfId="0" applyNumberFormat="1" applyFill="1" applyBorder="1"/>
    <xf numFmtId="41" fontId="0" fillId="0" borderId="7" xfId="0" applyNumberFormat="1" applyBorder="1"/>
    <xf numFmtId="41" fontId="0" fillId="11" borderId="0" xfId="0" applyNumberFormat="1" applyFill="1"/>
    <xf numFmtId="177" fontId="0" fillId="10" borderId="0" xfId="0" applyNumberFormat="1" applyFill="1"/>
    <xf numFmtId="9" fontId="0" fillId="0" borderId="0" xfId="0" applyNumberFormat="1"/>
    <xf numFmtId="178" fontId="0" fillId="0" borderId="0" xfId="0" applyNumberFormat="1"/>
    <xf numFmtId="9" fontId="0" fillId="2" borderId="1" xfId="1" applyFont="1" applyFill="1" applyBorder="1"/>
    <xf numFmtId="177" fontId="0" fillId="7" borderId="0" xfId="1" applyNumberFormat="1" applyFont="1" applyFill="1"/>
    <xf numFmtId="177" fontId="0" fillId="10" borderId="1" xfId="0" applyNumberFormat="1" applyFill="1" applyBorder="1"/>
    <xf numFmtId="10" fontId="0" fillId="0" borderId="0" xfId="0" applyNumberFormat="1"/>
    <xf numFmtId="9" fontId="0" fillId="13" borderId="0" xfId="0" applyNumberFormat="1" applyFill="1"/>
    <xf numFmtId="10" fontId="0" fillId="13" borderId="0" xfId="1" applyNumberFormat="1" applyFont="1" applyFill="1"/>
    <xf numFmtId="41" fontId="0" fillId="14" borderId="1" xfId="0" applyNumberFormat="1" applyFill="1" applyBorder="1"/>
    <xf numFmtId="9" fontId="0" fillId="14" borderId="1" xfId="0" applyNumberFormat="1" applyFill="1" applyBorder="1"/>
    <xf numFmtId="10" fontId="0" fillId="14" borderId="1" xfId="0" applyNumberFormat="1" applyFill="1" applyBorder="1"/>
    <xf numFmtId="0" fontId="0" fillId="14" borderId="1" xfId="0" applyFill="1" applyBorder="1"/>
    <xf numFmtId="41" fontId="0" fillId="14" borderId="7" xfId="0" applyNumberFormat="1" applyFill="1" applyBorder="1"/>
    <xf numFmtId="41" fontId="0" fillId="14" borderId="0" xfId="0" applyNumberFormat="1" applyFill="1"/>
    <xf numFmtId="177" fontId="0" fillId="13" borderId="0" xfId="1" applyNumberFormat="1" applyFont="1" applyFill="1"/>
    <xf numFmtId="41" fontId="0" fillId="15" borderId="1" xfId="0" applyNumberFormat="1" applyFill="1" applyBorder="1"/>
    <xf numFmtId="41" fontId="0" fillId="0" borderId="19" xfId="0" applyNumberFormat="1" applyBorder="1"/>
    <xf numFmtId="41" fontId="0" fillId="0" borderId="17" xfId="0" applyNumberFormat="1" applyBorder="1"/>
    <xf numFmtId="42" fontId="0" fillId="2" borderId="1" xfId="0" applyNumberFormat="1" applyFill="1" applyBorder="1"/>
    <xf numFmtId="0" fontId="7" fillId="0" borderId="0" xfId="0" applyFont="1"/>
    <xf numFmtId="0" fontId="10" fillId="0" borderId="0" xfId="0" applyFont="1" applyAlignment="1">
      <alignment vertical="top"/>
    </xf>
    <xf numFmtId="0" fontId="7" fillId="9" borderId="0" xfId="0" applyFont="1" applyFill="1"/>
    <xf numFmtId="0" fontId="7" fillId="9" borderId="0" xfId="0" applyFont="1" applyFill="1" applyAlignment="1">
      <alignment vertical="top"/>
    </xf>
    <xf numFmtId="0" fontId="7" fillId="9" borderId="0" xfId="0" applyFont="1" applyFill="1" applyAlignment="1">
      <alignment horizontal="center" wrapText="1"/>
    </xf>
    <xf numFmtId="0" fontId="6" fillId="9" borderId="0" xfId="0" applyFont="1" applyFill="1" applyAlignment="1">
      <alignment horizontal="left"/>
    </xf>
    <xf numFmtId="164" fontId="7" fillId="9" borderId="0" xfId="0" applyNumberFormat="1" applyFont="1" applyFill="1" applyAlignment="1">
      <alignment horizontal="left"/>
    </xf>
    <xf numFmtId="14" fontId="2" fillId="9" borderId="0" xfId="0" applyNumberFormat="1" applyFont="1" applyFill="1"/>
    <xf numFmtId="0" fontId="13" fillId="9" borderId="0" xfId="0" applyFont="1" applyFill="1"/>
    <xf numFmtId="14" fontId="12" fillId="9" borderId="0" xfId="0" applyNumberFormat="1" applyFont="1" applyFill="1" applyAlignment="1">
      <alignment horizontal="left"/>
    </xf>
    <xf numFmtId="0" fontId="10" fillId="9" borderId="0" xfId="0" applyFont="1" applyFill="1" applyAlignment="1">
      <alignment vertical="top"/>
    </xf>
    <xf numFmtId="0" fontId="8" fillId="9" borderId="0" xfId="0" applyFont="1" applyFill="1" applyAlignment="1">
      <alignment horizontal="left"/>
    </xf>
    <xf numFmtId="1" fontId="2" fillId="9" borderId="0" xfId="0" applyNumberFormat="1" applyFont="1" applyFill="1" applyAlignment="1">
      <alignment horizontal="center"/>
    </xf>
    <xf numFmtId="164" fontId="7" fillId="9" borderId="4" xfId="0" applyNumberFormat="1" applyFont="1" applyFill="1" applyBorder="1" applyAlignment="1">
      <alignment horizontal="left" indent="1"/>
    </xf>
    <xf numFmtId="0" fontId="6" fillId="9" borderId="2" xfId="0" applyFont="1" applyFill="1" applyBorder="1" applyAlignment="1">
      <alignment horizontal="left" indent="1"/>
    </xf>
    <xf numFmtId="0" fontId="11" fillId="16" borderId="0" xfId="0" applyFont="1" applyFill="1" applyAlignment="1">
      <alignment horizontal="center"/>
    </xf>
    <xf numFmtId="0" fontId="11" fillId="16" borderId="0" xfId="0" applyFont="1" applyFill="1" applyAlignment="1">
      <alignment horizontal="center" wrapText="1"/>
    </xf>
    <xf numFmtId="14" fontId="0" fillId="0" borderId="0" xfId="0" applyNumberFormat="1" applyAlignment="1">
      <alignment horizontal="right"/>
    </xf>
    <xf numFmtId="1" fontId="0" fillId="2" borderId="1" xfId="1" applyNumberFormat="1" applyFont="1" applyFill="1" applyBorder="1"/>
    <xf numFmtId="0" fontId="14" fillId="9" borderId="0" xfId="0" applyFont="1" applyFill="1" applyAlignment="1">
      <alignment horizontal="center" vertical="top" wrapText="1"/>
    </xf>
    <xf numFmtId="179" fontId="0" fillId="0" borderId="0" xfId="1" applyNumberFormat="1" applyFont="1"/>
    <xf numFmtId="49" fontId="0" fillId="0" borderId="0" xfId="0" applyNumberFormat="1"/>
    <xf numFmtId="180" fontId="0" fillId="0" borderId="0" xfId="0" applyNumberFormat="1"/>
    <xf numFmtId="181" fontId="0" fillId="0" borderId="0" xfId="0" applyNumberFormat="1"/>
    <xf numFmtId="41" fontId="0" fillId="0" borderId="20" xfId="0" applyNumberFormat="1" applyBorder="1"/>
    <xf numFmtId="44" fontId="11" fillId="9" borderId="0" xfId="2" applyFont="1" applyFill="1" applyBorder="1" applyAlignment="1">
      <alignment horizontal="left" vertical="top" wrapText="1"/>
    </xf>
    <xf numFmtId="164" fontId="11" fillId="9" borderId="0" xfId="2" applyNumberFormat="1" applyFont="1" applyFill="1" applyBorder="1" applyAlignment="1">
      <alignment horizontal="right" vertical="top" wrapText="1"/>
    </xf>
    <xf numFmtId="0" fontId="20" fillId="9" borderId="0" xfId="0" applyFont="1" applyFill="1" applyAlignment="1">
      <alignment horizontal="center"/>
    </xf>
    <xf numFmtId="0" fontId="0" fillId="9" borderId="0" xfId="0" applyFill="1"/>
    <xf numFmtId="0" fontId="18" fillId="16" borderId="0" xfId="0" applyFont="1" applyFill="1" applyAlignment="1">
      <alignment horizontal="left" vertical="top" wrapText="1" indent="1"/>
    </xf>
    <xf numFmtId="0" fontId="17" fillId="16" borderId="0" xfId="0" applyFont="1" applyFill="1" applyAlignment="1">
      <alignment horizontal="left" wrapText="1" indent="1"/>
    </xf>
    <xf numFmtId="0" fontId="17" fillId="16" borderId="0" xfId="0" applyFont="1" applyFill="1" applyAlignment="1">
      <alignment horizontal="left" vertical="top" wrapText="1" indent="1"/>
    </xf>
    <xf numFmtId="165" fontId="16" fillId="16" borderId="0" xfId="2" applyNumberFormat="1" applyFont="1" applyFill="1" applyBorder="1" applyAlignment="1">
      <alignment horizontal="left" vertical="top" wrapText="1" indent="1"/>
    </xf>
    <xf numFmtId="164" fontId="16" fillId="16" borderId="0" xfId="2" applyNumberFormat="1" applyFont="1" applyFill="1" applyBorder="1" applyAlignment="1">
      <alignment horizontal="left" vertical="top" wrapText="1" indent="1"/>
    </xf>
    <xf numFmtId="165" fontId="16" fillId="16" borderId="0" xfId="0" applyNumberFormat="1" applyFont="1" applyFill="1" applyAlignment="1">
      <alignment horizontal="left" vertical="top" wrapText="1" indent="1"/>
    </xf>
    <xf numFmtId="14" fontId="16" fillId="16" borderId="0" xfId="0" applyNumberFormat="1" applyFont="1" applyFill="1" applyAlignment="1">
      <alignment horizontal="left" vertical="top" wrapText="1" indent="1"/>
    </xf>
    <xf numFmtId="0" fontId="17" fillId="16" borderId="0" xfId="0" applyFont="1" applyFill="1" applyAlignment="1">
      <alignment horizontal="left" indent="1"/>
    </xf>
    <xf numFmtId="0" fontId="8" fillId="9" borderId="0" xfId="0" applyFont="1" applyFill="1" applyAlignment="1">
      <alignment horizontal="left" indent="1"/>
    </xf>
    <xf numFmtId="0" fontId="0" fillId="9" borderId="0" xfId="0" applyFill="1" applyAlignment="1">
      <alignment horizontal="left" vertical="top" wrapText="1"/>
    </xf>
    <xf numFmtId="0" fontId="7" fillId="9" borderId="0" xfId="0" applyFont="1" applyFill="1" applyAlignment="1">
      <alignment horizontal="left" wrapText="1" indent="1"/>
    </xf>
    <xf numFmtId="0" fontId="7" fillId="9" borderId="0" xfId="0" applyFont="1" applyFill="1" applyAlignment="1">
      <alignment horizontal="left" vertical="top" indent="1"/>
    </xf>
    <xf numFmtId="0" fontId="1" fillId="0" borderId="10" xfId="0" applyFont="1" applyBorder="1"/>
    <xf numFmtId="44" fontId="1" fillId="0" borderId="10" xfId="0" applyNumberFormat="1" applyFont="1" applyBorder="1"/>
    <xf numFmtId="44" fontId="0" fillId="2" borderId="1" xfId="2" applyFont="1" applyFill="1" applyBorder="1"/>
    <xf numFmtId="14" fontId="0" fillId="2" borderId="1" xfId="1" applyNumberFormat="1" applyFont="1" applyFill="1" applyBorder="1"/>
    <xf numFmtId="41" fontId="0" fillId="6" borderId="1" xfId="0" applyNumberFormat="1" applyFill="1" applyBorder="1"/>
    <xf numFmtId="0" fontId="14" fillId="9" borderId="0" xfId="0" applyFont="1" applyFill="1" applyAlignment="1">
      <alignment horizontal="center" wrapText="1"/>
    </xf>
    <xf numFmtId="0" fontId="19" fillId="9" borderId="0" xfId="0" applyFont="1" applyFill="1" applyAlignment="1">
      <alignment horizontal="center" vertical="top"/>
    </xf>
    <xf numFmtId="14" fontId="0" fillId="2" borderId="1" xfId="0" applyNumberFormat="1" applyFill="1" applyBorder="1" applyAlignment="1">
      <alignment horizontal="right"/>
    </xf>
    <xf numFmtId="182" fontId="0" fillId="2" borderId="1" xfId="3" applyNumberFormat="1" applyFont="1" applyFill="1" applyBorder="1"/>
    <xf numFmtId="165" fontId="2" fillId="9" borderId="0" xfId="2" applyNumberFormat="1" applyFont="1" applyFill="1" applyBorder="1" applyAlignment="1">
      <alignment horizontal="right" indent="1"/>
    </xf>
    <xf numFmtId="165" fontId="2" fillId="9" borderId="0" xfId="2" applyNumberFormat="1" applyFont="1" applyFill="1" applyBorder="1" applyAlignment="1">
      <alignment horizontal="center"/>
    </xf>
    <xf numFmtId="44" fontId="21" fillId="16" borderId="0" xfId="2" applyFont="1" applyFill="1" applyBorder="1" applyAlignment="1">
      <alignment horizontal="left" vertical="top" wrapText="1"/>
    </xf>
    <xf numFmtId="165" fontId="21" fillId="16" borderId="0" xfId="2" applyNumberFormat="1" applyFont="1" applyFill="1" applyBorder="1" applyAlignment="1">
      <alignment horizontal="center" wrapText="1"/>
    </xf>
    <xf numFmtId="0" fontId="16" fillId="16" borderId="0" xfId="0" applyFont="1" applyFill="1" applyAlignment="1">
      <alignment horizontal="left" vertical="top" wrapText="1" indent="1"/>
    </xf>
    <xf numFmtId="0" fontId="17" fillId="16" borderId="0" xfId="0" applyFont="1" applyFill="1" applyAlignment="1">
      <alignment vertical="top" wrapText="1"/>
    </xf>
    <xf numFmtId="0" fontId="16" fillId="16" borderId="0" xfId="0" applyFont="1" applyFill="1" applyAlignment="1">
      <alignment vertical="top" wrapText="1"/>
    </xf>
    <xf numFmtId="0" fontId="16" fillId="16" borderId="0" xfId="0" applyFont="1" applyFill="1" applyAlignment="1">
      <alignment horizontal="left" vertical="top" indent="1"/>
    </xf>
    <xf numFmtId="0" fontId="8" fillId="9" borderId="0" xfId="0" applyFont="1" applyFill="1" applyAlignment="1">
      <alignment horizontal="center" vertical="top"/>
    </xf>
    <xf numFmtId="0" fontId="22" fillId="9" borderId="0" xfId="4" applyFill="1" applyBorder="1" applyAlignment="1">
      <alignment horizontal="left" indent="1"/>
    </xf>
    <xf numFmtId="0" fontId="0" fillId="2" borderId="1" xfId="1" applyNumberFormat="1" applyFont="1" applyFill="1" applyBorder="1"/>
    <xf numFmtId="49" fontId="19" fillId="9" borderId="0" xfId="0" applyNumberFormat="1" applyFont="1" applyFill="1" applyAlignment="1">
      <alignment horizontal="left" vertical="top"/>
    </xf>
    <xf numFmtId="0" fontId="6" fillId="9" borderId="16" xfId="0" applyFont="1" applyFill="1" applyBorder="1"/>
    <xf numFmtId="0" fontId="6" fillId="9" borderId="0" xfId="0" applyFont="1" applyFill="1"/>
    <xf numFmtId="0" fontId="7" fillId="9" borderId="0" xfId="0" applyFont="1" applyFill="1" applyAlignment="1">
      <alignment horizontal="left"/>
    </xf>
    <xf numFmtId="0" fontId="23" fillId="0" borderId="0" xfId="0" applyFont="1" applyAlignment="1">
      <alignment horizontal="left" indent="1"/>
    </xf>
    <xf numFmtId="0" fontId="11" fillId="9" borderId="0" xfId="0" applyFont="1" applyFill="1" applyAlignment="1">
      <alignment horizontal="left" indent="1"/>
    </xf>
    <xf numFmtId="164" fontId="24" fillId="9" borderId="0" xfId="0" applyNumberFormat="1" applyFont="1" applyFill="1" applyAlignment="1">
      <alignment horizontal="left" indent="1"/>
    </xf>
    <xf numFmtId="0" fontId="25" fillId="9" borderId="0" xfId="0" applyFont="1" applyFill="1" applyAlignment="1">
      <alignment horizontal="left" indent="1"/>
    </xf>
    <xf numFmtId="0" fontId="18" fillId="17" borderId="0" xfId="0" applyFont="1" applyFill="1" applyAlignment="1">
      <alignment horizontal="left" vertical="top" wrapText="1" indent="1"/>
    </xf>
    <xf numFmtId="0" fontId="17" fillId="17" borderId="0" xfId="0" applyFont="1" applyFill="1" applyAlignment="1">
      <alignment horizontal="left" wrapText="1" indent="1"/>
    </xf>
    <xf numFmtId="0" fontId="17" fillId="17" borderId="0" xfId="0" applyFont="1" applyFill="1" applyAlignment="1">
      <alignment horizontal="left" vertical="top" wrapText="1" indent="1"/>
    </xf>
    <xf numFmtId="0" fontId="16" fillId="17" borderId="0" xfId="0" applyFont="1" applyFill="1" applyAlignment="1">
      <alignment horizontal="left" vertical="top" wrapText="1" indent="1"/>
    </xf>
    <xf numFmtId="165" fontId="16" fillId="17" borderId="0" xfId="2" applyNumberFormat="1" applyFont="1" applyFill="1" applyBorder="1" applyAlignment="1">
      <alignment horizontal="left" vertical="top" wrapText="1" indent="1"/>
    </xf>
    <xf numFmtId="164" fontId="16" fillId="17" borderId="0" xfId="2" applyNumberFormat="1" applyFont="1" applyFill="1" applyBorder="1" applyAlignment="1">
      <alignment horizontal="left" vertical="top" wrapText="1" indent="1"/>
    </xf>
    <xf numFmtId="165" fontId="16" fillId="17" borderId="0" xfId="0" applyNumberFormat="1" applyFont="1" applyFill="1" applyAlignment="1">
      <alignment horizontal="left" vertical="top" wrapText="1" indent="1"/>
    </xf>
    <xf numFmtId="14" fontId="16" fillId="17" borderId="0" xfId="0" applyNumberFormat="1" applyFont="1" applyFill="1" applyAlignment="1">
      <alignment horizontal="left" vertical="top" wrapText="1" indent="1"/>
    </xf>
    <xf numFmtId="0" fontId="17" fillId="17" borderId="0" xfId="0" applyFont="1" applyFill="1" applyAlignment="1">
      <alignment horizontal="left" indent="1"/>
    </xf>
    <xf numFmtId="0" fontId="17" fillId="17" borderId="0" xfId="0" applyFont="1" applyFill="1" applyAlignment="1">
      <alignment vertical="top" wrapText="1"/>
    </xf>
    <xf numFmtId="0" fontId="16" fillId="17" borderId="0" xfId="0" applyFont="1" applyFill="1" applyAlignment="1">
      <alignment vertical="top" wrapText="1"/>
    </xf>
    <xf numFmtId="0" fontId="16" fillId="17" borderId="0" xfId="0" applyFont="1" applyFill="1" applyAlignment="1">
      <alignment horizontal="left" vertical="top" indent="1"/>
    </xf>
    <xf numFmtId="0" fontId="11" fillId="17" borderId="0" xfId="0" applyFont="1" applyFill="1" applyAlignment="1">
      <alignment horizontal="center"/>
    </xf>
    <xf numFmtId="0" fontId="11" fillId="17" borderId="0" xfId="0" applyFont="1" applyFill="1" applyAlignment="1">
      <alignment horizontal="center" wrapText="1"/>
    </xf>
    <xf numFmtId="44" fontId="21" fillId="17" borderId="0" xfId="2" applyFont="1" applyFill="1" applyBorder="1" applyAlignment="1">
      <alignment horizontal="left" vertical="top" wrapText="1"/>
    </xf>
    <xf numFmtId="165" fontId="21" fillId="17" borderId="0" xfId="2" applyNumberFormat="1" applyFont="1" applyFill="1" applyBorder="1" applyAlignment="1">
      <alignment horizontal="center" wrapText="1"/>
    </xf>
    <xf numFmtId="0" fontId="27" fillId="9" borderId="0" xfId="0" applyFont="1" applyFill="1" applyAlignment="1">
      <alignment horizontal="center"/>
    </xf>
    <xf numFmtId="164" fontId="9" fillId="9" borderId="1" xfId="0" applyNumberFormat="1" applyFont="1" applyFill="1" applyBorder="1" applyAlignment="1">
      <alignment horizontal="center"/>
    </xf>
    <xf numFmtId="0" fontId="28" fillId="0" borderId="0" xfId="0" applyFont="1"/>
    <xf numFmtId="183" fontId="0" fillId="0" borderId="0" xfId="0" applyNumberFormat="1"/>
    <xf numFmtId="184" fontId="0" fillId="0" borderId="1" xfId="1" applyNumberFormat="1" applyFont="1" applyBorder="1"/>
    <xf numFmtId="185" fontId="0" fillId="2" borderId="1" xfId="2" applyNumberFormat="1" applyFont="1" applyFill="1" applyBorder="1"/>
    <xf numFmtId="185" fontId="0" fillId="0" borderId="0" xfId="0" applyNumberFormat="1"/>
    <xf numFmtId="44" fontId="0" fillId="6" borderId="1" xfId="2" applyFont="1" applyFill="1" applyBorder="1"/>
    <xf numFmtId="41" fontId="0" fillId="0" borderId="4" xfId="0" quotePrefix="1" applyNumberFormat="1" applyBorder="1"/>
    <xf numFmtId="41" fontId="0" fillId="0" borderId="0" xfId="0" quotePrefix="1" applyNumberFormat="1"/>
    <xf numFmtId="0" fontId="30" fillId="0" borderId="0" xfId="0" quotePrefix="1" applyFont="1" applyAlignment="1">
      <alignment vertical="center"/>
    </xf>
    <xf numFmtId="41" fontId="31" fillId="0" borderId="0" xfId="0" quotePrefix="1" applyNumberFormat="1" applyFont="1"/>
    <xf numFmtId="14" fontId="19" fillId="9" borderId="0" xfId="0" applyNumberFormat="1" applyFont="1" applyFill="1" applyAlignment="1">
      <alignment horizontal="center" vertical="top"/>
    </xf>
    <xf numFmtId="164" fontId="34" fillId="9" borderId="1" xfId="0" applyNumberFormat="1" applyFont="1" applyFill="1" applyBorder="1" applyAlignment="1">
      <alignment horizontal="left" indent="1"/>
    </xf>
    <xf numFmtId="0" fontId="35" fillId="9" borderId="1" xfId="0" applyFont="1" applyFill="1" applyBorder="1" applyAlignment="1">
      <alignment horizontal="left" indent="1"/>
    </xf>
    <xf numFmtId="164" fontId="7" fillId="9" borderId="1" xfId="0" applyNumberFormat="1" applyFont="1" applyFill="1" applyBorder="1" applyAlignment="1">
      <alignment horizontal="left" indent="1"/>
    </xf>
    <xf numFmtId="0" fontId="6" fillId="9" borderId="0" xfId="0" applyFont="1" applyFill="1" applyAlignment="1">
      <alignment horizontal="left" indent="1"/>
    </xf>
    <xf numFmtId="164" fontId="7" fillId="9" borderId="0" xfId="0" applyNumberFormat="1" applyFont="1" applyFill="1" applyAlignment="1">
      <alignment horizontal="left" indent="1"/>
    </xf>
    <xf numFmtId="44" fontId="0" fillId="0" borderId="0" xfId="2" applyFont="1"/>
    <xf numFmtId="9" fontId="0" fillId="0" borderId="0" xfId="1" applyFont="1"/>
    <xf numFmtId="0" fontId="36" fillId="9" borderId="0" xfId="0" applyFont="1" applyFill="1" applyAlignment="1">
      <alignment horizontal="center" wrapText="1"/>
    </xf>
    <xf numFmtId="0" fontId="29" fillId="9" borderId="0" xfId="0" applyFont="1" applyFill="1" applyAlignment="1">
      <alignment vertical="center"/>
    </xf>
    <xf numFmtId="165" fontId="7" fillId="9" borderId="0" xfId="0" applyNumberFormat="1" applyFont="1" applyFill="1"/>
    <xf numFmtId="14" fontId="7" fillId="9" borderId="0" xfId="0" applyNumberFormat="1" applyFont="1" applyFill="1"/>
    <xf numFmtId="164" fontId="7" fillId="9" borderId="0" xfId="0" applyNumberFormat="1" applyFont="1" applyFill="1"/>
    <xf numFmtId="1" fontId="7" fillId="9" borderId="0" xfId="0" applyNumberFormat="1" applyFont="1" applyFill="1"/>
    <xf numFmtId="0" fontId="37" fillId="9" borderId="0" xfId="0" applyFont="1" applyFill="1" applyAlignment="1">
      <alignment horizontal="center"/>
    </xf>
    <xf numFmtId="186" fontId="0" fillId="7" borderId="1" xfId="0" applyNumberFormat="1" applyFill="1" applyBorder="1"/>
    <xf numFmtId="186" fontId="0" fillId="7" borderId="0" xfId="0" applyNumberFormat="1" applyFill="1"/>
    <xf numFmtId="0" fontId="37" fillId="9" borderId="0" xfId="0" applyFont="1" applyFill="1" applyAlignment="1">
      <alignment horizontal="center" wrapText="1"/>
    </xf>
    <xf numFmtId="0" fontId="7" fillId="9" borderId="21" xfId="0" applyFont="1" applyFill="1" applyBorder="1" applyAlignment="1">
      <alignment horizontal="left"/>
    </xf>
    <xf numFmtId="0" fontId="7" fillId="9" borderId="14" xfId="0" applyFont="1" applyFill="1" applyBorder="1" applyAlignment="1">
      <alignment horizontal="left"/>
    </xf>
    <xf numFmtId="0" fontId="14" fillId="9" borderId="0" xfId="0" applyFont="1" applyFill="1" applyAlignment="1">
      <alignment horizontal="center" wrapText="1"/>
    </xf>
    <xf numFmtId="0" fontId="9" fillId="9" borderId="0" xfId="0" applyFont="1" applyFill="1" applyAlignment="1">
      <alignment horizontal="center"/>
    </xf>
    <xf numFmtId="0" fontId="17" fillId="16" borderId="0" xfId="0" applyFont="1" applyFill="1" applyAlignment="1">
      <alignment horizontal="left" wrapText="1" indent="1"/>
    </xf>
    <xf numFmtId="0" fontId="16" fillId="16" borderId="0" xfId="0" applyFont="1" applyFill="1" applyAlignment="1">
      <alignment horizontal="right" vertical="top" wrapText="1"/>
    </xf>
    <xf numFmtId="0" fontId="6" fillId="9" borderId="5" xfId="0" applyFont="1" applyFill="1" applyBorder="1" applyAlignment="1">
      <alignment horizontal="left"/>
    </xf>
    <xf numFmtId="0" fontId="6" fillId="9" borderId="6" xfId="0" applyFont="1" applyFill="1" applyBorder="1" applyAlignment="1">
      <alignment horizontal="left"/>
    </xf>
    <xf numFmtId="164" fontId="7" fillId="9" borderId="9" xfId="0" applyNumberFormat="1" applyFont="1" applyFill="1" applyBorder="1" applyAlignment="1">
      <alignment horizontal="center"/>
    </xf>
    <xf numFmtId="164" fontId="7" fillId="9" borderId="11" xfId="0" applyNumberFormat="1" applyFont="1" applyFill="1" applyBorder="1" applyAlignment="1">
      <alignment horizontal="center"/>
    </xf>
    <xf numFmtId="0" fontId="32" fillId="9" borderId="0" xfId="0" applyFont="1" applyFill="1" applyAlignment="1">
      <alignment horizontal="left"/>
    </xf>
    <xf numFmtId="0" fontId="33" fillId="9" borderId="0" xfId="0" applyFont="1" applyFill="1" applyAlignment="1">
      <alignment horizontal="left"/>
    </xf>
    <xf numFmtId="0" fontId="17" fillId="17" borderId="0" xfId="0" applyFont="1" applyFill="1" applyAlignment="1">
      <alignment horizontal="left" wrapText="1" indent="1"/>
    </xf>
    <xf numFmtId="0" fontId="16" fillId="17" borderId="0" xfId="0" applyFont="1" applyFill="1" applyAlignment="1">
      <alignment horizontal="right" vertical="top" wrapText="1"/>
    </xf>
    <xf numFmtId="164" fontId="26" fillId="9" borderId="2" xfId="0" applyNumberFormat="1" applyFont="1" applyFill="1" applyBorder="1" applyAlignment="1">
      <alignment horizontal="center"/>
    </xf>
    <xf numFmtId="164" fontId="26" fillId="9" borderId="4" xfId="0" applyNumberFormat="1" applyFont="1" applyFill="1" applyBorder="1" applyAlignment="1">
      <alignment horizontal="center"/>
    </xf>
  </cellXfs>
  <cellStyles count="5">
    <cellStyle name="Comma" xfId="3" builtinId="3"/>
    <cellStyle name="Currency" xfId="2" builtinId="4"/>
    <cellStyle name="Hyperlink" xfId="4" builtinId="8"/>
    <cellStyle name="Normal" xfId="0" builtinId="0"/>
    <cellStyle name="Percent" xfId="1" builtinId="5"/>
  </cellStyles>
  <dxfs count="40">
    <dxf>
      <font>
        <strike val="0"/>
        <color theme="0"/>
      </font>
      <fill>
        <patternFill patternType="solid">
          <bgColor theme="0"/>
        </patternFill>
      </fill>
      <border>
        <left/>
        <right/>
        <top/>
        <bottom/>
        <vertical/>
        <horizontal/>
      </border>
    </dxf>
    <dxf>
      <numFmt numFmtId="1" formatCode="0"/>
    </dxf>
    <dxf>
      <font>
        <strike val="0"/>
        <color theme="0"/>
      </font>
      <fill>
        <patternFill patternType="solid">
          <bgColor theme="0"/>
        </patternFill>
      </fill>
      <border>
        <left/>
        <right/>
        <top/>
        <bottom/>
        <vertical/>
        <horizontal/>
      </border>
    </dxf>
    <dxf>
      <numFmt numFmtId="1" formatCode="0"/>
    </dxf>
    <dxf>
      <numFmt numFmtId="1" formatCode="0"/>
    </dxf>
    <dxf>
      <numFmt numFmtId="1" formatCode="0"/>
    </dxf>
    <dxf>
      <numFmt numFmtId="165" formatCode="&quot;$&quot;#,##0"/>
    </dxf>
    <dxf>
      <numFmt numFmtId="165" formatCode="&quot;$&quot;#,##0"/>
    </dxf>
    <dxf>
      <numFmt numFmtId="165" formatCode="&quot;$&quot;#,##0"/>
    </dxf>
    <dxf>
      <numFmt numFmtId="187" formatCode="m/d/yy"/>
    </dxf>
    <dxf>
      <font>
        <strike val="0"/>
        <outline val="0"/>
        <shadow val="0"/>
        <u val="none"/>
        <vertAlign val="baseline"/>
        <sz val="9"/>
        <color theme="1"/>
        <name val="Calibri"/>
        <family val="2"/>
        <scheme val="minor"/>
      </font>
      <numFmt numFmtId="165" formatCode="&quot;$&quot;#,##0"/>
      <fill>
        <patternFill patternType="none">
          <fgColor indexed="64"/>
          <bgColor theme="0"/>
        </patternFill>
      </fill>
      <alignment horizontal="center" vertical="bottom" textRotation="0" indent="0" justifyLastLine="0" shrinkToFit="0" readingOrder="0"/>
    </dxf>
    <dxf>
      <font>
        <strike val="0"/>
        <outline val="0"/>
        <shadow val="0"/>
        <u val="none"/>
        <vertAlign val="baseline"/>
        <sz val="9"/>
        <color theme="1"/>
        <name val="Calibri"/>
        <family val="2"/>
        <scheme val="minor"/>
      </font>
      <numFmt numFmtId="165" formatCode="&quot;$&quot;#,##0"/>
      <fill>
        <patternFill patternType="none">
          <fgColor indexed="64"/>
          <bgColor theme="0"/>
        </patternFill>
      </fill>
      <alignment horizontal="center" vertical="bottom" textRotation="0" indent="0" justifyLastLine="0" shrinkToFit="0" readingOrder="0"/>
    </dxf>
    <dxf>
      <font>
        <strike val="0"/>
        <outline val="0"/>
        <shadow val="0"/>
        <u val="none"/>
        <vertAlign val="baseline"/>
        <sz val="9"/>
        <color theme="1"/>
        <name val="Calibri"/>
        <family val="2"/>
        <scheme val="minor"/>
      </font>
      <numFmt numFmtId="165" formatCode="&quot;$&quot;#,##0"/>
      <fill>
        <patternFill patternType="none">
          <fgColor indexed="64"/>
          <bgColor theme="0"/>
        </patternFill>
      </fill>
      <alignment horizontal="center" vertical="bottom" textRotation="0" indent="0" justifyLastLine="0" shrinkToFit="0" readingOrder="0"/>
    </dxf>
    <dxf>
      <font>
        <strike val="0"/>
        <outline val="0"/>
        <shadow val="0"/>
        <u val="none"/>
        <vertAlign val="baseline"/>
        <sz val="9"/>
        <color theme="1"/>
        <name val="Calibri"/>
        <family val="2"/>
        <scheme val="minor"/>
      </font>
      <numFmt numFmtId="19" formatCode="m/d/yyyy"/>
      <fill>
        <patternFill patternType="none">
          <fgColor indexed="64"/>
          <bgColor theme="0"/>
        </patternFill>
      </fill>
    </dxf>
    <dxf>
      <font>
        <strike val="0"/>
        <outline val="0"/>
        <shadow val="0"/>
        <u val="none"/>
        <vertAlign val="baseline"/>
        <sz val="9"/>
        <color rgb="FF000000"/>
        <name val="Calibri"/>
        <family val="2"/>
        <scheme val="none"/>
      </font>
      <fill>
        <patternFill patternType="none">
          <fgColor rgb="FF000000"/>
          <bgColor rgb="FFFFFFFF"/>
        </patternFill>
      </fill>
    </dxf>
    <dxf>
      <border>
        <bottom style="thin">
          <color rgb="FF000000"/>
        </bottom>
      </border>
    </dxf>
    <dxf>
      <font>
        <b/>
        <i val="0"/>
        <strike val="0"/>
        <condense val="0"/>
        <extend val="0"/>
        <outline val="0"/>
        <shadow val="0"/>
        <u val="none"/>
        <vertAlign val="baseline"/>
        <sz val="10"/>
        <color theme="0"/>
        <name val="Open Sans"/>
        <family val="2"/>
        <scheme val="none"/>
      </font>
      <fill>
        <patternFill patternType="solid">
          <fgColor indexed="64"/>
          <bgColor theme="1" tint="0.34998626667073579"/>
        </patternFill>
      </fill>
      <alignment horizontal="center" vertical="bottom" textRotation="0" wrapText="1" indent="0" justifyLastLine="0" shrinkToFit="0" readingOrder="0"/>
    </dxf>
    <dxf>
      <font>
        <strike val="0"/>
        <outline val="0"/>
        <shadow val="0"/>
        <u val="none"/>
        <vertAlign val="baseline"/>
        <sz val="9"/>
        <color theme="1"/>
        <name val="Calibri"/>
        <family val="2"/>
        <scheme val="minor"/>
      </font>
      <numFmt numFmtId="165" formatCode="&quot;$&quot;#,##0"/>
      <fill>
        <patternFill patternType="none">
          <fgColor indexed="64"/>
          <bgColor theme="0"/>
        </patternFill>
      </fill>
      <alignment horizontal="center" vertical="bottom" textRotation="0" indent="0" justifyLastLine="0" shrinkToFit="0" readingOrder="0"/>
    </dxf>
    <dxf>
      <font>
        <strike val="0"/>
        <outline val="0"/>
        <shadow val="0"/>
        <u val="none"/>
        <vertAlign val="baseline"/>
        <sz val="9"/>
        <color theme="1"/>
        <name val="Calibri"/>
        <family val="2"/>
        <scheme val="minor"/>
      </font>
      <numFmt numFmtId="165" formatCode="&quot;$&quot;#,##0"/>
      <fill>
        <patternFill patternType="none">
          <fgColor indexed="64"/>
          <bgColor theme="0"/>
        </patternFill>
      </fill>
      <alignment horizontal="center" vertical="bottom" textRotation="0" indent="0" justifyLastLine="0" shrinkToFit="0" readingOrder="0"/>
    </dxf>
    <dxf>
      <font>
        <strike val="0"/>
        <outline val="0"/>
        <shadow val="0"/>
        <u val="none"/>
        <vertAlign val="baseline"/>
        <sz val="9"/>
        <color theme="1"/>
        <name val="Calibri"/>
        <family val="2"/>
        <scheme val="minor"/>
      </font>
      <numFmt numFmtId="165" formatCode="&quot;$&quot;#,##0"/>
      <fill>
        <patternFill patternType="none">
          <fgColor indexed="64"/>
          <bgColor theme="0"/>
        </patternFill>
      </fill>
      <alignment horizontal="center" vertical="bottom" textRotation="0" indent="0" justifyLastLine="0" shrinkToFit="0" readingOrder="0"/>
    </dxf>
    <dxf>
      <font>
        <strike val="0"/>
        <outline val="0"/>
        <shadow val="0"/>
        <u val="none"/>
        <vertAlign val="baseline"/>
        <sz val="9"/>
        <color theme="1"/>
        <name val="Calibri"/>
        <family val="2"/>
        <scheme val="minor"/>
      </font>
      <numFmt numFmtId="19" formatCode="m/d/yyyy"/>
      <fill>
        <patternFill patternType="none">
          <fgColor indexed="64"/>
          <bgColor theme="0"/>
        </patternFill>
      </fill>
    </dxf>
    <dxf>
      <font>
        <strike val="0"/>
        <outline val="0"/>
        <shadow val="0"/>
        <u val="none"/>
        <vertAlign val="baseline"/>
        <sz val="9"/>
        <color rgb="FF000000"/>
        <name val="Calibri"/>
        <family val="2"/>
        <scheme val="none"/>
      </font>
      <fill>
        <patternFill patternType="none">
          <fgColor rgb="FF000000"/>
          <bgColor rgb="FFFFFFFF"/>
        </patternFill>
      </fill>
    </dxf>
    <dxf>
      <border>
        <bottom style="thin">
          <color rgb="FF000000"/>
        </bottom>
      </border>
    </dxf>
    <dxf>
      <font>
        <b/>
        <i val="0"/>
        <strike val="0"/>
        <condense val="0"/>
        <extend val="0"/>
        <outline val="0"/>
        <shadow val="0"/>
        <u val="none"/>
        <vertAlign val="baseline"/>
        <sz val="10"/>
        <color theme="0"/>
        <name val="Open Sans"/>
        <family val="2"/>
        <scheme val="none"/>
      </font>
      <fill>
        <patternFill patternType="solid">
          <fgColor indexed="64"/>
          <bgColor theme="1" tint="0.34998626667073579"/>
        </patternFill>
      </fill>
      <alignment horizontal="center" vertical="bottom" textRotation="0" wrapText="1" indent="0" justifyLastLine="0" shrinkToFit="0" readingOrder="0"/>
    </dxf>
    <dxf>
      <font>
        <strike val="0"/>
        <outline val="0"/>
        <shadow val="0"/>
        <u val="none"/>
        <vertAlign val="baseline"/>
        <sz val="9"/>
        <color theme="1"/>
        <name val="Calibri"/>
        <family val="2"/>
        <scheme val="minor"/>
      </font>
      <numFmt numFmtId="165" formatCode="&quot;$&quot;#,##0"/>
      <fill>
        <patternFill patternType="none">
          <fgColor indexed="64"/>
          <bgColor theme="0"/>
        </patternFill>
      </fill>
      <alignment horizontal="center" vertical="bottom" textRotation="0" indent="0" justifyLastLine="0" shrinkToFit="0" readingOrder="0"/>
    </dxf>
    <dxf>
      <font>
        <strike val="0"/>
        <outline val="0"/>
        <shadow val="0"/>
        <u val="none"/>
        <vertAlign val="baseline"/>
        <sz val="9"/>
        <color theme="1"/>
        <name val="Calibri"/>
        <family val="2"/>
        <scheme val="minor"/>
      </font>
      <numFmt numFmtId="165" formatCode="&quot;$&quot;#,##0"/>
      <fill>
        <patternFill patternType="none">
          <fgColor indexed="64"/>
          <bgColor theme="0"/>
        </patternFill>
      </fill>
      <alignment horizontal="center" vertical="bottom" textRotation="0" indent="0" justifyLastLine="0" shrinkToFit="0" readingOrder="0"/>
    </dxf>
    <dxf>
      <font>
        <strike val="0"/>
        <outline val="0"/>
        <shadow val="0"/>
        <u val="none"/>
        <vertAlign val="baseline"/>
        <sz val="9"/>
        <color theme="1"/>
        <name val="Calibri"/>
        <family val="2"/>
        <scheme val="minor"/>
      </font>
      <numFmt numFmtId="165" formatCode="&quot;$&quot;#,##0"/>
      <fill>
        <patternFill patternType="none">
          <fgColor indexed="64"/>
          <bgColor theme="0"/>
        </patternFill>
      </fill>
      <alignment horizontal="center" vertical="bottom" textRotation="0" indent="0" justifyLastLine="0" shrinkToFit="0" readingOrder="0"/>
    </dxf>
    <dxf>
      <font>
        <strike val="0"/>
        <outline val="0"/>
        <shadow val="0"/>
        <u val="none"/>
        <vertAlign val="baseline"/>
        <sz val="9"/>
        <color theme="1"/>
        <name val="Calibri"/>
        <family val="2"/>
        <scheme val="minor"/>
      </font>
      <numFmt numFmtId="19" formatCode="m/d/yyyy"/>
      <fill>
        <patternFill patternType="none">
          <fgColor indexed="64"/>
          <bgColor theme="0"/>
        </patternFill>
      </fill>
    </dxf>
    <dxf>
      <font>
        <strike val="0"/>
        <outline val="0"/>
        <shadow val="0"/>
        <u val="none"/>
        <vertAlign val="baseline"/>
        <sz val="9"/>
        <color rgb="FF000000"/>
        <name val="Calibri"/>
        <family val="2"/>
        <scheme val="none"/>
      </font>
      <fill>
        <patternFill patternType="none">
          <fgColor rgb="FF000000"/>
          <bgColor rgb="FFFFFFFF"/>
        </patternFill>
      </fill>
    </dxf>
    <dxf>
      <border>
        <bottom style="thin">
          <color rgb="FF000000"/>
        </bottom>
      </border>
    </dxf>
    <dxf>
      <font>
        <b/>
        <i val="0"/>
        <strike val="0"/>
        <condense val="0"/>
        <extend val="0"/>
        <outline val="0"/>
        <shadow val="0"/>
        <u val="none"/>
        <vertAlign val="baseline"/>
        <sz val="10"/>
        <color theme="0"/>
        <name val="Open Sans"/>
        <family val="2"/>
        <scheme val="none"/>
      </font>
      <fill>
        <patternFill patternType="solid">
          <fgColor indexed="64"/>
          <bgColor rgb="FF222840"/>
        </patternFill>
      </fill>
      <alignment horizontal="center" vertical="bottom" textRotation="0" wrapText="1" indent="0" justifyLastLine="0" shrinkToFit="0" readingOrder="0"/>
    </dxf>
    <dxf>
      <font>
        <strike val="0"/>
        <outline val="0"/>
        <shadow val="0"/>
        <u val="none"/>
        <vertAlign val="baseline"/>
        <sz val="9"/>
        <color theme="1"/>
        <name val="Calibri"/>
        <family val="2"/>
        <scheme val="minor"/>
      </font>
      <numFmt numFmtId="165" formatCode="&quot;$&quot;#,##0"/>
      <fill>
        <patternFill patternType="none">
          <fgColor indexed="64"/>
          <bgColor theme="0"/>
        </patternFill>
      </fill>
      <alignment horizontal="center" vertical="bottom" textRotation="0" indent="0" justifyLastLine="0" shrinkToFit="0" readingOrder="0"/>
    </dxf>
    <dxf>
      <font>
        <strike val="0"/>
        <outline val="0"/>
        <shadow val="0"/>
        <u val="none"/>
        <vertAlign val="baseline"/>
        <sz val="9"/>
        <color theme="1"/>
        <name val="Calibri"/>
        <family val="2"/>
        <scheme val="minor"/>
      </font>
      <numFmt numFmtId="165" formatCode="&quot;$&quot;#,##0"/>
      <fill>
        <patternFill patternType="none">
          <fgColor indexed="64"/>
          <bgColor theme="0"/>
        </patternFill>
      </fill>
      <alignment horizontal="center" vertical="bottom" textRotation="0" indent="0" justifyLastLine="0" shrinkToFit="0" readingOrder="0"/>
    </dxf>
    <dxf>
      <font>
        <strike val="0"/>
        <outline val="0"/>
        <shadow val="0"/>
        <u val="none"/>
        <vertAlign val="baseline"/>
        <sz val="9"/>
        <color theme="1"/>
        <name val="Calibri"/>
        <family val="2"/>
        <scheme val="minor"/>
      </font>
      <numFmt numFmtId="165" formatCode="&quot;$&quot;#,##0"/>
      <fill>
        <patternFill patternType="none">
          <fgColor indexed="64"/>
          <bgColor theme="0"/>
        </patternFill>
      </fill>
      <alignment horizontal="center" vertical="bottom" textRotation="0" indent="0" justifyLastLine="0" shrinkToFit="0" readingOrder="0"/>
    </dxf>
    <dxf>
      <font>
        <strike val="0"/>
        <outline val="0"/>
        <shadow val="0"/>
        <u val="none"/>
        <vertAlign val="baseline"/>
        <sz val="9"/>
        <color theme="1"/>
        <name val="Calibri"/>
        <family val="2"/>
        <scheme val="minor"/>
      </font>
      <numFmt numFmtId="19" formatCode="m/d/yyyy"/>
      <fill>
        <patternFill patternType="none">
          <fgColor indexed="64"/>
          <bgColor theme="0"/>
        </patternFill>
      </fill>
    </dxf>
    <dxf>
      <font>
        <strike val="0"/>
        <outline val="0"/>
        <shadow val="0"/>
        <u val="none"/>
        <vertAlign val="baseline"/>
        <sz val="9"/>
        <color theme="1"/>
        <name val="Calibri"/>
        <family val="2"/>
        <scheme val="minor"/>
      </font>
      <fill>
        <patternFill patternType="none">
          <fgColor indexed="64"/>
          <bgColor theme="0"/>
        </patternFill>
      </fill>
    </dxf>
    <dxf>
      <border>
        <bottom style="thin">
          <color indexed="64"/>
        </bottom>
      </border>
    </dxf>
    <dxf>
      <font>
        <b/>
        <i val="0"/>
        <strike val="0"/>
        <condense val="0"/>
        <extend val="0"/>
        <outline val="0"/>
        <shadow val="0"/>
        <u val="none"/>
        <vertAlign val="baseline"/>
        <sz val="10"/>
        <color theme="0"/>
        <name val="Open Sans"/>
        <family val="2"/>
        <scheme val="none"/>
      </font>
      <fill>
        <patternFill patternType="solid">
          <fgColor indexed="64"/>
          <bgColor rgb="FF222840"/>
        </patternFill>
      </fill>
      <alignment horizontal="center" vertical="bottom" textRotation="0" wrapText="1" indent="0" justifyLastLine="0" shrinkToFit="0" readingOrder="0"/>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1" defaultTableStyle="TableStyleMedium2" defaultPivotStyle="PivotStyleLight16">
    <tableStyle name="Table Style 1" pivot="0" count="2" xr9:uid="{B7EBBBA9-1485-4176-8749-18DB744A7585}">
      <tableStyleElement type="firstRowStripe" dxfId="39"/>
      <tableStyleElement type="secondRowStripe" dxfId="38"/>
    </tableStyle>
  </tableStyles>
  <colors>
    <mruColors>
      <color rgb="FF312F37"/>
      <color rgb="FF2E2C3A"/>
      <color rgb="FF282442"/>
      <color rgb="FF000066"/>
      <color rgb="FF000000"/>
      <color rgb="FF2E2E38"/>
      <color rgb="FF3333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548968</xdr:colOff>
      <xdr:row>3</xdr:row>
      <xdr:rowOff>42432</xdr:rowOff>
    </xdr:from>
    <xdr:to>
      <xdr:col>1</xdr:col>
      <xdr:colOff>1885905</xdr:colOff>
      <xdr:row>6</xdr:row>
      <xdr:rowOff>130059</xdr:rowOff>
    </xdr:to>
    <xdr:pic>
      <xdr:nvPicPr>
        <xdr:cNvPr id="6" name="Picture 5">
          <a:extLst>
            <a:ext uri="{FF2B5EF4-FFF2-40B4-BE49-F238E27FC236}">
              <a16:creationId xmlns:a16="http://schemas.microsoft.com/office/drawing/2014/main" id="{D69996DB-715D-4530-958A-950FE0B456F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8968" y="523306"/>
          <a:ext cx="1928782" cy="808937"/>
        </a:xfrm>
        <a:prstGeom prst="rect">
          <a:avLst/>
        </a:prstGeom>
      </xdr:spPr>
    </xdr:pic>
    <xdr:clientData/>
  </xdr:twoCellAnchor>
  <xdr:twoCellAnchor editAs="oneCell">
    <xdr:from>
      <xdr:col>1</xdr:col>
      <xdr:colOff>1390835</xdr:colOff>
      <xdr:row>44</xdr:row>
      <xdr:rowOff>32986</xdr:rowOff>
    </xdr:from>
    <xdr:to>
      <xdr:col>1</xdr:col>
      <xdr:colOff>1790331</xdr:colOff>
      <xdr:row>44</xdr:row>
      <xdr:rowOff>192350</xdr:rowOff>
    </xdr:to>
    <xdr:pic>
      <xdr:nvPicPr>
        <xdr:cNvPr id="5" name="Picture 4">
          <a:extLst>
            <a:ext uri="{FF2B5EF4-FFF2-40B4-BE49-F238E27FC236}">
              <a16:creationId xmlns:a16="http://schemas.microsoft.com/office/drawing/2014/main" id="{446EF184-04B7-7D62-8B2E-96E9D35A3E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97476" y="9975976"/>
          <a:ext cx="399496" cy="1593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251460</xdr:colOff>
      <xdr:row>2</xdr:row>
      <xdr:rowOff>144780</xdr:rowOff>
    </xdr:from>
    <xdr:to>
      <xdr:col>4</xdr:col>
      <xdr:colOff>624737</xdr:colOff>
      <xdr:row>6</xdr:row>
      <xdr:rowOff>137160</xdr:rowOff>
    </xdr:to>
    <xdr:pic>
      <xdr:nvPicPr>
        <xdr:cNvPr id="4" name="Picture 3">
          <a:extLst>
            <a:ext uri="{FF2B5EF4-FFF2-40B4-BE49-F238E27FC236}">
              <a16:creationId xmlns:a16="http://schemas.microsoft.com/office/drawing/2014/main" id="{D663B358-8B3E-E2BD-70BC-8D3B1A815E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1460" y="144780"/>
          <a:ext cx="4053737" cy="937260"/>
        </a:xfrm>
        <a:prstGeom prst="rect">
          <a:avLst/>
        </a:prstGeom>
      </xdr:spPr>
    </xdr:pic>
    <xdr:clientData/>
  </xdr:twoCellAnchor>
  <xdr:twoCellAnchor editAs="oneCell">
    <xdr:from>
      <xdr:col>1</xdr:col>
      <xdr:colOff>1417320</xdr:colOff>
      <xdr:row>44</xdr:row>
      <xdr:rowOff>30480</xdr:rowOff>
    </xdr:from>
    <xdr:to>
      <xdr:col>1</xdr:col>
      <xdr:colOff>1816816</xdr:colOff>
      <xdr:row>44</xdr:row>
      <xdr:rowOff>189844</xdr:rowOff>
    </xdr:to>
    <xdr:pic>
      <xdr:nvPicPr>
        <xdr:cNvPr id="2" name="Picture 1">
          <a:extLst>
            <a:ext uri="{FF2B5EF4-FFF2-40B4-BE49-F238E27FC236}">
              <a16:creationId xmlns:a16="http://schemas.microsoft.com/office/drawing/2014/main" id="{9DB7277A-D800-477E-AEF5-4396C60CCA3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026920" y="9951720"/>
          <a:ext cx="399496" cy="1593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96527</xdr:colOff>
      <xdr:row>10</xdr:row>
      <xdr:rowOff>114987</xdr:rowOff>
    </xdr:from>
    <xdr:to>
      <xdr:col>16</xdr:col>
      <xdr:colOff>367103</xdr:colOff>
      <xdr:row>14</xdr:row>
      <xdr:rowOff>41052</xdr:rowOff>
    </xdr:to>
    <xdr:pic>
      <xdr:nvPicPr>
        <xdr:cNvPr id="4" name="Picture 3">
          <a:extLst>
            <a:ext uri="{FF2B5EF4-FFF2-40B4-BE49-F238E27FC236}">
              <a16:creationId xmlns:a16="http://schemas.microsoft.com/office/drawing/2014/main" id="{10E0612A-8C41-D7F0-7D5C-B4F2BFBFB7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81517" y="1764678"/>
          <a:ext cx="2174744" cy="868745"/>
        </a:xfrm>
        <a:prstGeom prst="rect">
          <a:avLst/>
        </a:prstGeom>
      </xdr:spPr>
    </xdr:pic>
    <xdr:clientData/>
  </xdr:twoCellAnchor>
  <xdr:twoCellAnchor editAs="oneCell">
    <xdr:from>
      <xdr:col>1</xdr:col>
      <xdr:colOff>1998</xdr:colOff>
      <xdr:row>47</xdr:row>
      <xdr:rowOff>108857</xdr:rowOff>
    </xdr:from>
    <xdr:to>
      <xdr:col>2</xdr:col>
      <xdr:colOff>90588</xdr:colOff>
      <xdr:row>51</xdr:row>
      <xdr:rowOff>6495</xdr:rowOff>
    </xdr:to>
    <xdr:pic>
      <xdr:nvPicPr>
        <xdr:cNvPr id="6" name="Picture 5">
          <a:extLst>
            <a:ext uri="{FF2B5EF4-FFF2-40B4-BE49-F238E27FC236}">
              <a16:creationId xmlns:a16="http://schemas.microsoft.com/office/drawing/2014/main" id="{826F8533-B0DF-20D2-65AD-4FE738BB73D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7105" y="10885714"/>
          <a:ext cx="2028131" cy="877352"/>
        </a:xfrm>
        <a:prstGeom prst="rect">
          <a:avLst/>
        </a:prstGeom>
        <a:solidFill>
          <a:schemeClr val="bg1">
            <a:lumMod val="85000"/>
          </a:schemeClr>
        </a:solidFill>
      </xdr:spPr>
    </xdr:pic>
    <xdr:clientData/>
  </xdr:twoCellAnchor>
  <xdr:twoCellAnchor editAs="oneCell">
    <xdr:from>
      <xdr:col>0</xdr:col>
      <xdr:colOff>259773</xdr:colOff>
      <xdr:row>3</xdr:row>
      <xdr:rowOff>48742</xdr:rowOff>
    </xdr:from>
    <xdr:to>
      <xdr:col>2</xdr:col>
      <xdr:colOff>395657</xdr:colOff>
      <xdr:row>8</xdr:row>
      <xdr:rowOff>22636</xdr:rowOff>
    </xdr:to>
    <xdr:pic>
      <xdr:nvPicPr>
        <xdr:cNvPr id="3" name="Picture 2">
          <a:extLst>
            <a:ext uri="{FF2B5EF4-FFF2-40B4-BE49-F238E27FC236}">
              <a16:creationId xmlns:a16="http://schemas.microsoft.com/office/drawing/2014/main" id="{C04C5364-86FA-FF64-1E4D-D2144FDF9A4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9773" y="776106"/>
          <a:ext cx="2671666" cy="1186166"/>
        </a:xfrm>
        <a:prstGeom prst="rect">
          <a:avLst/>
        </a:prstGeom>
      </xdr:spPr>
    </xdr:pic>
    <xdr:clientData/>
  </xdr:twoCellAnchor>
  <xdr:twoCellAnchor editAs="oneCell">
    <xdr:from>
      <xdr:col>1</xdr:col>
      <xdr:colOff>1343320</xdr:colOff>
      <xdr:row>44</xdr:row>
      <xdr:rowOff>25471</xdr:rowOff>
    </xdr:from>
    <xdr:to>
      <xdr:col>1</xdr:col>
      <xdr:colOff>1742816</xdr:colOff>
      <xdr:row>44</xdr:row>
      <xdr:rowOff>184835</xdr:rowOff>
    </xdr:to>
    <xdr:pic>
      <xdr:nvPicPr>
        <xdr:cNvPr id="2" name="Picture 1">
          <a:extLst>
            <a:ext uri="{FF2B5EF4-FFF2-40B4-BE49-F238E27FC236}">
              <a16:creationId xmlns:a16="http://schemas.microsoft.com/office/drawing/2014/main" id="{6AFFB675-956A-483F-84D7-FB2E3B1060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2920" y="9710491"/>
          <a:ext cx="399496" cy="15936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402603</xdr:colOff>
      <xdr:row>3</xdr:row>
      <xdr:rowOff>186572</xdr:rowOff>
    </xdr:from>
    <xdr:to>
      <xdr:col>2</xdr:col>
      <xdr:colOff>519655</xdr:colOff>
      <xdr:row>8</xdr:row>
      <xdr:rowOff>58917</xdr:rowOff>
    </xdr:to>
    <xdr:pic>
      <xdr:nvPicPr>
        <xdr:cNvPr id="6" name="Picture 5">
          <a:extLst>
            <a:ext uri="{FF2B5EF4-FFF2-40B4-BE49-F238E27FC236}">
              <a16:creationId xmlns:a16="http://schemas.microsoft.com/office/drawing/2014/main" id="{B0385B2B-4A12-881F-492F-778D32F4B69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2603" y="893582"/>
          <a:ext cx="2640686" cy="1050696"/>
        </a:xfrm>
        <a:prstGeom prst="rect">
          <a:avLst/>
        </a:prstGeom>
      </xdr:spPr>
    </xdr:pic>
    <xdr:clientData/>
  </xdr:twoCellAnchor>
  <xdr:twoCellAnchor editAs="oneCell">
    <xdr:from>
      <xdr:col>0</xdr:col>
      <xdr:colOff>561714</xdr:colOff>
      <xdr:row>46</xdr:row>
      <xdr:rowOff>138316</xdr:rowOff>
    </xdr:from>
    <xdr:to>
      <xdr:col>2</xdr:col>
      <xdr:colOff>68456</xdr:colOff>
      <xdr:row>50</xdr:row>
      <xdr:rowOff>35954</xdr:rowOff>
    </xdr:to>
    <xdr:pic>
      <xdr:nvPicPr>
        <xdr:cNvPr id="3" name="Picture 2">
          <a:extLst>
            <a:ext uri="{FF2B5EF4-FFF2-40B4-BE49-F238E27FC236}">
              <a16:creationId xmlns:a16="http://schemas.microsoft.com/office/drawing/2014/main" id="{E709EAB4-C34D-4157-A0A2-7F5C8EA17F0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61714" y="10979141"/>
          <a:ext cx="2030376" cy="840318"/>
        </a:xfrm>
        <a:prstGeom prst="rect">
          <a:avLst/>
        </a:prstGeom>
        <a:solidFill>
          <a:schemeClr val="bg1">
            <a:lumMod val="85000"/>
          </a:schemeClr>
        </a:solidFill>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2BCCEAA-16E7-4322-A6AB-6EFF0864DA42}" name="Table135" displayName="Table135" ref="F6:I49" totalsRowShown="0" headerRowDxfId="37" dataDxfId="35" headerRowBorderDxfId="36">
  <autoFilter ref="F6:I49" xr:uid="{086E120D-0448-4EB4-9898-2B290F029150}">
    <filterColumn colId="0" hiddenButton="1"/>
    <filterColumn colId="1" hiddenButton="1"/>
    <filterColumn colId="2" hiddenButton="1"/>
    <filterColumn colId="3" hiddenButton="1"/>
  </autoFilter>
  <tableColumns count="4">
    <tableColumn id="1" xr3:uid="{D1533ECB-3FE5-4D70-99BB-B358A20E537B}" name="Cost Seg Est" dataDxfId="34"/>
    <tableColumn id="2" xr3:uid="{B0359189-55BD-47E8-9D74-3FA22EEA853F}" name="Std. Dep" dataDxfId="33" dataCellStyle="Currency"/>
    <tableColumn id="3" xr3:uid="{CB8D2037-A14D-45C2-818C-21015A33E080}" name="Trad. Cost Seg" dataDxfId="32" dataCellStyle="Currency"/>
    <tableColumn id="4" xr3:uid="{3A461AC3-24CB-4C46-96A7-7E66BEBBC4DE}" name="Bonus Dep" dataDxfId="3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097C87-DF15-45FA-9A27-E45EED2A8C3C}" name="Table1353" displayName="Table1353" ref="F6:I49" totalsRowShown="0" headerRowDxfId="30" dataDxfId="28" headerRowBorderDxfId="29">
  <autoFilter ref="F6:I49" xr:uid="{086E120D-0448-4EB4-9898-2B290F029150}">
    <filterColumn colId="0" hiddenButton="1"/>
    <filterColumn colId="1" hiddenButton="1"/>
    <filterColumn colId="2" hiddenButton="1"/>
    <filterColumn colId="3" hiddenButton="1"/>
  </autoFilter>
  <tableColumns count="4">
    <tableColumn id="1" xr3:uid="{4332D339-43D9-4B1E-98D6-4E36614BE328}" name="Cost Seg Est" dataDxfId="27"/>
    <tableColumn id="2" xr3:uid="{742855E9-2238-4733-904D-9595E90AA54C}" name="Std. Dep" dataDxfId="26" dataCellStyle="Currency"/>
    <tableColumn id="3" xr3:uid="{76E7C78F-6FD4-43A3-9DF7-EB42A7F4EDA0}" name="Trad. Cost Seg" dataDxfId="25" dataCellStyle="Currency"/>
    <tableColumn id="4" xr3:uid="{F870C526-78E3-43A2-BFC8-9E45B90C57BB}" name="Bonus Dep" dataDxfId="24" dataCellStyle="Currenc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165302-317D-4811-81DC-D4716D542FF0}" name="Table1352" displayName="Table1352" ref="F8:I51" totalsRowShown="0" headerRowDxfId="23" dataDxfId="21" headerRowBorderDxfId="22">
  <autoFilter ref="F8:I51" xr:uid="{086E120D-0448-4EB4-9898-2B290F029150}">
    <filterColumn colId="0" hiddenButton="1"/>
    <filterColumn colId="1" hiddenButton="1"/>
    <filterColumn colId="2" hiddenButton="1"/>
    <filterColumn colId="3" hiddenButton="1"/>
  </autoFilter>
  <tableColumns count="4">
    <tableColumn id="1" xr3:uid="{3FB048CF-0D0D-4470-934F-32FC660E7717}" name="Cost Seg Est" dataDxfId="20"/>
    <tableColumn id="2" xr3:uid="{18477A6F-9D36-4CD4-81FB-7C7574B19CD1}" name="Std. Dep" dataDxfId="19" dataCellStyle="Currency"/>
    <tableColumn id="3" xr3:uid="{4CFAD342-4005-4B48-8514-7A0B4B65BC7D}" name="Trad. Cost Seg" dataDxfId="18" dataCellStyle="Currency"/>
    <tableColumn id="4" xr3:uid="{28576F83-D2A7-4AA4-900B-8EE8038C322B}" name="Bonus Dep" dataDxfId="17" dataCellStyle="Currency"/>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CA964C-C976-4F26-A26B-93C13A842BC6}" name="Table13526" displayName="Table13526" ref="F8:I51" totalsRowShown="0" headerRowDxfId="16" dataDxfId="14" headerRowBorderDxfId="15">
  <autoFilter ref="F8:I51" xr:uid="{086E120D-0448-4EB4-9898-2B290F029150}">
    <filterColumn colId="0" hiddenButton="1"/>
    <filterColumn colId="1" hiddenButton="1"/>
    <filterColumn colId="2" hiddenButton="1"/>
    <filterColumn colId="3" hiddenButton="1"/>
  </autoFilter>
  <tableColumns count="4">
    <tableColumn id="1" xr3:uid="{06C39E5C-C51B-4FEE-9061-3F4E000DB2B2}" name="Cost Seg Est" dataDxfId="13"/>
    <tableColumn id="2" xr3:uid="{D74F02B0-3C8B-496E-985E-44755A0F3B81}" name="Std. Dep" dataDxfId="12" dataCellStyle="Currency"/>
    <tableColumn id="3" xr3:uid="{5968B02B-9FAE-4523-9E70-0E73E3F82448}" name="Trad. Cost Seg" dataDxfId="11" dataCellStyle="Currency"/>
    <tableColumn id="4" xr3:uid="{20B5FAB0-5661-414E-8894-9EA1FFF257A1}" name="Bonus Dep" dataDxfId="10" dataCellStyle="Currency"/>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48DB726-9619-4FC0-9CFE-66DC25A98907}" name="Table134" displayName="Table134" ref="B2:F42" totalsRowShown="0">
  <autoFilter ref="B2:F42" xr:uid="{C9251826-F675-3546-ACCA-8AEB3C47F266}"/>
  <tableColumns count="5">
    <tableColumn id="1" xr3:uid="{69C73C7E-A896-437C-8408-51332CDA02D2}" name="Cost Basis Purchase"/>
    <tableColumn id="6" xr3:uid="{575F191A-914F-4C7F-A330-3FB8718FDB78}" name="Year" dataDxfId="9"/>
    <tableColumn id="7" xr3:uid="{D9BC4595-62EB-409A-92A5-22E8C3E87B4C}" name="Estimate" dataDxfId="8"/>
    <tableColumn id="8" xr3:uid="{9E887691-7BE1-483E-81CB-89383E3F8BC5}" name="Without CS" dataDxfId="7"/>
    <tableColumn id="2" xr3:uid="{8A4A4265-5DF6-4D4C-9715-4E29077A4D5F}" name="Bonus Depreciation" dataDxfId="6"/>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mailto:info@rcgvaluation.com" TargetMode="Externa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mailto:info@rcgvaluation.com" TargetMode="External"/><Relationship Id="rId4"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mailto:info@smartcostseg.com" TargetMode="External"/><Relationship Id="rId4"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hyperlink" Target="mailto:Ryans@crjpc.com" TargetMode="Externa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CD68B-9797-4ED9-95E9-0837059A31C6}">
  <dimension ref="A1:GA196"/>
  <sheetViews>
    <sheetView topLeftCell="FG7" zoomScale="145" zoomScaleNormal="145" workbookViewId="0">
      <selection activeCell="FG7" sqref="A1:XFD1048576"/>
    </sheetView>
  </sheetViews>
  <sheetFormatPr defaultColWidth="9.140625" defaultRowHeight="15" x14ac:dyDescent="0.25"/>
  <cols>
    <col min="1" max="1" width="15.42578125" style="22" bestFit="1" customWidth="1"/>
    <col min="2" max="2" width="11.7109375" style="22" bestFit="1" customWidth="1"/>
    <col min="3" max="3" width="6.28515625" style="22" bestFit="1" customWidth="1"/>
    <col min="4" max="4" width="16" style="92" bestFit="1" customWidth="1"/>
    <col min="5" max="5" width="11.5703125" style="56" bestFit="1" customWidth="1"/>
    <col min="6" max="6" width="8" style="56" bestFit="1" customWidth="1"/>
    <col min="7" max="8" width="9" style="56" bestFit="1" customWidth="1"/>
    <col min="9" max="9" width="16" style="93" bestFit="1" customWidth="1"/>
    <col min="10" max="10" width="11.5703125" style="22" bestFit="1" customWidth="1"/>
    <col min="11" max="11" width="8" style="22" bestFit="1" customWidth="1"/>
    <col min="12" max="13" width="9" style="22" bestFit="1" customWidth="1"/>
    <col min="14" max="14" width="16" style="92" bestFit="1" customWidth="1"/>
    <col min="15" max="15" width="11.5703125" style="56" bestFit="1" customWidth="1"/>
    <col min="16" max="16" width="8" style="56" bestFit="1" customWidth="1"/>
    <col min="17" max="18" width="9" style="56" bestFit="1" customWidth="1"/>
    <col min="19" max="19" width="16" style="93" bestFit="1" customWidth="1"/>
    <col min="20" max="20" width="11.5703125" style="22" bestFit="1" customWidth="1"/>
    <col min="21" max="21" width="8" style="22" bestFit="1" customWidth="1"/>
    <col min="22" max="23" width="9" style="22" bestFit="1" customWidth="1"/>
    <col min="24" max="24" width="16" style="92" bestFit="1" customWidth="1"/>
    <col min="25" max="25" width="11.5703125" style="56" bestFit="1" customWidth="1"/>
    <col min="26" max="26" width="8" style="56" bestFit="1" customWidth="1"/>
    <col min="27" max="28" width="9" style="56" bestFit="1" customWidth="1"/>
    <col min="29" max="29" width="16" style="108" bestFit="1" customWidth="1"/>
    <col min="30" max="30" width="11.5703125" style="109" bestFit="1" customWidth="1"/>
    <col min="31" max="31" width="8" style="109" bestFit="1" customWidth="1"/>
    <col min="32" max="33" width="9" style="109" bestFit="1" customWidth="1"/>
    <col min="34" max="34" width="17" style="93" bestFit="1" customWidth="1"/>
    <col min="35" max="35" width="12.5703125" style="22" bestFit="1" customWidth="1"/>
    <col min="36" max="36" width="8" style="22" bestFit="1" customWidth="1"/>
    <col min="37" max="38" width="9" style="22" bestFit="1" customWidth="1"/>
    <col min="39" max="39" width="17" style="92" bestFit="1" customWidth="1"/>
    <col min="40" max="40" width="12.5703125" style="56" bestFit="1" customWidth="1"/>
    <col min="41" max="41" width="8" style="56" bestFit="1" customWidth="1"/>
    <col min="42" max="43" width="9" style="56" bestFit="1" customWidth="1"/>
    <col min="44" max="44" width="17" style="93" bestFit="1" customWidth="1"/>
    <col min="45" max="45" width="12.5703125" style="22" bestFit="1" customWidth="1"/>
    <col min="46" max="46" width="8" style="22" bestFit="1" customWidth="1"/>
    <col min="47" max="48" width="9" style="22" bestFit="1" customWidth="1"/>
    <col min="49" max="49" width="17" style="92" bestFit="1" customWidth="1"/>
    <col min="50" max="50" width="12.5703125" style="56" bestFit="1" customWidth="1"/>
    <col min="51" max="51" width="8" style="56" bestFit="1" customWidth="1"/>
    <col min="52" max="53" width="9" style="56" bestFit="1" customWidth="1"/>
    <col min="54" max="54" width="10.5703125" style="75" bestFit="1" customWidth="1"/>
    <col min="55" max="55" width="13.140625" style="228" customWidth="1"/>
    <col min="56" max="56" width="8" style="75" bestFit="1" customWidth="1"/>
    <col min="57" max="58" width="10.5703125" style="75" bestFit="1" customWidth="1"/>
    <col min="59" max="59" width="10.5703125" style="94" bestFit="1" customWidth="1"/>
    <col min="60" max="60" width="6.42578125" style="94" bestFit="1" customWidth="1"/>
    <col min="61" max="61" width="8" style="94" bestFit="1" customWidth="1"/>
    <col min="62" max="64" width="10.5703125" style="94" bestFit="1" customWidth="1"/>
    <col min="65" max="65" width="7.7109375" style="94" bestFit="1" customWidth="1"/>
    <col min="66" max="66" width="8" style="94" bestFit="1" customWidth="1"/>
    <col min="67" max="68" width="10.5703125" style="94" bestFit="1" customWidth="1"/>
    <col min="69" max="69" width="17" style="93" bestFit="1" customWidth="1"/>
    <col min="70" max="70" width="13.140625" style="22" bestFit="1" customWidth="1"/>
    <col min="71" max="71" width="8" style="22" bestFit="1" customWidth="1"/>
    <col min="72" max="73" width="10.5703125" style="22" bestFit="1" customWidth="1"/>
    <col min="74" max="74" width="17" style="93" bestFit="1" customWidth="1"/>
    <col min="75" max="75" width="13.140625" style="22" bestFit="1" customWidth="1"/>
    <col min="76" max="76" width="8" style="22" bestFit="1" customWidth="1"/>
    <col min="77" max="78" width="10.5703125" style="22" bestFit="1" customWidth="1"/>
    <col min="79" max="79" width="3.140625" style="22" bestFit="1" customWidth="1"/>
    <col min="80" max="80" width="17" style="92" bestFit="1" customWidth="1"/>
    <col min="81" max="81" width="13.140625" style="56" bestFit="1" customWidth="1"/>
    <col min="82" max="82" width="8" style="56" bestFit="1" customWidth="1"/>
    <col min="83" max="84" width="10.5703125" style="56" bestFit="1" customWidth="1"/>
    <col min="85" max="85" width="17" style="92" bestFit="1" customWidth="1"/>
    <col min="86" max="86" width="13.140625" style="56" bestFit="1" customWidth="1"/>
    <col min="87" max="87" width="8" style="56" bestFit="1" customWidth="1"/>
    <col min="88" max="89" width="10.5703125" style="56" bestFit="1" customWidth="1"/>
    <col min="90" max="90" width="14.28515625" style="22" bestFit="1" customWidth="1"/>
    <col min="91" max="91" width="18.140625" style="22" bestFit="1" customWidth="1"/>
    <col min="92" max="92" width="8.7109375" style="22" bestFit="1" customWidth="1"/>
    <col min="93" max="93" width="9.140625" style="22" bestFit="1" customWidth="1"/>
    <col min="94" max="94" width="15" style="22" bestFit="1" customWidth="1"/>
    <col min="95" max="95" width="12.28515625" style="22" bestFit="1" customWidth="1"/>
    <col min="96" max="96" width="10.85546875" style="22" bestFit="1" customWidth="1"/>
    <col min="97" max="97" width="9.140625" style="22" bestFit="1" customWidth="1"/>
    <col min="98" max="98" width="19" style="22" bestFit="1" customWidth="1"/>
    <col min="99" max="100" width="12.42578125" style="22" bestFit="1" customWidth="1"/>
    <col min="101" max="101" width="13.5703125" style="22" bestFit="1" customWidth="1"/>
    <col min="102" max="102" width="29" style="22" bestFit="1" customWidth="1"/>
    <col min="103" max="103" width="18" style="22" bestFit="1" customWidth="1"/>
    <col min="104" max="106" width="8.140625" style="22" bestFit="1" customWidth="1"/>
    <col min="107" max="107" width="8.85546875" style="22" bestFit="1" customWidth="1"/>
    <col min="108" max="108" width="9.140625" style="22" bestFit="1" customWidth="1"/>
    <col min="109" max="109" width="12.7109375" style="22" bestFit="1" customWidth="1"/>
    <col min="110" max="110" width="9" style="22" bestFit="1" customWidth="1"/>
    <col min="111" max="111" width="8.140625" style="22" bestFit="1" customWidth="1"/>
    <col min="112" max="112" width="8.85546875" style="22" bestFit="1" customWidth="1"/>
    <col min="113" max="113" width="8.140625" style="22" bestFit="1" customWidth="1"/>
    <col min="114" max="114" width="9" style="22" bestFit="1" customWidth="1"/>
    <col min="115" max="117" width="10.5703125" style="22" bestFit="1" customWidth="1"/>
    <col min="118" max="122" width="11.85546875" style="22" bestFit="1" customWidth="1"/>
    <col min="123" max="123" width="9" style="22" bestFit="1" customWidth="1"/>
    <col min="124" max="124" width="9" style="22" customWidth="1"/>
    <col min="125" max="125" width="8.140625" style="22" bestFit="1" customWidth="1"/>
    <col min="126" max="126" width="8.85546875" style="22" bestFit="1" customWidth="1"/>
    <col min="127" max="127" width="9.7109375" style="22" bestFit="1" customWidth="1"/>
    <col min="128" max="128" width="14.42578125" style="22" bestFit="1" customWidth="1"/>
    <col min="129" max="130" width="10.5703125" style="22" customWidth="1"/>
    <col min="131" max="133" width="11.85546875" style="22" bestFit="1" customWidth="1"/>
    <col min="134" max="134" width="19" style="22" bestFit="1" customWidth="1"/>
    <col min="135" max="135" width="9" style="22" customWidth="1"/>
    <col min="136" max="136" width="4.42578125" style="22" customWidth="1"/>
    <col min="137" max="137" width="8.140625" style="22" bestFit="1" customWidth="1"/>
    <col min="138" max="139" width="17.85546875" style="22" bestFit="1" customWidth="1"/>
    <col min="140" max="140" width="17.28515625" style="22" bestFit="1" customWidth="1"/>
    <col min="141" max="141" width="17.85546875" style="22" bestFit="1" customWidth="1"/>
    <col min="142" max="142" width="17.28515625" style="22" bestFit="1" customWidth="1"/>
    <col min="143" max="145" width="17.85546875" style="22" bestFit="1" customWidth="1"/>
    <col min="146" max="146" width="17.28515625" style="22" bestFit="1" customWidth="1"/>
    <col min="147" max="147" width="9" style="22" customWidth="1"/>
    <col min="148" max="148" width="3.5703125" style="22" customWidth="1"/>
    <col min="149" max="149" width="17.85546875" style="35" bestFit="1" customWidth="1"/>
    <col min="150" max="150" width="9.28515625" style="22" customWidth="1"/>
    <col min="151" max="151" width="10" style="22" customWidth="1"/>
    <col min="152" max="152" width="15.7109375" style="22" bestFit="1" customWidth="1"/>
    <col min="153" max="156" width="11.85546875" style="22" customWidth="1"/>
    <col min="157" max="157" width="16.7109375" style="22" bestFit="1" customWidth="1"/>
    <col min="158" max="158" width="10.5703125" style="22" customWidth="1"/>
    <col min="159" max="159" width="10.7109375" style="22" bestFit="1" customWidth="1"/>
    <col min="160" max="162" width="10.5703125" style="22" customWidth="1"/>
    <col min="163" max="163" width="13.42578125" style="22" bestFit="1" customWidth="1"/>
    <col min="164" max="164" width="17.85546875" style="22" bestFit="1" customWidth="1"/>
    <col min="165" max="165" width="10.5703125" style="22" customWidth="1"/>
    <col min="166" max="168" width="17.85546875" style="22" bestFit="1" customWidth="1"/>
    <col min="169" max="169" width="15.7109375" style="22" bestFit="1" customWidth="1"/>
    <col min="170" max="170" width="8.85546875" style="22" bestFit="1" customWidth="1"/>
    <col min="171" max="171" width="10.5703125" style="22" bestFit="1" customWidth="1"/>
    <col min="172" max="172" width="9.140625" style="22" bestFit="1" customWidth="1"/>
    <col min="173" max="174" width="9" style="22" customWidth="1"/>
    <col min="175" max="175" width="10.7109375" style="22" bestFit="1" customWidth="1"/>
    <col min="176" max="176" width="17.85546875" style="22" bestFit="1" customWidth="1"/>
    <col min="177" max="177" width="10.7109375" style="22" bestFit="1" customWidth="1"/>
    <col min="178" max="180" width="17.85546875" style="22" bestFit="1" customWidth="1"/>
    <col min="181" max="181" width="17.28515625" style="22" bestFit="1" customWidth="1"/>
    <col min="182" max="182" width="9" style="22" bestFit="1" customWidth="1"/>
    <col min="183" max="184" width="9.140625" style="22"/>
    <col min="185" max="185" width="19" style="22" bestFit="1" customWidth="1"/>
    <col min="186" max="186" width="4.42578125" style="22" bestFit="1" customWidth="1"/>
    <col min="187" max="187" width="17" style="22" bestFit="1" customWidth="1"/>
    <col min="188" max="189" width="16" style="22" bestFit="1" customWidth="1"/>
    <col min="190" max="190" width="17" style="22" bestFit="1" customWidth="1"/>
    <col min="191" max="191" width="18.7109375" style="22" bestFit="1" customWidth="1"/>
    <col min="192" max="192" width="17" style="22" bestFit="1" customWidth="1"/>
    <col min="193" max="193" width="15" style="22" bestFit="1" customWidth="1"/>
    <col min="194" max="194" width="14.42578125" style="22" bestFit="1" customWidth="1"/>
    <col min="195" max="195" width="16" style="22" bestFit="1" customWidth="1"/>
    <col min="196" max="196" width="15.85546875" style="22" bestFit="1" customWidth="1"/>
    <col min="197" max="197" width="3.5703125" style="22" customWidth="1"/>
    <col min="198" max="200" width="16" style="22" bestFit="1" customWidth="1"/>
    <col min="201" max="201" width="17" style="22" bestFit="1" customWidth="1"/>
    <col min="202" max="202" width="18.7109375" style="22" bestFit="1" customWidth="1"/>
    <col min="203" max="204" width="14.42578125" style="22" bestFit="1" customWidth="1"/>
    <col min="205" max="205" width="3.140625" style="22" customWidth="1"/>
    <col min="206" max="207" width="14.42578125" style="22" bestFit="1" customWidth="1"/>
    <col min="208" max="208" width="9.140625" style="22"/>
    <col min="209" max="209" width="9" style="22" bestFit="1" customWidth="1"/>
    <col min="210" max="210" width="10.5703125" style="22" bestFit="1" customWidth="1"/>
    <col min="211" max="211" width="9.140625" style="22"/>
    <col min="212" max="212" width="4.42578125" style="22" bestFit="1" customWidth="1"/>
    <col min="213" max="215" width="16" style="22" bestFit="1" customWidth="1"/>
    <col min="216" max="216" width="17" style="22" bestFit="1" customWidth="1"/>
    <col min="217" max="217" width="18.7109375" style="22" bestFit="1" customWidth="1"/>
    <col min="218" max="218" width="17" style="22" bestFit="1" customWidth="1"/>
    <col min="219" max="219" width="9.140625" style="22"/>
    <col min="220" max="221" width="10.5703125" style="22" bestFit="1" customWidth="1"/>
    <col min="222" max="16384" width="9.140625" style="22"/>
  </cols>
  <sheetData>
    <row r="1" spans="1:183" x14ac:dyDescent="0.25">
      <c r="A1" s="22" t="s">
        <v>12</v>
      </c>
      <c r="B1" s="22">
        <f>'Input Sheet'!B3</f>
        <v>2550000</v>
      </c>
      <c r="C1" s="41"/>
      <c r="D1" s="42" t="s">
        <v>85</v>
      </c>
      <c r="E1" s="43" t="s">
        <v>86</v>
      </c>
      <c r="F1" s="43"/>
      <c r="G1" s="43"/>
      <c r="H1" s="43"/>
      <c r="I1" s="44" t="s">
        <v>85</v>
      </c>
      <c r="J1" s="44" t="s">
        <v>86</v>
      </c>
      <c r="K1" s="44"/>
      <c r="L1" s="44"/>
      <c r="M1" s="44"/>
      <c r="N1" s="42" t="s">
        <v>85</v>
      </c>
      <c r="O1" s="43" t="s">
        <v>86</v>
      </c>
      <c r="P1" s="111" t="s">
        <v>128</v>
      </c>
      <c r="Q1" s="43"/>
      <c r="R1" s="43"/>
      <c r="S1" s="44" t="s">
        <v>85</v>
      </c>
      <c r="T1" s="44" t="s">
        <v>86</v>
      </c>
      <c r="U1" s="111" t="s">
        <v>128</v>
      </c>
      <c r="V1" s="44"/>
      <c r="W1" s="44"/>
      <c r="X1" s="43" t="s">
        <v>87</v>
      </c>
      <c r="Y1" s="43" t="s">
        <v>88</v>
      </c>
      <c r="Z1" s="43"/>
      <c r="AA1" s="43"/>
      <c r="AB1" s="43"/>
      <c r="AC1" s="104" t="s">
        <v>159</v>
      </c>
      <c r="AD1" s="104" t="s">
        <v>160</v>
      </c>
      <c r="AE1" s="111" t="s">
        <v>128</v>
      </c>
      <c r="AF1" s="104"/>
      <c r="AG1" s="104"/>
      <c r="AH1" s="44" t="s">
        <v>89</v>
      </c>
      <c r="AI1" s="44" t="s">
        <v>90</v>
      </c>
      <c r="AJ1" s="44"/>
      <c r="AK1" s="44"/>
      <c r="AL1" s="44"/>
      <c r="AM1" s="43" t="s">
        <v>89</v>
      </c>
      <c r="AN1" s="43" t="s">
        <v>90</v>
      </c>
      <c r="AO1" s="43"/>
      <c r="AP1" s="43"/>
      <c r="AQ1" s="43"/>
      <c r="AR1" s="44" t="s">
        <v>158</v>
      </c>
      <c r="AS1" s="44" t="s">
        <v>90</v>
      </c>
      <c r="AT1" s="111" t="s">
        <v>128</v>
      </c>
      <c r="AU1" s="44"/>
      <c r="AV1" s="44"/>
      <c r="AW1" s="43" t="s">
        <v>158</v>
      </c>
      <c r="AX1" s="43" t="s">
        <v>90</v>
      </c>
      <c r="AY1" s="111" t="s">
        <v>128</v>
      </c>
      <c r="AZ1" s="43"/>
      <c r="BA1" s="43"/>
      <c r="BB1" s="45" t="s">
        <v>91</v>
      </c>
      <c r="BC1" s="227" t="s">
        <v>92</v>
      </c>
      <c r="BD1" s="45"/>
      <c r="BE1" s="45"/>
      <c r="BF1" s="45"/>
      <c r="BG1" s="46" t="s">
        <v>91</v>
      </c>
      <c r="BH1" s="46" t="s">
        <v>93</v>
      </c>
      <c r="BI1" s="46"/>
      <c r="BJ1" s="46"/>
      <c r="BK1" s="46"/>
      <c r="BL1" s="46" t="s">
        <v>91</v>
      </c>
      <c r="BM1" s="160" t="s">
        <v>169</v>
      </c>
      <c r="BN1" s="46"/>
      <c r="BO1" s="46"/>
      <c r="BP1" s="46"/>
      <c r="BQ1" s="44" t="s">
        <v>94</v>
      </c>
      <c r="BR1" s="44" t="s">
        <v>95</v>
      </c>
      <c r="BS1" s="44"/>
      <c r="BT1" s="44"/>
      <c r="BU1" s="44"/>
      <c r="BV1" s="44" t="s">
        <v>152</v>
      </c>
      <c r="BW1" s="44" t="s">
        <v>153</v>
      </c>
      <c r="BX1" s="44"/>
      <c r="BY1" s="44"/>
      <c r="BZ1" s="44"/>
      <c r="CA1" s="44"/>
      <c r="CB1" s="43" t="s">
        <v>94</v>
      </c>
      <c r="CC1" s="43" t="s">
        <v>95</v>
      </c>
      <c r="CD1" s="43"/>
      <c r="CE1" s="43"/>
      <c r="CF1" s="43"/>
      <c r="CG1" s="43" t="s">
        <v>94</v>
      </c>
      <c r="CH1" s="160" t="s">
        <v>169</v>
      </c>
      <c r="CI1" s="43"/>
      <c r="CJ1" s="43"/>
      <c r="CK1" s="43"/>
      <c r="ES1" s="22"/>
    </row>
    <row r="2" spans="1:183" ht="15.75" thickBot="1" x14ac:dyDescent="0.3">
      <c r="A2" s="47" t="s">
        <v>53</v>
      </c>
      <c r="B2" s="113">
        <f>'Equation Sheet'!S4</f>
        <v>255000</v>
      </c>
      <c r="C2" s="112"/>
      <c r="D2" s="49">
        <v>7.0000000000000007E-2</v>
      </c>
      <c r="E2" s="50"/>
      <c r="F2" s="50"/>
      <c r="G2" s="50"/>
      <c r="H2" s="50"/>
      <c r="I2" s="51">
        <f>1-AM2-BB2-D2</f>
        <v>1.7127104253356451E-2</v>
      </c>
      <c r="J2" s="51"/>
      <c r="K2" s="51"/>
      <c r="L2" s="51"/>
      <c r="M2" s="51"/>
      <c r="N2" s="49">
        <v>7.0000000000000007E-2</v>
      </c>
      <c r="O2" s="50"/>
      <c r="P2" s="50"/>
      <c r="Q2" s="50"/>
      <c r="R2" s="50"/>
      <c r="S2" s="51">
        <v>7.0000000000000007E-2</v>
      </c>
      <c r="T2" s="51"/>
      <c r="U2" s="51"/>
      <c r="V2" s="51"/>
      <c r="W2" s="51"/>
      <c r="X2" s="50">
        <f>1-D2-I2-AM2-BQ2</f>
        <v>2.942278911564622E-2</v>
      </c>
      <c r="Y2" s="50"/>
      <c r="Z2" s="50"/>
      <c r="AA2" s="50"/>
      <c r="AB2" s="50"/>
      <c r="AC2" s="105">
        <v>0.03</v>
      </c>
      <c r="AD2" s="105"/>
      <c r="AE2" s="105"/>
      <c r="AF2" s="105"/>
      <c r="AG2" s="105"/>
      <c r="AH2" s="51">
        <f>AM2</f>
        <v>0.2750062290799769</v>
      </c>
      <c r="AI2" s="51" t="s">
        <v>96</v>
      </c>
      <c r="AJ2" s="51"/>
      <c r="AK2" s="51"/>
      <c r="AL2" s="51"/>
      <c r="AM2" s="50">
        <f>$CU$30*22%</f>
        <v>0.2750062290799769</v>
      </c>
      <c r="AN2" s="50"/>
      <c r="AO2" s="50"/>
      <c r="AP2" s="50"/>
      <c r="AQ2" s="50"/>
      <c r="AR2" s="51">
        <f>AM2</f>
        <v>0.2750062290799769</v>
      </c>
      <c r="AS2" s="51" t="s">
        <v>96</v>
      </c>
      <c r="AT2" s="51"/>
      <c r="AU2" s="51"/>
      <c r="AV2" s="51"/>
      <c r="AW2" s="50">
        <f>$CU$30*22%</f>
        <v>0.2750062290799769</v>
      </c>
      <c r="AX2" s="50"/>
      <c r="AY2" s="50"/>
      <c r="AZ2" s="50"/>
      <c r="BA2" s="50"/>
      <c r="BB2" s="52">
        <f>(1-$CT$14)*64%</f>
        <v>0.63786666666666669</v>
      </c>
      <c r="BC2" s="227"/>
      <c r="BD2" s="52"/>
      <c r="BE2" s="52"/>
      <c r="BF2" s="52"/>
      <c r="BG2" s="53">
        <v>1</v>
      </c>
      <c r="BH2" s="53"/>
      <c r="BI2" s="53"/>
      <c r="BJ2" s="53"/>
      <c r="BK2" s="53"/>
      <c r="BL2" s="53">
        <v>1</v>
      </c>
      <c r="BM2" s="53"/>
      <c r="BN2" s="53"/>
      <c r="BO2" s="53"/>
      <c r="BP2" s="53"/>
      <c r="BQ2" s="51">
        <f>(1-$CU$14)*61%</f>
        <v>0.60844387755102036</v>
      </c>
      <c r="BR2" s="51"/>
      <c r="BS2" s="51"/>
      <c r="BT2" s="44"/>
      <c r="BU2" s="44"/>
      <c r="BV2" s="51">
        <f>(1-$CU$14)*61%</f>
        <v>0.60844387755102036</v>
      </c>
      <c r="BW2" s="51"/>
      <c r="BX2" s="51"/>
      <c r="BY2" s="44"/>
      <c r="BZ2" s="44"/>
      <c r="CA2" s="44"/>
      <c r="CB2" s="50">
        <v>1</v>
      </c>
      <c r="CC2" s="50"/>
      <c r="CD2" s="50"/>
      <c r="CE2" s="43"/>
      <c r="CF2" s="43"/>
      <c r="CG2" s="50">
        <v>1</v>
      </c>
      <c r="CH2" s="50"/>
      <c r="CI2" s="50"/>
      <c r="CJ2" s="43"/>
      <c r="CK2" s="43"/>
      <c r="CQ2" t="s">
        <v>97</v>
      </c>
      <c r="CR2"/>
      <c r="CS2"/>
      <c r="CT2"/>
      <c r="CU2"/>
      <c r="CV2"/>
      <c r="CW2"/>
      <c r="CX2"/>
      <c r="CY2"/>
      <c r="CZ2"/>
      <c r="DA2"/>
      <c r="DB2"/>
      <c r="DC2" s="54"/>
      <c r="DD2"/>
      <c r="DE2"/>
      <c r="DK2" s="137">
        <v>27.5</v>
      </c>
      <c r="EH2" s="22">
        <v>39</v>
      </c>
      <c r="ES2" s="22"/>
    </row>
    <row r="3" spans="1:183" ht="15.75" thickTop="1" x14ac:dyDescent="0.25">
      <c r="A3" s="22" t="s">
        <v>132</v>
      </c>
      <c r="B3" s="22">
        <f>'Input Sheet'!W3</f>
        <v>0</v>
      </c>
      <c r="C3" s="48"/>
      <c r="D3" s="42">
        <f>B5*D2</f>
        <v>160650.00000000003</v>
      </c>
      <c r="E3" s="43"/>
      <c r="F3" s="43"/>
      <c r="G3" s="43"/>
      <c r="H3" s="43"/>
      <c r="I3" s="44">
        <f>B5*I2</f>
        <v>39306.704261453058</v>
      </c>
      <c r="J3" s="44"/>
      <c r="K3" s="44"/>
      <c r="L3" s="44"/>
      <c r="M3" s="44"/>
      <c r="N3" s="42">
        <f>$B$5*N2</f>
        <v>160650.00000000003</v>
      </c>
      <c r="O3" s="43"/>
      <c r="P3" s="43"/>
      <c r="Q3" s="43"/>
      <c r="R3" s="43"/>
      <c r="S3" s="42">
        <f>$B$5*S2</f>
        <v>160650.00000000003</v>
      </c>
      <c r="T3" s="44"/>
      <c r="U3" s="44"/>
      <c r="V3" s="44"/>
      <c r="W3" s="44"/>
      <c r="X3" s="43">
        <f>$B$5*X2</f>
        <v>67525.301020408078</v>
      </c>
      <c r="Y3" s="43"/>
      <c r="Z3" s="43"/>
      <c r="AA3" s="43"/>
      <c r="AB3" s="43"/>
      <c r="AC3" s="104">
        <f>$B$5*AC2</f>
        <v>68850</v>
      </c>
      <c r="AD3" s="104"/>
      <c r="AE3" s="104"/>
      <c r="AF3" s="104"/>
      <c r="AG3" s="104"/>
      <c r="AH3" s="44">
        <f>B5*AH2</f>
        <v>631139.29573854699</v>
      </c>
      <c r="AI3" s="44"/>
      <c r="AJ3" s="44"/>
      <c r="AK3" s="44"/>
      <c r="AL3" s="44"/>
      <c r="AM3" s="43">
        <f>B5*AM2</f>
        <v>631139.29573854699</v>
      </c>
      <c r="AN3" s="43"/>
      <c r="AO3" s="43"/>
      <c r="AP3" s="43"/>
      <c r="AQ3" s="43"/>
      <c r="AR3" s="44">
        <f>$B$5*AR2</f>
        <v>631139.29573854699</v>
      </c>
      <c r="AS3" s="44"/>
      <c r="AT3" s="44"/>
      <c r="AU3" s="44"/>
      <c r="AV3" s="44"/>
      <c r="AW3" s="43">
        <f>$B$5*AW2</f>
        <v>631139.29573854699</v>
      </c>
      <c r="AX3" s="43"/>
      <c r="AY3" s="43"/>
      <c r="AZ3" s="43"/>
      <c r="BA3" s="43"/>
      <c r="BB3" s="45">
        <f>B5*BB2</f>
        <v>1463904</v>
      </c>
      <c r="BC3" s="227"/>
      <c r="BD3" s="45"/>
      <c r="BE3" s="45"/>
      <c r="BF3" s="45"/>
      <c r="BG3" s="46">
        <f>B5-B4</f>
        <v>2295000</v>
      </c>
      <c r="BH3" s="46"/>
      <c r="BI3" s="46"/>
      <c r="BJ3" s="46"/>
      <c r="BK3" s="46"/>
      <c r="BL3" s="46">
        <f>'Input Sheet'!AA3</f>
        <v>0</v>
      </c>
      <c r="BM3" s="46"/>
      <c r="BN3" s="46"/>
      <c r="BO3" s="46"/>
      <c r="BP3" s="46"/>
      <c r="BQ3" s="44">
        <f>B5*BQ2</f>
        <v>1396378.6989795917</v>
      </c>
      <c r="BR3" s="44"/>
      <c r="BS3" s="44"/>
      <c r="BT3" s="44"/>
      <c r="BU3" s="44"/>
      <c r="BV3" s="44">
        <f>BQ3</f>
        <v>1396378.6989795917</v>
      </c>
      <c r="BW3" s="44"/>
      <c r="BX3" s="44"/>
      <c r="BY3" s="44"/>
      <c r="BZ3" s="44"/>
      <c r="CA3" s="44"/>
      <c r="CB3" s="43">
        <f>B5-B4</f>
        <v>2295000</v>
      </c>
      <c r="CC3" s="43"/>
      <c r="CD3" s="43"/>
      <c r="CE3" s="43"/>
      <c r="CF3" s="43"/>
      <c r="CG3" s="43">
        <f>'Input Sheet'!AA3</f>
        <v>0</v>
      </c>
      <c r="CH3" s="43"/>
      <c r="CI3" s="43"/>
      <c r="CJ3" s="43"/>
      <c r="CK3" s="43"/>
      <c r="CL3" s="22" t="s">
        <v>280</v>
      </c>
      <c r="CM3" s="22" t="s">
        <v>221</v>
      </c>
      <c r="CN3" s="22" t="s">
        <v>220</v>
      </c>
      <c r="CO3" s="22" t="s">
        <v>178</v>
      </c>
      <c r="CP3" s="22" t="s">
        <v>124</v>
      </c>
      <c r="CQ3" t="s">
        <v>98</v>
      </c>
      <c r="CR3" t="s">
        <v>99</v>
      </c>
      <c r="CS3"/>
      <c r="CT3"/>
      <c r="CU3" t="s">
        <v>100</v>
      </c>
      <c r="CV3" t="s">
        <v>101</v>
      </c>
      <c r="CW3" t="s">
        <v>102</v>
      </c>
      <c r="CX3" s="22" t="s">
        <v>103</v>
      </c>
      <c r="CY3" t="s">
        <v>104</v>
      </c>
      <c r="CZ3"/>
      <c r="DA3"/>
      <c r="DB3"/>
      <c r="DC3" s="54" t="s">
        <v>105</v>
      </c>
      <c r="DD3" t="s">
        <v>106</v>
      </c>
      <c r="DE3" s="22" t="s">
        <v>107</v>
      </c>
      <c r="DK3" s="22" t="s">
        <v>110</v>
      </c>
      <c r="DV3" s="22" t="s">
        <v>157</v>
      </c>
      <c r="EH3" s="22" t="s">
        <v>110</v>
      </c>
      <c r="ES3" s="22" t="s">
        <v>157</v>
      </c>
      <c r="FG3" s="137">
        <v>27.5</v>
      </c>
      <c r="FS3" s="137">
        <v>39</v>
      </c>
    </row>
    <row r="4" spans="1:183" ht="15.75" thickBot="1" x14ac:dyDescent="0.3">
      <c r="A4" s="22" t="s">
        <v>169</v>
      </c>
      <c r="B4" s="22">
        <f>'Input Sheet'!AA3</f>
        <v>0</v>
      </c>
      <c r="C4" s="48" t="s">
        <v>49</v>
      </c>
      <c r="D4" s="42" t="s">
        <v>108</v>
      </c>
      <c r="E4" s="43" t="s">
        <v>109</v>
      </c>
      <c r="F4" s="43" t="s">
        <v>110</v>
      </c>
      <c r="G4" s="43" t="s">
        <v>111</v>
      </c>
      <c r="H4" s="43" t="s">
        <v>112</v>
      </c>
      <c r="I4" s="44" t="s">
        <v>108</v>
      </c>
      <c r="J4" s="44" t="s">
        <v>109</v>
      </c>
      <c r="K4" s="44" t="s">
        <v>110</v>
      </c>
      <c r="L4" s="44" t="s">
        <v>111</v>
      </c>
      <c r="M4" s="44" t="s">
        <v>112</v>
      </c>
      <c r="N4" s="42" t="s">
        <v>108</v>
      </c>
      <c r="O4" s="43" t="s">
        <v>109</v>
      </c>
      <c r="P4" s="43" t="s">
        <v>110</v>
      </c>
      <c r="Q4" s="43" t="s">
        <v>111</v>
      </c>
      <c r="R4" s="43" t="s">
        <v>112</v>
      </c>
      <c r="S4" s="44" t="s">
        <v>108</v>
      </c>
      <c r="T4" s="44" t="s">
        <v>109</v>
      </c>
      <c r="U4" s="44" t="s">
        <v>110</v>
      </c>
      <c r="V4" s="44" t="s">
        <v>111</v>
      </c>
      <c r="W4" s="44" t="s">
        <v>112</v>
      </c>
      <c r="X4" s="43" t="s">
        <v>108</v>
      </c>
      <c r="Y4" s="43" t="s">
        <v>109</v>
      </c>
      <c r="Z4" s="43" t="s">
        <v>110</v>
      </c>
      <c r="AA4" s="43" t="s">
        <v>111</v>
      </c>
      <c r="AB4" s="43" t="s">
        <v>112</v>
      </c>
      <c r="AC4" s="104" t="s">
        <v>108</v>
      </c>
      <c r="AD4" s="104" t="s">
        <v>109</v>
      </c>
      <c r="AE4" s="104" t="s">
        <v>110</v>
      </c>
      <c r="AF4" s="104" t="s">
        <v>111</v>
      </c>
      <c r="AG4" s="104" t="s">
        <v>112</v>
      </c>
      <c r="AH4" s="44" t="s">
        <v>108</v>
      </c>
      <c r="AI4" s="44" t="s">
        <v>109</v>
      </c>
      <c r="AJ4" s="44" t="s">
        <v>110</v>
      </c>
      <c r="AK4" s="44" t="s">
        <v>111</v>
      </c>
      <c r="AL4" s="44" t="s">
        <v>112</v>
      </c>
      <c r="AM4" s="43" t="s">
        <v>108</v>
      </c>
      <c r="AN4" s="43" t="s">
        <v>109</v>
      </c>
      <c r="AO4" s="43" t="s">
        <v>110</v>
      </c>
      <c r="AP4" s="43" t="s">
        <v>111</v>
      </c>
      <c r="AQ4" s="43" t="s">
        <v>112</v>
      </c>
      <c r="AR4" s="44" t="s">
        <v>108</v>
      </c>
      <c r="AS4" s="44" t="s">
        <v>109</v>
      </c>
      <c r="AT4" s="44" t="s">
        <v>110</v>
      </c>
      <c r="AU4" s="44" t="s">
        <v>111</v>
      </c>
      <c r="AV4" s="44" t="s">
        <v>112</v>
      </c>
      <c r="AW4" s="43" t="s">
        <v>108</v>
      </c>
      <c r="AX4" s="43" t="s">
        <v>109</v>
      </c>
      <c r="AY4" s="43" t="s">
        <v>110</v>
      </c>
      <c r="AZ4" s="43" t="s">
        <v>111</v>
      </c>
      <c r="BA4" s="43" t="s">
        <v>112</v>
      </c>
      <c r="BB4" s="45" t="s">
        <v>108</v>
      </c>
      <c r="BC4" s="227" t="s">
        <v>109</v>
      </c>
      <c r="BD4" s="45" t="s">
        <v>110</v>
      </c>
      <c r="BE4" s="45" t="s">
        <v>111</v>
      </c>
      <c r="BF4" s="45" t="s">
        <v>112</v>
      </c>
      <c r="BG4" s="46" t="s">
        <v>108</v>
      </c>
      <c r="BH4" s="46" t="s">
        <v>109</v>
      </c>
      <c r="BI4" s="46" t="s">
        <v>110</v>
      </c>
      <c r="BJ4" s="46" t="s">
        <v>111</v>
      </c>
      <c r="BK4" s="46" t="s">
        <v>112</v>
      </c>
      <c r="BL4" s="46" t="s">
        <v>108</v>
      </c>
      <c r="BM4" s="46" t="s">
        <v>109</v>
      </c>
      <c r="BN4" s="46" t="s">
        <v>110</v>
      </c>
      <c r="BO4" s="46" t="s">
        <v>111</v>
      </c>
      <c r="BP4" s="46" t="s">
        <v>112</v>
      </c>
      <c r="BQ4" s="44" t="s">
        <v>108</v>
      </c>
      <c r="BR4" s="44" t="s">
        <v>109</v>
      </c>
      <c r="BS4" s="44" t="s">
        <v>110</v>
      </c>
      <c r="BT4" s="44" t="s">
        <v>111</v>
      </c>
      <c r="BU4" s="44" t="s">
        <v>112</v>
      </c>
      <c r="BV4" s="44" t="s">
        <v>108</v>
      </c>
      <c r="BW4" s="44" t="s">
        <v>109</v>
      </c>
      <c r="BX4" s="44" t="s">
        <v>110</v>
      </c>
      <c r="BY4" s="44" t="s">
        <v>111</v>
      </c>
      <c r="BZ4" s="44" t="s">
        <v>112</v>
      </c>
      <c r="CA4" s="44"/>
      <c r="CB4" s="43" t="s">
        <v>108</v>
      </c>
      <c r="CC4" s="43" t="s">
        <v>109</v>
      </c>
      <c r="CD4" s="43" t="s">
        <v>110</v>
      </c>
      <c r="CE4" s="43" t="s">
        <v>111</v>
      </c>
      <c r="CF4" s="43" t="s">
        <v>112</v>
      </c>
      <c r="CG4" s="43" t="s">
        <v>108</v>
      </c>
      <c r="CH4" s="43" t="s">
        <v>109</v>
      </c>
      <c r="CI4" s="43" t="s">
        <v>110</v>
      </c>
      <c r="CJ4" s="43" t="s">
        <v>111</v>
      </c>
      <c r="CK4" s="43" t="s">
        <v>112</v>
      </c>
      <c r="CL4" s="21">
        <v>45677</v>
      </c>
      <c r="CM4" s="21">
        <v>45658</v>
      </c>
      <c r="CN4" s="21">
        <v>45292</v>
      </c>
      <c r="CO4" s="21">
        <v>44927</v>
      </c>
      <c r="CP4" s="21">
        <v>43005</v>
      </c>
      <c r="CQ4" s="55">
        <f>'Input Sheet'!P3</f>
        <v>45366</v>
      </c>
      <c r="CR4" s="21">
        <f>IF(CQ4&lt;CR8,CR8,CR9)</f>
        <v>44196</v>
      </c>
      <c r="CS4" s="36">
        <f>'Input Sheet'!R3</f>
        <v>2025</v>
      </c>
      <c r="CT4">
        <f>CT5/365.25</f>
        <v>-3.2032854209445585</v>
      </c>
      <c r="CU4">
        <f>ROUNDDOWN(CT4,0)</f>
        <v>-3</v>
      </c>
      <c r="CV4">
        <f>(CT4-CU4)*12</f>
        <v>-2.4394250513347018</v>
      </c>
      <c r="CW4"/>
      <c r="CX4" s="22">
        <f>CV4-0.5</f>
        <v>-2.9394250513347018</v>
      </c>
      <c r="CY4">
        <f>12.5-CV4</f>
        <v>14.939425051334702</v>
      </c>
      <c r="CZ4"/>
      <c r="DA4"/>
      <c r="DB4"/>
      <c r="DC4" s="54">
        <f>ROUNDUP(CT4,0)</f>
        <v>-4</v>
      </c>
      <c r="DD4" s="54">
        <f>DC4-1</f>
        <v>-5</v>
      </c>
      <c r="DE4" s="22">
        <f>DC4+1</f>
        <v>-3</v>
      </c>
      <c r="DJ4" s="22" t="s">
        <v>49</v>
      </c>
      <c r="DK4" s="22" t="s">
        <v>154</v>
      </c>
      <c r="DL4" s="22" t="s">
        <v>155</v>
      </c>
      <c r="DM4" s="22" t="s">
        <v>52</v>
      </c>
      <c r="DN4" s="22" t="s">
        <v>162</v>
      </c>
      <c r="DO4" s="22" t="s">
        <v>177</v>
      </c>
      <c r="DP4" s="22" t="s">
        <v>220</v>
      </c>
      <c r="DQ4" s="22" t="s">
        <v>221</v>
      </c>
      <c r="DR4" s="22" t="s">
        <v>279</v>
      </c>
      <c r="DS4" s="22" t="s">
        <v>156</v>
      </c>
      <c r="DT4" s="22" t="s">
        <v>169</v>
      </c>
      <c r="DV4" s="22" t="s">
        <v>154</v>
      </c>
      <c r="DW4" s="22" t="s">
        <v>155</v>
      </c>
      <c r="DX4" s="22" t="s">
        <v>52</v>
      </c>
      <c r="DY4" s="22" t="s">
        <v>162</v>
      </c>
      <c r="DZ4" s="22" t="s">
        <v>177</v>
      </c>
      <c r="EA4" s="22" t="s">
        <v>220</v>
      </c>
      <c r="EB4" s="22" t="s">
        <v>221</v>
      </c>
      <c r="EC4" s="22" t="s">
        <v>279</v>
      </c>
      <c r="ED4" s="22" t="s">
        <v>156</v>
      </c>
      <c r="EE4" s="22" t="s">
        <v>169</v>
      </c>
      <c r="EG4" s="22" t="s">
        <v>49</v>
      </c>
      <c r="EH4" s="22" t="s">
        <v>154</v>
      </c>
      <c r="EI4" s="22" t="s">
        <v>155</v>
      </c>
      <c r="EJ4" s="22" t="s">
        <v>52</v>
      </c>
      <c r="EK4" s="22" t="s">
        <v>162</v>
      </c>
      <c r="EL4" s="22" t="s">
        <v>177</v>
      </c>
      <c r="EM4" s="22" t="s">
        <v>220</v>
      </c>
      <c r="EN4" s="22" t="s">
        <v>221</v>
      </c>
      <c r="EO4" s="22" t="s">
        <v>279</v>
      </c>
      <c r="EP4" s="22" t="s">
        <v>156</v>
      </c>
      <c r="EQ4" s="22" t="s">
        <v>169</v>
      </c>
      <c r="ES4" s="22" t="s">
        <v>154</v>
      </c>
      <c r="ET4" s="22" t="s">
        <v>155</v>
      </c>
      <c r="EU4" s="22" t="s">
        <v>52</v>
      </c>
      <c r="EV4" s="22" t="s">
        <v>162</v>
      </c>
      <c r="EW4" s="22" t="s">
        <v>177</v>
      </c>
      <c r="EX4" s="22" t="s">
        <v>220</v>
      </c>
      <c r="EY4" s="22" t="s">
        <v>221</v>
      </c>
      <c r="EZ4" s="22" t="s">
        <v>279</v>
      </c>
      <c r="FA4" s="22" t="s">
        <v>156</v>
      </c>
      <c r="FB4" s="22" t="s">
        <v>169</v>
      </c>
      <c r="FC4" s="22" t="s">
        <v>172</v>
      </c>
      <c r="FD4" s="22" t="s">
        <v>49</v>
      </c>
      <c r="FE4" s="22" t="s">
        <v>169</v>
      </c>
      <c r="FF4" s="22" t="s">
        <v>49</v>
      </c>
      <c r="FG4" s="139" t="s">
        <v>49</v>
      </c>
      <c r="FH4" s="139" t="s">
        <v>154</v>
      </c>
      <c r="FI4" s="139" t="s">
        <v>169</v>
      </c>
      <c r="FJ4" s="139" t="s">
        <v>173</v>
      </c>
      <c r="FK4" s="139" t="s">
        <v>155</v>
      </c>
      <c r="FL4" s="139" t="s">
        <v>52</v>
      </c>
      <c r="FM4" s="139" t="s">
        <v>156</v>
      </c>
      <c r="FO4" s="22" t="s">
        <v>172</v>
      </c>
      <c r="FP4" s="22" t="s">
        <v>49</v>
      </c>
      <c r="FQ4" s="22" t="s">
        <v>169</v>
      </c>
      <c r="FR4" s="22" t="s">
        <v>49</v>
      </c>
      <c r="FS4" s="139" t="s">
        <v>49</v>
      </c>
      <c r="FT4" s="139" t="s">
        <v>154</v>
      </c>
      <c r="FU4" s="139" t="s">
        <v>169</v>
      </c>
      <c r="FV4" s="139" t="s">
        <v>173</v>
      </c>
      <c r="FW4" s="139" t="s">
        <v>155</v>
      </c>
      <c r="FX4" s="139" t="s">
        <v>52</v>
      </c>
      <c r="FY4" s="139" t="s">
        <v>156</v>
      </c>
    </row>
    <row r="5" spans="1:183" x14ac:dyDescent="0.25">
      <c r="A5" s="22" t="s">
        <v>62</v>
      </c>
      <c r="B5" s="22">
        <f>B1-B2-B3+B4</f>
        <v>2295000</v>
      </c>
      <c r="C5" s="48">
        <v>-1</v>
      </c>
      <c r="D5" s="42">
        <v>0</v>
      </c>
      <c r="E5" s="43">
        <v>0</v>
      </c>
      <c r="F5" s="43">
        <v>0</v>
      </c>
      <c r="G5" s="43">
        <v>0</v>
      </c>
      <c r="H5" s="43">
        <v>0</v>
      </c>
      <c r="I5" s="44">
        <v>0</v>
      </c>
      <c r="J5" s="44">
        <v>0</v>
      </c>
      <c r="K5" s="44">
        <v>0</v>
      </c>
      <c r="L5" s="44">
        <v>0</v>
      </c>
      <c r="M5" s="44">
        <v>0</v>
      </c>
      <c r="N5" s="42">
        <v>0</v>
      </c>
      <c r="O5" s="43">
        <v>0</v>
      </c>
      <c r="P5" s="43">
        <v>0</v>
      </c>
      <c r="Q5" s="43">
        <v>0</v>
      </c>
      <c r="R5" s="43">
        <v>0</v>
      </c>
      <c r="S5" s="44">
        <v>0</v>
      </c>
      <c r="T5" s="44">
        <v>0</v>
      </c>
      <c r="U5" s="44">
        <v>0</v>
      </c>
      <c r="V5" s="44">
        <v>0</v>
      </c>
      <c r="W5" s="44">
        <v>0</v>
      </c>
      <c r="X5" s="43">
        <v>0</v>
      </c>
      <c r="Y5" s="43">
        <v>0</v>
      </c>
      <c r="Z5" s="43">
        <v>0</v>
      </c>
      <c r="AA5" s="43">
        <v>0</v>
      </c>
      <c r="AB5" s="43">
        <v>0</v>
      </c>
      <c r="AC5" s="104">
        <v>0</v>
      </c>
      <c r="AD5" s="104">
        <v>0</v>
      </c>
      <c r="AE5" s="104">
        <v>0</v>
      </c>
      <c r="AF5" s="104">
        <v>0</v>
      </c>
      <c r="AG5" s="104">
        <v>0</v>
      </c>
      <c r="AH5" s="44">
        <v>0</v>
      </c>
      <c r="AI5" s="44">
        <v>0</v>
      </c>
      <c r="AJ5" s="44">
        <v>0</v>
      </c>
      <c r="AK5" s="44">
        <v>0</v>
      </c>
      <c r="AL5" s="44">
        <v>0</v>
      </c>
      <c r="AM5" s="43">
        <v>0</v>
      </c>
      <c r="AN5" s="43">
        <v>0</v>
      </c>
      <c r="AO5" s="43">
        <v>0</v>
      </c>
      <c r="AP5" s="43">
        <v>0</v>
      </c>
      <c r="AQ5" s="43">
        <v>0</v>
      </c>
      <c r="AR5" s="44">
        <v>0</v>
      </c>
      <c r="AS5" s="44">
        <v>0</v>
      </c>
      <c r="AT5" s="44">
        <v>0</v>
      </c>
      <c r="AU5" s="44">
        <v>0</v>
      </c>
      <c r="AV5" s="44">
        <v>0</v>
      </c>
      <c r="AW5" s="43">
        <v>0</v>
      </c>
      <c r="AX5" s="43">
        <v>0</v>
      </c>
      <c r="AY5" s="43">
        <v>0</v>
      </c>
      <c r="AZ5" s="43">
        <v>0</v>
      </c>
      <c r="BA5" s="43">
        <v>0</v>
      </c>
      <c r="BB5" s="45">
        <v>0</v>
      </c>
      <c r="BC5" s="227">
        <v>0</v>
      </c>
      <c r="BD5" s="45">
        <v>0</v>
      </c>
      <c r="BE5" s="45">
        <v>0</v>
      </c>
      <c r="BF5" s="45">
        <v>0</v>
      </c>
      <c r="BG5" s="46">
        <v>0</v>
      </c>
      <c r="BH5" s="46">
        <v>0</v>
      </c>
      <c r="BI5" s="46">
        <v>0</v>
      </c>
      <c r="BJ5" s="46">
        <v>0</v>
      </c>
      <c r="BK5" s="46">
        <v>0</v>
      </c>
      <c r="BL5" s="46">
        <v>0</v>
      </c>
      <c r="BM5" s="46">
        <v>0</v>
      </c>
      <c r="BN5" s="46">
        <v>0</v>
      </c>
      <c r="BO5" s="46">
        <v>0</v>
      </c>
      <c r="BP5" s="46">
        <v>0</v>
      </c>
      <c r="BQ5" s="44">
        <v>0</v>
      </c>
      <c r="BR5" s="44">
        <v>0</v>
      </c>
      <c r="BS5" s="44">
        <v>0</v>
      </c>
      <c r="BT5" s="44">
        <v>0</v>
      </c>
      <c r="BU5" s="44">
        <v>0</v>
      </c>
      <c r="BV5" s="44">
        <v>0</v>
      </c>
      <c r="BW5" s="44">
        <v>0</v>
      </c>
      <c r="BX5" s="44">
        <v>0</v>
      </c>
      <c r="BY5" s="44">
        <v>0</v>
      </c>
      <c r="BZ5" s="44">
        <v>0</v>
      </c>
      <c r="CA5" s="44">
        <v>0</v>
      </c>
      <c r="CB5" s="43">
        <v>0</v>
      </c>
      <c r="CC5" s="43">
        <v>0</v>
      </c>
      <c r="CD5" s="43">
        <v>0</v>
      </c>
      <c r="CE5" s="43">
        <v>0</v>
      </c>
      <c r="CF5" s="43">
        <v>0</v>
      </c>
      <c r="CG5" s="43">
        <v>0</v>
      </c>
      <c r="CH5" s="43">
        <v>0</v>
      </c>
      <c r="CI5" s="43">
        <v>0</v>
      </c>
      <c r="CJ5" s="43">
        <v>0</v>
      </c>
      <c r="CK5" s="43">
        <v>0</v>
      </c>
      <c r="CL5" s="21">
        <f>CL4</f>
        <v>45677</v>
      </c>
      <c r="CM5" s="21">
        <f t="shared" ref="CM5:CR5" si="0">CM4</f>
        <v>45658</v>
      </c>
      <c r="CN5" s="21">
        <f t="shared" si="0"/>
        <v>45292</v>
      </c>
      <c r="CO5" s="21">
        <f t="shared" si="0"/>
        <v>44927</v>
      </c>
      <c r="CP5" s="21">
        <f t="shared" si="0"/>
        <v>43005</v>
      </c>
      <c r="CQ5" s="55">
        <f t="shared" si="0"/>
        <v>45366</v>
      </c>
      <c r="CR5" s="21">
        <f t="shared" si="0"/>
        <v>44196</v>
      </c>
      <c r="CS5"/>
      <c r="CT5" s="54">
        <f>CR5-CQ5</f>
        <v>-1170</v>
      </c>
      <c r="CU5"/>
      <c r="CV5" t="e">
        <f>ABS(VLOOKUP(CV4,CV8:CW19,2,TRUE))</f>
        <v>#N/A</v>
      </c>
      <c r="CW5" t="e">
        <f>CU4+CV5</f>
        <v>#N/A</v>
      </c>
      <c r="CX5" s="22">
        <f>ROUND(CX4,0)</f>
        <v>-3</v>
      </c>
      <c r="CY5">
        <f>ROUND(CY4,0)</f>
        <v>15</v>
      </c>
      <c r="CZ5"/>
      <c r="DA5"/>
      <c r="DB5"/>
      <c r="DC5" s="54"/>
      <c r="DD5" s="54"/>
      <c r="DE5"/>
      <c r="DJ5" s="22">
        <v>1</v>
      </c>
      <c r="DK5" s="44">
        <f>BI7</f>
        <v>66073.05</v>
      </c>
      <c r="DL5" s="44">
        <f>SUM(F7,K7,AJ7,BD7)</f>
        <v>113694.10179921797</v>
      </c>
      <c r="DM5" s="44">
        <f t="shared" ref="DM5:DM36" si="1">BD7</f>
        <v>42145.796159999998</v>
      </c>
      <c r="DN5" s="44">
        <f t="shared" ref="DN5:DN36" si="2">0.5*(F7+K7+AO7)+BD7</f>
        <v>77919.948979608977</v>
      </c>
      <c r="DO5" s="44">
        <f>0.2*(F7+K7+AO7)+BD7</f>
        <v>56455.457287843594</v>
      </c>
      <c r="DP5" s="44">
        <f>0.4*(F7+K7+AO7)+BD7</f>
        <v>70765.11841568719</v>
      </c>
      <c r="DQ5" s="44">
        <f>0.6*(F7+K7+AO7)+BD7</f>
        <v>85074.779543530778</v>
      </c>
      <c r="DR5" s="44">
        <f>0.8*(F7+K7+AO7)+BD7</f>
        <v>99384.440671374381</v>
      </c>
      <c r="DS5" s="44">
        <f t="shared" ref="DS5:DS36" si="3">SUM(P7,U7,AT7,BN7)</f>
        <v>35774.152819608986</v>
      </c>
      <c r="DT5" s="44">
        <f>BN7</f>
        <v>0</v>
      </c>
      <c r="DV5" s="44">
        <f t="shared" ref="DV5:DV32" si="4">BJ7</f>
        <v>66073.05</v>
      </c>
      <c r="DW5" s="44">
        <f>SUM(G7,L7,AP7,BE7,-BJ6)</f>
        <v>113694.10179921797</v>
      </c>
      <c r="DX5" s="44">
        <f>$D$3+$I$3+$AM$3+BE7-BJ6</f>
        <v>873241.79616000014</v>
      </c>
      <c r="DY5" s="44">
        <f>0.5*($D$3+$I$3+$AM$3+$G7+$L7+$AP7)+BE7-BJ6</f>
        <v>493467.94897960906</v>
      </c>
      <c r="DZ5" s="44">
        <f>0.8*($D$3+$I$3+$AM$3)+0.2*($G7+$L7+$AP7)+BE7-BJ6</f>
        <v>721332.25728784373</v>
      </c>
      <c r="EA5" s="44">
        <f>0.6*($D$3+$I$3+$AM$3)+0.4*($G7+$L7+$AP7)+BE7-BJ6</f>
        <v>569422.71841568721</v>
      </c>
      <c r="EB5" s="44">
        <f>0.4*($D$3+$I$3+$AM$3)+0.6*($G7+$L7+$AP7)+BE7-BJ6</f>
        <v>417513.17954353092</v>
      </c>
      <c r="EC5" s="44">
        <f>0.2*($D$3+$I$3+$AM$3)+0.6*($G7+$L7+$AP7)+BE7-BJ6</f>
        <v>251293.97954353082</v>
      </c>
      <c r="ED5" s="44">
        <f>SUM(Q7,V7,AU7,BO7,-BJ6)</f>
        <v>35774.152819608986</v>
      </c>
      <c r="EE5" s="44">
        <f>BO7</f>
        <v>0</v>
      </c>
      <c r="EG5" s="22">
        <v>1</v>
      </c>
      <c r="EH5" s="44">
        <f t="shared" ref="EH5:EH36" si="5">CD7</f>
        <v>46657.35</v>
      </c>
      <c r="EI5" s="44">
        <f t="shared" ref="EI5:EI36" si="6">SUM(F7,K7,AJ7,Z7,BS7)</f>
        <v>109586.05010528938</v>
      </c>
      <c r="EJ5" s="44">
        <f t="shared" ref="EJ5:EJ36" si="7">BS7</f>
        <v>28388.378950255101</v>
      </c>
      <c r="EK5" s="44">
        <f t="shared" ref="EK5:EK36" si="8">0.5*(F7+K7+Z7+AO7)+BS7</f>
        <v>68987.214527772245</v>
      </c>
      <c r="EL5" s="44">
        <f>0.2*(F7+K7+Z7+AO7)+BS7</f>
        <v>44627.91318126196</v>
      </c>
      <c r="EM5" s="44">
        <f>0.4*(F7+K7+Z7+AO7)+BS7</f>
        <v>60867.447412268819</v>
      </c>
      <c r="EN5" s="44">
        <f>0.6*(F7+K7+Z7+AO7)+BS7</f>
        <v>77106.981643275678</v>
      </c>
      <c r="EO5" s="44">
        <f>0.8*(F7+K7+Z7+AO7)+BS7</f>
        <v>93346.515874282544</v>
      </c>
      <c r="EP5" s="44">
        <f t="shared" ref="EP5:EP36" si="9">SUM(P7,U7,AE7,AY7,BX7)</f>
        <v>72110.481403569662</v>
      </c>
      <c r="EQ5" s="44">
        <f>CI7</f>
        <v>0</v>
      </c>
      <c r="ES5" s="44">
        <f t="shared" ref="ES5:ES49" si="10">CE7</f>
        <v>46657.35</v>
      </c>
      <c r="ET5" s="44">
        <f>SUM(G7,L7,AA7,AP7,BT7,-CE6)</f>
        <v>109586.05010528938</v>
      </c>
      <c r="EU5" s="44">
        <f t="shared" ref="EU5:EU44" si="11">$D$3+$I$3+$X$3+$AH$3+BT7-CE6</f>
        <v>927009.67997066327</v>
      </c>
      <c r="EV5" s="44">
        <f>0.5*($D$3+$I$3+$X$3+$AM$3)+0.5*($G7+$L7+$AA7+$AP7)+BT7-CE6</f>
        <v>518297.86503797636</v>
      </c>
      <c r="EW5" s="44">
        <f>0.8*($D$3+$I$3+$X$3+$AM$3)+0.2*($G7+$L7+$AA7+$AP7)+BT7-CE6</f>
        <v>763524.9539975886</v>
      </c>
      <c r="EX5" s="44">
        <f>0.6*($D$3+$I$3+$X$3+$AM$3)+0.4*($G7+$L7+$AA7+$AP7)+BT7-CE6</f>
        <v>600040.22802451369</v>
      </c>
      <c r="EY5" s="44">
        <f>0.4*($D$3+$I$3+$X$3+$AM$3)+0.6*($G7+$L7+$AA7+$AP7)+BT7-CE6</f>
        <v>436555.50205143902</v>
      </c>
      <c r="EZ5" s="44">
        <f>0.2*($D$3+$I$3+$X$3+$AM$3)+0.6*($G7+$L7+$AA7+$AP7)+BT7-CE6</f>
        <v>256831.24184735733</v>
      </c>
      <c r="FA5" s="44">
        <f>SUM(Q7,V7,AF7,AZ7,BY7,-CE6)</f>
        <v>72110.481403569662</v>
      </c>
      <c r="FB5" s="44">
        <f>CJ7</f>
        <v>0</v>
      </c>
      <c r="FC5">
        <f>YEAR(CQ4)</f>
        <v>2024</v>
      </c>
      <c r="FD5" s="36">
        <f>IF(CS4-FC5=0,1,CS4-FC5)</f>
        <v>1</v>
      </c>
      <c r="FE5" s="36">
        <f>YEAR(CQ12)</f>
        <v>2025</v>
      </c>
      <c r="FF5" s="36">
        <f>IF(CS4-FE5=0,1,CS4-FE5)</f>
        <v>1</v>
      </c>
      <c r="FG5" s="138">
        <f>'Input Sheet'!R3</f>
        <v>2025</v>
      </c>
      <c r="FH5" s="90">
        <f>_xlfn.XLOOKUP(FD5,$DJ$5:$DJ$54,$DK$5:$DK$54,0)</f>
        <v>66073.05</v>
      </c>
      <c r="FI5" s="90">
        <f>_xlfn.XLOOKUP(FF5,$DJ$5:$DJ$54,$DT$5:$DT$54,0)</f>
        <v>0</v>
      </c>
      <c r="FJ5" s="90">
        <f>SUM(FH5,FI5)</f>
        <v>66073.05</v>
      </c>
      <c r="FK5" s="90">
        <f>_xlfn.XLOOKUP(FD5,EG5:EG54,DW5:DW54)</f>
        <v>113694.10179921797</v>
      </c>
      <c r="FL5" s="90" cm="1">
        <f t="array" ref="FL5">IF($CQ$5&lt;$CP$5,_xlfn.XLOOKUP(FD5,$EG$5:$EG$54,DY5:DY54),IF(OR(AND($CQ$5&gt;$CP$5,$CQ$5&lt;$CO$5),OR($CQ$5&gt;=$CL$5)),_xlfn.XLOOKUP(FD5,$EG$5:$EG$54,$DX$5:$DX$54),IF(AND($CQ$5&gt;$CO$5,$CQ$5&lt;$CN$5),_xlfn.XLOOKUP($FD$5,$EG5:$EG$54,$DZ$5:$DZ$54),IF(AND($CQ$5&gt;$CN$5,$CQ$5&lt;$CM$5),_xlfn.XLOOKUP($FD$5,$EG5:$EG$54,$EA5:$EA$54),IF(AND($CQ$5&gt;$CM$5,$CQ$5&lt;$CL$5),_xlfn.XLOOKUP(FD5,$EG$5:$EG$54,$EB$5:$EB$54),_xlfn.XLOOKUP(FD5,$EG$5:$EG$54,DX5:DX54))))))</f>
        <v>569422.71841568721</v>
      </c>
      <c r="FM5" s="90">
        <f>_xlfn.XLOOKUP(FD5,$EG$5:$EG$54,$ED$5:$ED$54)</f>
        <v>35774.152819608986</v>
      </c>
      <c r="FO5">
        <f>YEAR(CQ4)</f>
        <v>2024</v>
      </c>
      <c r="FP5" s="36">
        <f>IF(CS4-FO5=0,1,CS4-FO5)</f>
        <v>1</v>
      </c>
      <c r="FQ5" s="36">
        <f>FE5</f>
        <v>2025</v>
      </c>
      <c r="FR5" s="36">
        <f>IF(CS4-FQ5=0,1,CS4-FQ5)</f>
        <v>1</v>
      </c>
      <c r="FS5" s="138">
        <f>'Input Sheet'!R3</f>
        <v>2025</v>
      </c>
      <c r="FT5" s="90">
        <f>_xlfn.XLOOKUP(FP5,$EG$5:$EG$54,$EH$5:$EH$54,0)</f>
        <v>46657.35</v>
      </c>
      <c r="FU5" s="90">
        <f>_xlfn.XLOOKUP(FR5,$EG$5:$EG$54,$EQ$5:$EQ$54,0)</f>
        <v>0</v>
      </c>
      <c r="FV5" s="90">
        <f>SUM(FT5,FU5)</f>
        <v>46657.35</v>
      </c>
      <c r="FW5" s="90">
        <f>_xlfn.XLOOKUP(FP5,EG5:EG54,ET5:ET54)</f>
        <v>109586.05010528938</v>
      </c>
      <c r="FX5" s="208">
        <f>IF($CQ$5&lt;$CP$5,_xlfn.XLOOKUP(FD5,$EG$5:$EG$54,$EV$5:$EV$54),IF(OR(AND($CQ$5&gt;$CP$5,$CQ$5&lt;$CO$5),OR($CQ$5&gt;=$CL$5)),_xlfn.XLOOKUP(FD5,$EG$5:$EG$54,$EU$5:$EU$54),IF(AND($CQ$5&gt;$CO$5,$CQ$5&lt;$CN$5),_xlfn.XLOOKUP(FD5,$EG$5:$EG$54,$EW$5:$EW$54),IF(AND($CQ$5&gt;$CN$5,$CQ$5&lt;$CM$5),_xlfn.XLOOKUP(FD5,$EG$5:$EG$54,$EX$5:$EX$54),IF(AND($CQ$5&gt;$CM$5,$CQ$5&lt;$CL$5),_xlfn.XLOOKUP(FD5,$EG$5:$EG$54,$EY$5:$EY$54),"")))))</f>
        <v>600040.22802451369</v>
      </c>
      <c r="FY5" s="90">
        <f>_xlfn.XLOOKUP(FP5,$EG$5:$EG$54,$FA$5:$FA$54)</f>
        <v>72110.481403569662</v>
      </c>
    </row>
    <row r="6" spans="1:183" x14ac:dyDescent="0.25">
      <c r="C6" s="48">
        <v>0</v>
      </c>
      <c r="D6" s="42">
        <v>0</v>
      </c>
      <c r="E6" s="43">
        <v>0</v>
      </c>
      <c r="F6" s="43">
        <v>0</v>
      </c>
      <c r="G6" s="43">
        <v>0</v>
      </c>
      <c r="H6" s="43">
        <v>0</v>
      </c>
      <c r="I6" s="44">
        <v>0</v>
      </c>
      <c r="J6" s="44">
        <v>0</v>
      </c>
      <c r="K6" s="44">
        <v>0</v>
      </c>
      <c r="L6" s="44">
        <v>0</v>
      </c>
      <c r="M6" s="44">
        <v>0</v>
      </c>
      <c r="N6" s="42">
        <v>0</v>
      </c>
      <c r="O6" s="43">
        <v>0</v>
      </c>
      <c r="P6" s="43">
        <v>0</v>
      </c>
      <c r="Q6" s="43">
        <v>0</v>
      </c>
      <c r="R6" s="43">
        <v>0</v>
      </c>
      <c r="S6" s="44">
        <v>0</v>
      </c>
      <c r="T6" s="44">
        <v>0</v>
      </c>
      <c r="U6" s="44">
        <v>0</v>
      </c>
      <c r="V6" s="44">
        <v>0</v>
      </c>
      <c r="W6" s="44">
        <v>0</v>
      </c>
      <c r="X6" s="43">
        <v>0</v>
      </c>
      <c r="Y6" s="43">
        <v>0</v>
      </c>
      <c r="Z6" s="43">
        <v>0</v>
      </c>
      <c r="AA6" s="43">
        <v>0</v>
      </c>
      <c r="AB6" s="43">
        <v>0</v>
      </c>
      <c r="AC6" s="104">
        <v>0</v>
      </c>
      <c r="AD6" s="104">
        <v>0</v>
      </c>
      <c r="AE6" s="104">
        <v>0</v>
      </c>
      <c r="AF6" s="104">
        <v>0</v>
      </c>
      <c r="AG6" s="104">
        <v>0</v>
      </c>
      <c r="AH6" s="44">
        <v>0</v>
      </c>
      <c r="AI6" s="44">
        <v>0</v>
      </c>
      <c r="AJ6" s="44">
        <v>0</v>
      </c>
      <c r="AK6" s="44">
        <v>0</v>
      </c>
      <c r="AL6" s="44">
        <v>0</v>
      </c>
      <c r="AM6" s="43">
        <v>0</v>
      </c>
      <c r="AN6" s="43">
        <v>0</v>
      </c>
      <c r="AO6" s="43">
        <v>0</v>
      </c>
      <c r="AP6" s="43">
        <v>0</v>
      </c>
      <c r="AQ6" s="43">
        <v>0</v>
      </c>
      <c r="AR6" s="44">
        <v>0</v>
      </c>
      <c r="AS6" s="44">
        <v>0</v>
      </c>
      <c r="AT6" s="44">
        <v>0</v>
      </c>
      <c r="AU6" s="44">
        <v>0</v>
      </c>
      <c r="AV6" s="44">
        <v>0</v>
      </c>
      <c r="AW6" s="43">
        <v>0</v>
      </c>
      <c r="AX6" s="43">
        <v>0</v>
      </c>
      <c r="AY6" s="43">
        <v>0</v>
      </c>
      <c r="AZ6" s="43">
        <v>0</v>
      </c>
      <c r="BA6" s="43">
        <v>0</v>
      </c>
      <c r="BB6" s="45">
        <v>0</v>
      </c>
      <c r="BC6" s="227">
        <v>0</v>
      </c>
      <c r="BD6" s="45">
        <v>0</v>
      </c>
      <c r="BE6" s="45">
        <v>0</v>
      </c>
      <c r="BF6" s="45">
        <v>0</v>
      </c>
      <c r="BG6" s="46">
        <v>0</v>
      </c>
      <c r="BH6" s="46">
        <v>0</v>
      </c>
      <c r="BI6" s="46">
        <v>0</v>
      </c>
      <c r="BJ6" s="46">
        <v>0</v>
      </c>
      <c r="BK6" s="46">
        <v>0</v>
      </c>
      <c r="BL6" s="46">
        <v>0</v>
      </c>
      <c r="BM6" s="46">
        <v>0</v>
      </c>
      <c r="BN6" s="46">
        <v>0</v>
      </c>
      <c r="BO6" s="46">
        <v>0</v>
      </c>
      <c r="BP6" s="46">
        <v>0</v>
      </c>
      <c r="BQ6" s="44">
        <v>0</v>
      </c>
      <c r="BR6" s="44">
        <v>0</v>
      </c>
      <c r="BS6" s="44">
        <v>0</v>
      </c>
      <c r="BT6" s="44">
        <v>0</v>
      </c>
      <c r="BU6" s="44">
        <v>0</v>
      </c>
      <c r="BV6" s="44">
        <v>0</v>
      </c>
      <c r="BW6" s="44">
        <v>0</v>
      </c>
      <c r="BX6" s="44">
        <v>0</v>
      </c>
      <c r="BY6" s="44">
        <v>0</v>
      </c>
      <c r="BZ6" s="44">
        <v>0</v>
      </c>
      <c r="CA6" s="44">
        <v>0</v>
      </c>
      <c r="CB6" s="43">
        <v>0</v>
      </c>
      <c r="CC6" s="43">
        <v>0</v>
      </c>
      <c r="CD6" s="43">
        <v>0</v>
      </c>
      <c r="CE6" s="43">
        <v>0</v>
      </c>
      <c r="CF6" s="43">
        <v>0</v>
      </c>
      <c r="CG6" s="43">
        <v>0</v>
      </c>
      <c r="CH6" s="43">
        <v>0</v>
      </c>
      <c r="CI6" s="43">
        <v>0</v>
      </c>
      <c r="CJ6" s="43">
        <v>0</v>
      </c>
      <c r="CK6" s="43">
        <v>0</v>
      </c>
      <c r="CN6" s="101"/>
      <c r="CQ6">
        <f>MONTH(CQ4)</f>
        <v>3</v>
      </c>
      <c r="CR6"/>
      <c r="CS6"/>
      <c r="CT6">
        <f>CT4*12</f>
        <v>-38.439425051334702</v>
      </c>
      <c r="CU6">
        <f>CT6-1</f>
        <v>-39.439425051334702</v>
      </c>
      <c r="CV6"/>
      <c r="CW6"/>
      <c r="CX6"/>
      <c r="CY6"/>
      <c r="CZ6"/>
      <c r="DA6"/>
      <c r="DB6"/>
      <c r="DC6" s="54"/>
      <c r="DD6"/>
      <c r="DE6"/>
      <c r="DJ6" s="22">
        <v>2</v>
      </c>
      <c r="DK6" s="44">
        <f t="shared" ref="DK6:DK54" si="12">BI8</f>
        <v>83446.200000000012</v>
      </c>
      <c r="DL6" s="44">
        <f t="shared" ref="DL6:DL36" si="13">SUM(F8,K8,AJ8,BD8)</f>
        <v>177171.92789882695</v>
      </c>
      <c r="DM6" s="44">
        <f t="shared" si="1"/>
        <v>53227.549440000003</v>
      </c>
      <c r="DN6" s="44">
        <f t="shared" si="2"/>
        <v>115199.73866941348</v>
      </c>
      <c r="DO6" s="44">
        <f t="shared" ref="DO6:DO54" si="14">0.2*(F8+K8+AO8)+BD8</f>
        <v>78016.425131765398</v>
      </c>
      <c r="DP6" s="44">
        <f t="shared" ref="DP6:DP54" si="15">0.4*(F8+K8+AO8)+BD8</f>
        <v>102805.30082353079</v>
      </c>
      <c r="DQ6" s="44">
        <f t="shared" ref="DQ6:DQ54" si="16">0.6*(F8+K8+AO8)+BD8</f>
        <v>127594.17651529617</v>
      </c>
      <c r="DR6" s="44">
        <f t="shared" ref="DR6:DR54" si="17">0.8*(F8+K8+AO8)+BD8</f>
        <v>152383.05220706156</v>
      </c>
      <c r="DS6" s="44">
        <f t="shared" si="3"/>
        <v>71548.305639217971</v>
      </c>
      <c r="DT6" s="44">
        <f t="shared" ref="DT6:DT33" si="18">BN8</f>
        <v>0</v>
      </c>
      <c r="DV6" s="44">
        <f t="shared" si="4"/>
        <v>149519.25</v>
      </c>
      <c r="DW6" s="44">
        <f>SUM(G8,L8,AP8,BE8,-BJ7)</f>
        <v>224792.97969804495</v>
      </c>
      <c r="DX6" s="44">
        <f t="shared" ref="DX6:DX32" si="19">$D$3+$I$3+$AM$3+BE8-BJ7</f>
        <v>860396.29560000007</v>
      </c>
      <c r="DY6" s="44">
        <f>0.5*($D$3+$I$3+$AM$3+$G8+$L8+$AP8)+BE8-BJ7</f>
        <v>542594.63764902251</v>
      </c>
      <c r="DZ6" s="44">
        <f t="shared" ref="DZ6:DZ10" si="20">0.8*($D$3+$I$3+$AM$3)+0.2*($G8+$L8+$AP8)+BE8-BJ7</f>
        <v>733275.63241960912</v>
      </c>
      <c r="EA6" s="44">
        <f t="shared" ref="EA6:EA34" si="21">0.6*($D$3+$I$3+$AM$3)+0.4*($G8+$L8+$AP8)+BE8-BJ7</f>
        <v>606154.96923921793</v>
      </c>
      <c r="EB6" s="44">
        <f t="shared" ref="EB6:EB34" si="22">0.4*($D$3+$I$3+$AM$3)+0.6*($G8+$L8+$AP8)+BE8-BJ7</f>
        <v>479034.30605882703</v>
      </c>
      <c r="EC6" s="44">
        <f t="shared" ref="EC6:EC34" si="23">0.2*($D$3+$I$3+$AM$3)+0.6*($G8+$L8+$AP8)+BE8-BJ7</f>
        <v>312815.10605882702</v>
      </c>
      <c r="ED6" s="44">
        <f>SUM(Q8,V8,AU8,BO8,-BJ7)</f>
        <v>41249.408458826962</v>
      </c>
      <c r="EE6" s="44">
        <f t="shared" ref="EE6:EE34" si="24">BO8</f>
        <v>0</v>
      </c>
      <c r="EG6" s="22">
        <v>2</v>
      </c>
      <c r="EH6" s="44">
        <f t="shared" si="5"/>
        <v>58843.799999999996</v>
      </c>
      <c r="EI6" s="44">
        <f t="shared" si="6"/>
        <v>176284.47452056163</v>
      </c>
      <c r="EJ6" s="44">
        <f t="shared" si="7"/>
        <v>35803.149841836734</v>
      </c>
      <c r="EK6" s="44">
        <f t="shared" si="8"/>
        <v>106043.81218119917</v>
      </c>
      <c r="EL6" s="44">
        <f t="shared" ref="EL6:EL44" si="25">0.2*(F8+K8+Z8+AO8)+BS8</f>
        <v>63899.414777581711</v>
      </c>
      <c r="EM6" s="44">
        <f t="shared" ref="EM6:EM54" si="26">0.4*(F8+K8+Z8+AO8)+BS8</f>
        <v>91995.679713326695</v>
      </c>
      <c r="EN6" s="44">
        <f t="shared" ref="EN6:EN54" si="27">0.6*(F8+K8+Z8+AO8)+BS8</f>
        <v>120091.94464907167</v>
      </c>
      <c r="EO6" s="44">
        <f t="shared" ref="EO6:EO54" si="28">0.8*(F8+K8+Z8+AO8)+BS8</f>
        <v>148188.20958481665</v>
      </c>
      <c r="EP6" s="44">
        <f t="shared" si="9"/>
        <v>123861.76137601688</v>
      </c>
      <c r="EQ6" s="44">
        <f t="shared" ref="EQ6:EQ54" si="29">CI8</f>
        <v>0</v>
      </c>
      <c r="ES6" s="44">
        <f t="shared" si="10"/>
        <v>105501.15</v>
      </c>
      <c r="ET6" s="44">
        <f>SUM(G8,L8,AA8,AP8,BT8,-CE7)</f>
        <v>239213.17462585101</v>
      </c>
      <c r="EU6" s="44">
        <f t="shared" si="11"/>
        <v>916155.47981250007</v>
      </c>
      <c r="EV6" s="44">
        <f>0.5*($D$3+$I$3+$X$3+$AM$3)+0.5*($G8+$L8+$AA8+$AP8)+BT8-CE7</f>
        <v>577684.32721917552</v>
      </c>
      <c r="EW6" s="44">
        <f t="shared" ref="EW6:EW10" si="30">0.8*($D$3+$I$3+$X$3+$AM$3)+0.2*($G8+$L8+$AA8+$AP8)+BT8-CE7</f>
        <v>780767.01877517032</v>
      </c>
      <c r="EX6" s="44">
        <f t="shared" ref="EX6:EX44" si="31">0.6*($D$3+$I$3+$X$3+$AM$3)+0.4*($G8+$L8+$AA8+$AP8)+BT8-CE7</f>
        <v>645378.55773784046</v>
      </c>
      <c r="EY6" s="44">
        <f t="shared" ref="EY6:EY44" si="32">0.4*($D$3+$I$3+$X$3+$AM$3)+0.6*($G8+$L8+$AA8+$AP8)+BT8-CE7</f>
        <v>509990.09670051071</v>
      </c>
      <c r="EZ6" s="44">
        <f t="shared" ref="EZ6:EZ44" si="33">0.2*($D$3+$I$3+$X$3+$AM$3)+0.6*($G8+$L8+$AA8+$AP8)+BT8-CE7</f>
        <v>330265.83649642899</v>
      </c>
      <c r="FA6" s="44">
        <f>SUM(Q8,V8,AF8,AZ8,BY8,-CE7)</f>
        <v>149314.89277958652</v>
      </c>
      <c r="FB6" s="44">
        <f t="shared" ref="FB6:FB54" si="34">CJ8</f>
        <v>0</v>
      </c>
      <c r="FD6" s="22">
        <f>FD5+1</f>
        <v>2</v>
      </c>
      <c r="FF6" s="22">
        <f>FF5+1</f>
        <v>2</v>
      </c>
      <c r="FG6" s="138">
        <f>FG5+1</f>
        <v>2026</v>
      </c>
      <c r="FH6" s="90">
        <f t="shared" ref="FH6:FH54" si="35">_xlfn.XLOOKUP(FD6,$DJ$5:$DJ$54,$DK$5:$DK$54,0)</f>
        <v>83446.200000000012</v>
      </c>
      <c r="FI6" s="90">
        <f t="shared" ref="FI6:FI54" si="36">_xlfn.XLOOKUP(FF6,$DJ$5:$DJ$54,$DT$5:$DT$54,0)</f>
        <v>0</v>
      </c>
      <c r="FJ6" s="90">
        <f t="shared" ref="FJ6:FJ54" si="37">SUM(FH6,FI6)</f>
        <v>83446.200000000012</v>
      </c>
      <c r="FK6" s="44">
        <f>_xlfn.XLOOKUP(FD6,$EG$5:$EG$54,$DL$5:$DL$54,0)</f>
        <v>177171.92789882695</v>
      </c>
      <c r="FL6" s="90" cm="1">
        <f t="array" ref="FL6">IF($CQ$5&lt;$CP$5,_xlfn.XLOOKUP(FD6,$EG$5:$EG$54,$DN$5:$DN$54),IF(OR(AND($CQ$5&gt;$CP$5,$CQ$5&lt;$CO$5),OR($CQ$5&gt;=$CL$5)),_xlfn.XLOOKUP(FD6,$EG$5:$EG$54,$DM$5:DM$54),IF(AND($CQ$5&gt;$CO$5,$CQ$5&lt;$CN$5),_xlfn.XLOOKUP(FD6,$EG$5:$EG$54,$DO$5:$DO$54),IF(AND($CQ$5&gt;$CN$5,$CQ$5&lt;$CM$5),_xlfn.XLOOKUP(FD6,$EG$5:$EG$54,$DP$5:$DP$54),IF(AND($CQ$5&gt;$CM$5,$CQ$5&lt;$CL$5),_xlfn.XLOOKUP(FD6,$EG$5:$EG$54,$DQ$5:$DQ$54))))))</f>
        <v>102805.30082353079</v>
      </c>
      <c r="FM6" s="44">
        <f>_xlfn.XLOOKUP(FD6,$EG$5:$EG$54,$DS$5:$DS$54,0)</f>
        <v>71548.305639217971</v>
      </c>
      <c r="FP6" s="22">
        <f>FP5+1</f>
        <v>2</v>
      </c>
      <c r="FR6" s="22">
        <f>FR5+1</f>
        <v>2</v>
      </c>
      <c r="FS6" s="138">
        <f>FS5+1</f>
        <v>2026</v>
      </c>
      <c r="FT6" s="90">
        <f t="shared" ref="FT6:FT54" si="38">_xlfn.XLOOKUP(FP6,$EG$5:$EG$54,$EH$5:$EH$54,0)</f>
        <v>58843.799999999996</v>
      </c>
      <c r="FU6" s="90">
        <f t="shared" ref="FU6:FU54" si="39">_xlfn.XLOOKUP(FR6,$EG$5:$EG$54,$EQ$5:$EQ$54,0)</f>
        <v>0</v>
      </c>
      <c r="FV6" s="90">
        <f t="shared" ref="FV6:FV54" si="40">SUM(FT6,FU6)</f>
        <v>58843.799999999996</v>
      </c>
      <c r="FW6" s="44">
        <f>_xlfn.XLOOKUP(FP6,$EG$5:$EG$54,$EI$5:$EI$54,0)</f>
        <v>176284.47452056163</v>
      </c>
      <c r="FX6" s="90" cm="1">
        <f t="array" ref="FX6">IF($CQ$5&lt;$CP$5,_xlfn.XLOOKUP(FP6,$EG$5:$EG$54,$EK$5:$EK$54),IF(OR(AND($CQ$5&gt;$CP$5,$CQ$5&lt;$CO$5),OR($CQ$5&gt;=$CL$5)),_xlfn.XLOOKUP(FP6,$EG$5:$EG$54,$EJ$5:$EJ$54),IF(AND($CQ$5&gt;$CO$5,$CQ$5&lt;$CN$5),_xlfn.XLOOKUP(FP6,$EG$5:$EG$54,$EL$5:$EL$54),IF(AND($CQ$5&gt;$CN$5,$CQ$5&lt;$CM$5),_xlfn.XLOOKUP(FP6,$EG$5:$EG$54,$EM$5:$EM$54),_xlfn.XLOOKUP(FP6,$EG$5:$EG$54,$EN$5:EN$54,IF(AND($CQ$5&gt;$CM$5,$CQ$5&lt;$CL$5),_xlfn.XLOOKUP(FD5,$EG$5:$EG$54,$EY$5:$EY$54),""))))))</f>
        <v>91995.679713326695</v>
      </c>
      <c r="FY6" s="44">
        <f>_xlfn.XLOOKUP(FP6,$EG$5:$EG$54,$EP$5:$EP$54,0)</f>
        <v>123861.76137601688</v>
      </c>
    </row>
    <row r="7" spans="1:183" x14ac:dyDescent="0.25">
      <c r="A7" s="22" t="s">
        <v>75</v>
      </c>
      <c r="C7" s="48">
        <v>1</v>
      </c>
      <c r="D7" s="42">
        <f>D3</f>
        <v>160650.00000000003</v>
      </c>
      <c r="E7" s="58">
        <v>0.2</v>
      </c>
      <c r="F7" s="43">
        <f t="shared" ref="F7:F12" si="41">$D$3*E7</f>
        <v>32130.000000000007</v>
      </c>
      <c r="G7" s="43">
        <f>F7</f>
        <v>32130.000000000007</v>
      </c>
      <c r="H7" s="43">
        <f>D7-G7</f>
        <v>128520.00000000003</v>
      </c>
      <c r="I7" s="44">
        <f>I3</f>
        <v>39306.704261453058</v>
      </c>
      <c r="J7" s="59">
        <v>0.2</v>
      </c>
      <c r="K7" s="44">
        <f t="shared" ref="K7:K12" si="42">$I$3*J7</f>
        <v>7861.340852290612</v>
      </c>
      <c r="L7" s="44">
        <f>K7</f>
        <v>7861.340852290612</v>
      </c>
      <c r="M7" s="44">
        <f>I7-L7</f>
        <v>31445.363409162448</v>
      </c>
      <c r="N7" s="42">
        <f>N3</f>
        <v>160650.00000000003</v>
      </c>
      <c r="O7" s="58">
        <f>$CN$75</f>
        <v>0.1</v>
      </c>
      <c r="P7" s="43">
        <f t="shared" ref="P7:P12" si="43">$D$3*O7</f>
        <v>16065.000000000004</v>
      </c>
      <c r="Q7" s="43">
        <f>P7</f>
        <v>16065.000000000004</v>
      </c>
      <c r="R7" s="43">
        <f>N7-Q7</f>
        <v>144585.00000000003</v>
      </c>
      <c r="S7" s="44">
        <f>S3</f>
        <v>160650.00000000003</v>
      </c>
      <c r="T7" s="58">
        <f>$CN$75</f>
        <v>0.1</v>
      </c>
      <c r="U7" s="44">
        <f t="shared" ref="U7:U12" si="44">$I$3*T7</f>
        <v>3930.670426145306</v>
      </c>
      <c r="V7" s="44">
        <f>U7</f>
        <v>3930.670426145306</v>
      </c>
      <c r="W7" s="44">
        <f>S7-V7</f>
        <v>156719.32957385472</v>
      </c>
      <c r="X7" s="43">
        <f>X3</f>
        <v>67525.301020408078</v>
      </c>
      <c r="Y7" s="58">
        <v>0.1429</v>
      </c>
      <c r="Z7" s="43">
        <f>$X$3*Y7</f>
        <v>9649.3655158163147</v>
      </c>
      <c r="AA7" s="43">
        <f>Z7</f>
        <v>9649.3655158163147</v>
      </c>
      <c r="AB7" s="43">
        <f>X7-AA7</f>
        <v>57875.935504591762</v>
      </c>
      <c r="AC7" s="104">
        <f>AC3</f>
        <v>68850</v>
      </c>
      <c r="AD7" s="106">
        <v>0.05</v>
      </c>
      <c r="AE7" s="104">
        <f>$AC$3*AD7</f>
        <v>3442.5</v>
      </c>
      <c r="AF7" s="104">
        <f>AE7</f>
        <v>3442.5</v>
      </c>
      <c r="AG7" s="104">
        <f>AC7-AF7</f>
        <v>65407.5</v>
      </c>
      <c r="AH7" s="44">
        <f>AH3</f>
        <v>631139.29573854699</v>
      </c>
      <c r="AI7" s="59">
        <v>0.05</v>
      </c>
      <c r="AJ7" s="44">
        <f>$AH$3*AI7</f>
        <v>31556.96478692735</v>
      </c>
      <c r="AK7" s="44">
        <f>AJ7</f>
        <v>31556.96478692735</v>
      </c>
      <c r="AL7" s="44">
        <f>AH7-AK7</f>
        <v>599582.33095161966</v>
      </c>
      <c r="AM7" s="43">
        <f>AM3</f>
        <v>631139.29573854699</v>
      </c>
      <c r="AN7" s="58">
        <v>0.05</v>
      </c>
      <c r="AO7" s="43">
        <f>$AM$3*AN7</f>
        <v>31556.96478692735</v>
      </c>
      <c r="AP7" s="43">
        <f>AO7</f>
        <v>31556.96478692735</v>
      </c>
      <c r="AQ7" s="43">
        <f>AM7-AP7</f>
        <v>599582.33095161966</v>
      </c>
      <c r="AR7" s="44">
        <f>AR3</f>
        <v>631139.29573854699</v>
      </c>
      <c r="AS7" s="59">
        <v>2.5000000000000001E-2</v>
      </c>
      <c r="AT7" s="44">
        <f>$AR$3*AS7</f>
        <v>15778.482393463675</v>
      </c>
      <c r="AU7" s="44">
        <f>AT7</f>
        <v>15778.482393463675</v>
      </c>
      <c r="AV7" s="44">
        <f>AR7-AU7</f>
        <v>615360.81334508327</v>
      </c>
      <c r="AW7" s="43">
        <f>AW3</f>
        <v>631139.29573854699</v>
      </c>
      <c r="AX7" s="59">
        <f>$CN$83</f>
        <v>3.3333333333333333E-2</v>
      </c>
      <c r="AY7" s="43">
        <f>$AM$3*AX7</f>
        <v>21037.976524618232</v>
      </c>
      <c r="AZ7" s="43">
        <f>AY7</f>
        <v>21037.976524618232</v>
      </c>
      <c r="BA7" s="43">
        <f>AW7-AZ7</f>
        <v>610101.31921392877</v>
      </c>
      <c r="BB7" s="45">
        <f>BB3</f>
        <v>1463904</v>
      </c>
      <c r="BC7" s="227">
        <f>VLOOKUP($CQ$6,$CM$109:$DP$120,2,TRUE)</f>
        <v>2.879E-2</v>
      </c>
      <c r="BD7" s="45">
        <f>$BB$3*BC7</f>
        <v>42145.796159999998</v>
      </c>
      <c r="BE7" s="45">
        <f>BD7</f>
        <v>42145.796159999998</v>
      </c>
      <c r="BF7" s="45">
        <f>BB7-BE7</f>
        <v>1421758.2038400001</v>
      </c>
      <c r="BG7" s="46">
        <f>BG3</f>
        <v>2295000</v>
      </c>
      <c r="BH7" s="60">
        <f>VLOOKUP($CQ$6,$CM$109:$DP$120,2,TRUE)</f>
        <v>2.879E-2</v>
      </c>
      <c r="BI7" s="46">
        <f>$BG$3*BH7</f>
        <v>66073.05</v>
      </c>
      <c r="BJ7" s="46">
        <f>BI7</f>
        <v>66073.05</v>
      </c>
      <c r="BK7" s="46">
        <f>BG7-BJ7</f>
        <v>2228926.9500000002</v>
      </c>
      <c r="BL7" s="46">
        <f>BL3</f>
        <v>0</v>
      </c>
      <c r="BM7" s="60">
        <f>VLOOKUP($CQ$13,$CM$109:$DP$120,2,TRUE)</f>
        <v>1.5200000000000001E-3</v>
      </c>
      <c r="BN7" s="46">
        <f>$BL$3*BM7</f>
        <v>0</v>
      </c>
      <c r="BO7" s="46">
        <f>BN7</f>
        <v>0</v>
      </c>
      <c r="BP7" s="46">
        <f>BL7-BO7</f>
        <v>0</v>
      </c>
      <c r="BQ7" s="44">
        <f>BQ3</f>
        <v>1396378.6989795917</v>
      </c>
      <c r="BR7" s="100">
        <f>VLOOKUP($CQ$6,$CM$125:$CN$136,2,TRUE)</f>
        <v>2.0330000000000001E-2</v>
      </c>
      <c r="BS7" s="44">
        <f t="shared" ref="BS7:BS45" si="45">$BQ$3*BR7</f>
        <v>28388.378950255101</v>
      </c>
      <c r="BT7" s="44">
        <f>BS7</f>
        <v>28388.378950255101</v>
      </c>
      <c r="BU7" s="44">
        <f>BQ7-BT7</f>
        <v>1367990.3200293367</v>
      </c>
      <c r="BV7" s="44">
        <f>BV3</f>
        <v>1396378.6989795917</v>
      </c>
      <c r="BW7" s="100">
        <f>VLOOKUP($CQ$6,CM88:CN99,2,TRUE)</f>
        <v>1.9789999999999999E-2</v>
      </c>
      <c r="BX7" s="44">
        <f t="shared" ref="BX7:BX45" si="46">$BQ$3*BW7</f>
        <v>27634.334452806117</v>
      </c>
      <c r="BY7" s="44">
        <f>BX7</f>
        <v>27634.334452806117</v>
      </c>
      <c r="BZ7" s="44">
        <f>BV7-BY7</f>
        <v>1368744.3645267857</v>
      </c>
      <c r="CA7" s="59"/>
      <c r="CB7" s="43">
        <f>CB3</f>
        <v>2295000</v>
      </c>
      <c r="CC7" s="100">
        <f>VLOOKUP($CQ$6,$CM$125:$CN$136,2,TRUE)</f>
        <v>2.0330000000000001E-2</v>
      </c>
      <c r="CD7" s="43">
        <f t="shared" ref="CD7:CD45" si="47">$CB$3*CC7</f>
        <v>46657.35</v>
      </c>
      <c r="CE7" s="43">
        <f>CD7</f>
        <v>46657.35</v>
      </c>
      <c r="CF7" s="43">
        <f>CB7-CE7</f>
        <v>2248342.65</v>
      </c>
      <c r="CG7" s="43">
        <f>CG3</f>
        <v>0</v>
      </c>
      <c r="CH7" s="100">
        <f>VLOOKUP($CQ$13,$CM$125:$CN$136,2,TRUE)</f>
        <v>1.07E-3</v>
      </c>
      <c r="CI7" s="43">
        <f>$CG$3*CH7</f>
        <v>0</v>
      </c>
      <c r="CJ7" s="43">
        <f>CI7</f>
        <v>0</v>
      </c>
      <c r="CK7" s="43">
        <f>CG7-CJ7</f>
        <v>0</v>
      </c>
      <c r="CN7" s="101"/>
      <c r="CQ7"/>
      <c r="CR7"/>
      <c r="CS7"/>
      <c r="CT7"/>
      <c r="CU7"/>
      <c r="CV7" s="61" t="s">
        <v>114</v>
      </c>
      <c r="CW7" s="62" t="s">
        <v>115</v>
      </c>
      <c r="CX7"/>
      <c r="CY7"/>
      <c r="CZ7"/>
      <c r="DA7"/>
      <c r="DB7"/>
      <c r="DD7" s="63" t="s">
        <v>105</v>
      </c>
      <c r="DE7" s="64" t="s">
        <v>116</v>
      </c>
      <c r="DJ7" s="22">
        <v>3</v>
      </c>
      <c r="DK7" s="44">
        <f t="shared" si="12"/>
        <v>83446.200000000012</v>
      </c>
      <c r="DL7" s="44">
        <f t="shared" si="13"/>
        <v>145581.64644384477</v>
      </c>
      <c r="DM7" s="44">
        <f t="shared" si="1"/>
        <v>53227.549440000003</v>
      </c>
      <c r="DN7" s="44">
        <f t="shared" si="2"/>
        <v>99404.597941922388</v>
      </c>
      <c r="DO7" s="44">
        <f t="shared" si="14"/>
        <v>71698.368840768962</v>
      </c>
      <c r="DP7" s="44">
        <f t="shared" si="15"/>
        <v>90169.188241537922</v>
      </c>
      <c r="DQ7" s="44">
        <f t="shared" si="16"/>
        <v>108640.00764230685</v>
      </c>
      <c r="DR7" s="44">
        <f t="shared" si="17"/>
        <v>127110.82704307583</v>
      </c>
      <c r="DS7" s="44">
        <f t="shared" si="3"/>
        <v>71548.305639217971</v>
      </c>
      <c r="DT7" s="44">
        <f t="shared" si="18"/>
        <v>0</v>
      </c>
      <c r="DV7" s="44">
        <f t="shared" si="4"/>
        <v>232965.45</v>
      </c>
      <c r="DW7" s="44">
        <f>SUM(G9,L9,AP9,BE9,-BJ8)</f>
        <v>286928.42614188965</v>
      </c>
      <c r="DX7" s="44">
        <f t="shared" si="19"/>
        <v>830177.64504000009</v>
      </c>
      <c r="DY7" s="44">
        <f>0.5*($D$3+$I$3+$AM$3+$G9+$L9+$AP9)+BE9-BJ8</f>
        <v>558553.03559094493</v>
      </c>
      <c r="DZ7" s="44">
        <f t="shared" si="20"/>
        <v>721527.8012603781</v>
      </c>
      <c r="EA7" s="44">
        <f t="shared" si="21"/>
        <v>612877.95748075587</v>
      </c>
      <c r="EB7" s="44">
        <f t="shared" si="22"/>
        <v>504228.11370113387</v>
      </c>
      <c r="EC7" s="44">
        <f t="shared" si="23"/>
        <v>338008.9137011338</v>
      </c>
      <c r="ED7" s="44">
        <f>SUM(Q9,V9,AU9,BO9,-BJ8)</f>
        <v>29351.514098044951</v>
      </c>
      <c r="EE7" s="44">
        <f t="shared" si="24"/>
        <v>0</v>
      </c>
      <c r="EG7" s="22">
        <v>3</v>
      </c>
      <c r="EH7" s="44">
        <f t="shared" si="5"/>
        <v>58843.799999999996</v>
      </c>
      <c r="EI7" s="44">
        <f t="shared" si="6"/>
        <v>139967.42199415088</v>
      </c>
      <c r="EJ7" s="44">
        <f t="shared" si="7"/>
        <v>35803.149841836734</v>
      </c>
      <c r="EK7" s="44">
        <f t="shared" si="8"/>
        <v>87885.28591799381</v>
      </c>
      <c r="EL7" s="44">
        <f t="shared" si="25"/>
        <v>56636.004272299564</v>
      </c>
      <c r="EM7" s="44">
        <f t="shared" si="26"/>
        <v>77468.858702762402</v>
      </c>
      <c r="EN7" s="44">
        <f t="shared" si="27"/>
        <v>98301.713133225217</v>
      </c>
      <c r="EO7" s="44">
        <f t="shared" si="28"/>
        <v>119134.56756368806</v>
      </c>
      <c r="EP7" s="44">
        <f t="shared" si="9"/>
        <v>123861.76137601688</v>
      </c>
      <c r="EQ7" s="44">
        <f t="shared" si="29"/>
        <v>0</v>
      </c>
      <c r="ES7" s="44">
        <f t="shared" si="10"/>
        <v>164344.94999999998</v>
      </c>
      <c r="ET7" s="44">
        <f>SUM(G9,L9,AA9,AP9,BT9,-CE8)</f>
        <v>320336.79662000178</v>
      </c>
      <c r="EU7" s="44">
        <f t="shared" si="11"/>
        <v>893114.82965433667</v>
      </c>
      <c r="EV7" s="44">
        <f>0.5*($D$3+$I$3+$X$3+$AM$3)+0.5*($G9+$L9+$AA9+$AP9)+BT9-CE8</f>
        <v>606725.81313716923</v>
      </c>
      <c r="EW7" s="44">
        <f t="shared" si="30"/>
        <v>778559.22304746974</v>
      </c>
      <c r="EX7" s="44">
        <f t="shared" si="31"/>
        <v>664003.61644060269</v>
      </c>
      <c r="EY7" s="44">
        <f t="shared" si="32"/>
        <v>549448.00983373576</v>
      </c>
      <c r="EZ7" s="44">
        <f t="shared" si="33"/>
        <v>369723.74962965411</v>
      </c>
      <c r="FA7" s="44">
        <f>SUM(Q9,V9,AF9,AZ9,BY9,-CE8)</f>
        <v>214332.85415560342</v>
      </c>
      <c r="FB7" s="44">
        <f t="shared" si="34"/>
        <v>0</v>
      </c>
      <c r="FD7" s="22">
        <f t="shared" ref="FD7:FD54" si="48">FD6+1</f>
        <v>3</v>
      </c>
      <c r="FF7" s="22">
        <f t="shared" ref="FF7:FF54" si="49">FF6+1</f>
        <v>3</v>
      </c>
      <c r="FG7" s="138">
        <f t="shared" ref="FG7:FG54" si="50">FG6+1</f>
        <v>2027</v>
      </c>
      <c r="FH7" s="90">
        <f t="shared" si="35"/>
        <v>83446.200000000012</v>
      </c>
      <c r="FI7" s="90">
        <f t="shared" si="36"/>
        <v>0</v>
      </c>
      <c r="FJ7" s="90">
        <f t="shared" si="37"/>
        <v>83446.200000000012</v>
      </c>
      <c r="FK7" s="44">
        <f t="shared" ref="FK7:FK54" si="51">_xlfn.XLOOKUP(FD7,$EG$5:$EG$54,$DL$5:$DL$54,0)</f>
        <v>145581.64644384477</v>
      </c>
      <c r="FL7" s="90" cm="1">
        <f t="array" ref="FL7">IF($CQ$5&lt;$CP$5,_xlfn.XLOOKUP(FD7,$EG$5:$EG$54,$DN$5:$DN$54),IF(OR(AND($CQ$5&gt;$CP$5,$CQ$5&lt;$CO$5),OR($CQ$5&gt;=$CL$5)),_xlfn.XLOOKUP(FD7,$EG$5:$EG$54,$DM$5:DM$54),IF(AND($CQ$5&gt;$CO$5,$CQ$5&lt;$CN$5),_xlfn.XLOOKUP(FD7,$EG$5:$EG$54,$DO$5:$DO$54),IF(AND($CQ$5&gt;$CN$5,$CQ$5&lt;$CM$5),_xlfn.XLOOKUP(FD7,$EG$5:$EG$54,$DP$5:$DP$54),IF(AND($CQ$5&gt;$CM$5,$CQ$5&lt;$CL$5),_xlfn.XLOOKUP(FD7,$EG$5:$EG$54,$DQ$5:$DQ$54))))))</f>
        <v>90169.188241537922</v>
      </c>
      <c r="FM7" s="44">
        <f t="shared" ref="FM7:FM54" si="52">_xlfn.XLOOKUP(FD7,$EG$5:$EG$54,$DS$5:$DS$54,0)</f>
        <v>71548.305639217971</v>
      </c>
      <c r="FP7" s="22">
        <f t="shared" ref="FP7:FP54" si="53">FP6+1</f>
        <v>3</v>
      </c>
      <c r="FR7" s="22">
        <f t="shared" ref="FR7:FR54" si="54">FR6+1</f>
        <v>3</v>
      </c>
      <c r="FS7" s="138">
        <f t="shared" ref="FS7:FS54" si="55">FS6+1</f>
        <v>2027</v>
      </c>
      <c r="FT7" s="90">
        <f t="shared" si="38"/>
        <v>58843.799999999996</v>
      </c>
      <c r="FU7" s="90">
        <f t="shared" si="39"/>
        <v>0</v>
      </c>
      <c r="FV7" s="90">
        <f t="shared" si="40"/>
        <v>58843.799999999996</v>
      </c>
      <c r="FW7" s="44">
        <f t="shared" ref="FW7:FW54" si="56">_xlfn.XLOOKUP(FP7,$EG$5:$EG$54,$EI$5:$EI$54,0)</f>
        <v>139967.42199415088</v>
      </c>
      <c r="FX7" s="90" cm="1">
        <f t="array" ref="FX7">IF($CQ$5&lt;$CP$5,_xlfn.XLOOKUP(FP7,$EG$5:$EG$54,$EK$5:$EK$54),IF(OR(AND($CQ$5&gt;$CP$5,$CQ$5&lt;$CO$5),OR($CQ$5&gt;=$CL$5)),_xlfn.XLOOKUP(FP7,$EG$5:$EG$54,$EJ$5:$EJ$54),IF(AND($CQ$5&gt;$CO$5,$CQ$5&lt;$CN$5),_xlfn.XLOOKUP(FP7,$EG$5:$EG$54,$EL$5:$EL$54),IF(AND($CQ$5&gt;$CN$5,$CQ$5&lt;$CM$5),_xlfn.XLOOKUP(FP7,$EG$5:$EG$54,$EM$5:$EM$54),_xlfn.XLOOKUP(FP7,$EG$5:$EG$54,$EN$5:EN$54,IF(AND($CQ$5&gt;$CM$5,$CQ$5&lt;$CL$5),_xlfn.XLOOKUP(FD6,$EG$5:$EG$54,$EY$5:$EY$54),""))))))</f>
        <v>77468.858702762402</v>
      </c>
      <c r="FY7" s="44">
        <f t="shared" ref="FY7:FY54" si="57">_xlfn.XLOOKUP(FP7,$EG$5:$EG$54,$EP$5:$EP$54,0)</f>
        <v>123861.76137601688</v>
      </c>
    </row>
    <row r="8" spans="1:183" x14ac:dyDescent="0.25">
      <c r="A8" s="68">
        <f>VLOOKUP('Input Sheet'!J3,Catchup!AR22:AS31,2,FALSE)</f>
        <v>0.2</v>
      </c>
      <c r="C8" s="48">
        <v>2</v>
      </c>
      <c r="D8" s="42">
        <f>H7</f>
        <v>128520.00000000003</v>
      </c>
      <c r="E8" s="58">
        <v>0.32</v>
      </c>
      <c r="F8" s="43">
        <f t="shared" si="41"/>
        <v>51408.000000000007</v>
      </c>
      <c r="G8" s="43">
        <f>G7+F8</f>
        <v>83538.000000000015</v>
      </c>
      <c r="H8" s="43">
        <f>D8-F8</f>
        <v>77112.000000000029</v>
      </c>
      <c r="I8" s="44">
        <f>M7</f>
        <v>31445.363409162448</v>
      </c>
      <c r="J8" s="59">
        <v>0.32</v>
      </c>
      <c r="K8" s="44">
        <f t="shared" si="42"/>
        <v>12578.145363664979</v>
      </c>
      <c r="L8" s="44">
        <f>L7+K8</f>
        <v>20439.486215955592</v>
      </c>
      <c r="M8" s="44">
        <f>I8-K8</f>
        <v>18867.21804549747</v>
      </c>
      <c r="N8" s="42">
        <f>R7</f>
        <v>144585.00000000003</v>
      </c>
      <c r="O8" s="58">
        <f>$CO$75</f>
        <v>0.2</v>
      </c>
      <c r="P8" s="43">
        <f t="shared" si="43"/>
        <v>32130.000000000007</v>
      </c>
      <c r="Q8" s="43">
        <f>Q7+P8</f>
        <v>48195.000000000015</v>
      </c>
      <c r="R8" s="43">
        <f>N8-P8</f>
        <v>112455.00000000003</v>
      </c>
      <c r="S8" s="44">
        <f>W7</f>
        <v>156719.32957385472</v>
      </c>
      <c r="T8" s="58">
        <f>$CO$75</f>
        <v>0.2</v>
      </c>
      <c r="U8" s="44">
        <f t="shared" si="44"/>
        <v>7861.340852290612</v>
      </c>
      <c r="V8" s="44">
        <f>V7+U8</f>
        <v>11792.011278435919</v>
      </c>
      <c r="W8" s="44">
        <f>S8-U8</f>
        <v>148857.98872156409</v>
      </c>
      <c r="X8" s="43">
        <f>AB7</f>
        <v>57875.935504591762</v>
      </c>
      <c r="Y8" s="58">
        <v>0.24490000000000001</v>
      </c>
      <c r="Z8" s="43">
        <f t="shared" ref="Z8:Z14" si="58">$X$3*Y8</f>
        <v>16536.946219897938</v>
      </c>
      <c r="AA8" s="43">
        <f t="shared" ref="AA8:AA14" si="59">AA7+Z8</f>
        <v>26186.311735714255</v>
      </c>
      <c r="AB8" s="43">
        <f t="shared" ref="AB8:AB14" si="60">X8-Z8</f>
        <v>41338.989284693824</v>
      </c>
      <c r="AC8" s="104">
        <f>AG7</f>
        <v>65407.5</v>
      </c>
      <c r="AD8" s="106">
        <v>0.1</v>
      </c>
      <c r="AE8" s="104">
        <f>$AC$3*AD8</f>
        <v>6885</v>
      </c>
      <c r="AF8" s="104">
        <f t="shared" ref="AF8:AF17" si="61">AF7+AE8</f>
        <v>10327.5</v>
      </c>
      <c r="AG8" s="104">
        <f t="shared" ref="AG8:AG17" si="62">AC8-AE8</f>
        <v>58522.5</v>
      </c>
      <c r="AH8" s="44">
        <f>AL7</f>
        <v>599582.33095161966</v>
      </c>
      <c r="AI8" s="59">
        <v>9.5000000000000001E-2</v>
      </c>
      <c r="AJ8" s="44">
        <f t="shared" ref="AJ8:AJ22" si="63">$AH$3*AI8</f>
        <v>59958.233095161966</v>
      </c>
      <c r="AK8" s="44">
        <f>AK7+AJ8</f>
        <v>91515.197882089313</v>
      </c>
      <c r="AL8" s="44">
        <f>AH8-AJ8</f>
        <v>539624.09785645769</v>
      </c>
      <c r="AM8" s="43">
        <f>AQ7</f>
        <v>599582.33095161966</v>
      </c>
      <c r="AN8" s="58">
        <v>9.5000000000000001E-2</v>
      </c>
      <c r="AO8" s="43">
        <f t="shared" ref="AO8:AO22" si="64">$AM$3*AN8</f>
        <v>59958.233095161966</v>
      </c>
      <c r="AP8" s="43">
        <f>AP7+AO8</f>
        <v>91515.197882089313</v>
      </c>
      <c r="AQ8" s="43">
        <f>AM8-AO8</f>
        <v>539624.09785645769</v>
      </c>
      <c r="AR8" s="44">
        <f>AV7</f>
        <v>615360.81334508327</v>
      </c>
      <c r="AS8" s="59">
        <v>0.05</v>
      </c>
      <c r="AT8" s="44">
        <f t="shared" ref="AT8:AT27" si="65">$AR$3*AS8</f>
        <v>31556.96478692735</v>
      </c>
      <c r="AU8" s="44">
        <f>AU7+AT8</f>
        <v>47335.447180391027</v>
      </c>
      <c r="AV8" s="44">
        <f>AR8-AT8</f>
        <v>583803.84855815594</v>
      </c>
      <c r="AW8" s="43">
        <f>BA7</f>
        <v>610101.31921392877</v>
      </c>
      <c r="AX8" s="59">
        <f>$CO$83</f>
        <v>6.6666666666666666E-2</v>
      </c>
      <c r="AY8" s="43">
        <f t="shared" ref="AY8:AY22" si="66">$AM$3*AX8</f>
        <v>42075.953049236465</v>
      </c>
      <c r="AZ8" s="43">
        <f>AZ7+AY8</f>
        <v>63113.929573854693</v>
      </c>
      <c r="BA8" s="43">
        <f>AW8-AY8</f>
        <v>568025.36616469233</v>
      </c>
      <c r="BB8" s="45">
        <f>BF7</f>
        <v>1421758.2038400001</v>
      </c>
      <c r="BC8" s="227">
        <f>VLOOKUP($CQ$6,$CM$109:$DP$120,3,TRUE)</f>
        <v>3.6360000000000003E-2</v>
      </c>
      <c r="BD8" s="45">
        <f t="shared" ref="BD8:BD35" si="67">$BB$3*BC8</f>
        <v>53227.549440000003</v>
      </c>
      <c r="BE8" s="45">
        <f>BE7+BD8</f>
        <v>95373.345600000001</v>
      </c>
      <c r="BF8" s="45">
        <f>BB8-BD8</f>
        <v>1368530.6544000001</v>
      </c>
      <c r="BG8" s="46">
        <f>BK7</f>
        <v>2228926.9500000002</v>
      </c>
      <c r="BH8" s="60">
        <f>VLOOKUP($CQ$6,$CM$109:$DP$120,3,TRUE)</f>
        <v>3.6360000000000003E-2</v>
      </c>
      <c r="BI8" s="46">
        <f t="shared" ref="BI8:BI35" si="68">$BG$3*BH8</f>
        <v>83446.200000000012</v>
      </c>
      <c r="BJ8" s="46">
        <f>BJ7+BI8</f>
        <v>149519.25</v>
      </c>
      <c r="BK8" s="46">
        <f>BG8-BI8</f>
        <v>2145480.75</v>
      </c>
      <c r="BL8" s="46">
        <f>BP7</f>
        <v>0</v>
      </c>
      <c r="BM8" s="60">
        <f>VLOOKUP($CQ$6,$CM$109:$DP$120,3,TRUE)</f>
        <v>3.6360000000000003E-2</v>
      </c>
      <c r="BN8" s="46">
        <f t="shared" ref="BN8:BN35" si="69">$BL$3*BM8</f>
        <v>0</v>
      </c>
      <c r="BO8" s="46">
        <f>BO7+BN8</f>
        <v>0</v>
      </c>
      <c r="BP8" s="46">
        <f>BL8-BN8</f>
        <v>0</v>
      </c>
      <c r="BQ8" s="44">
        <f>BU7</f>
        <v>1367990.3200293367</v>
      </c>
      <c r="BR8" s="100">
        <v>2.564E-2</v>
      </c>
      <c r="BS8" s="44">
        <f t="shared" si="45"/>
        <v>35803.149841836734</v>
      </c>
      <c r="BT8" s="44">
        <f>BT7+BS8</f>
        <v>64191.528792091834</v>
      </c>
      <c r="BU8" s="44">
        <f>BQ8-BS8</f>
        <v>1332187.1701875001</v>
      </c>
      <c r="BV8" s="44">
        <f>BZ7</f>
        <v>1368744.3645267857</v>
      </c>
      <c r="BW8" s="100">
        <v>2.5000000000000001E-2</v>
      </c>
      <c r="BX8" s="44">
        <f t="shared" si="46"/>
        <v>34909.467474489793</v>
      </c>
      <c r="BY8" s="44">
        <f>BY7+BX8</f>
        <v>62543.801927295906</v>
      </c>
      <c r="BZ8" s="44">
        <f>BV8-BX8</f>
        <v>1333834.897052296</v>
      </c>
      <c r="CA8" s="59"/>
      <c r="CB8" s="43">
        <f>CF7</f>
        <v>2248342.65</v>
      </c>
      <c r="CC8" s="100">
        <v>2.564E-2</v>
      </c>
      <c r="CD8" s="43">
        <f t="shared" si="47"/>
        <v>58843.799999999996</v>
      </c>
      <c r="CE8" s="43">
        <f>CE7+CD8</f>
        <v>105501.15</v>
      </c>
      <c r="CF8" s="43">
        <f>CB8-CD8</f>
        <v>2189498.85</v>
      </c>
      <c r="CG8" s="43">
        <f>CK7</f>
        <v>0</v>
      </c>
      <c r="CH8" s="100">
        <v>2.564E-2</v>
      </c>
      <c r="CI8" s="43">
        <f t="shared" ref="CI8:CI46" si="70">$CG$3*CH8</f>
        <v>0</v>
      </c>
      <c r="CJ8" s="43">
        <f>CJ7+CI8</f>
        <v>0</v>
      </c>
      <c r="CK8" s="43">
        <f>CG8-CI8</f>
        <v>0</v>
      </c>
      <c r="CN8" s="101"/>
      <c r="CQ8"/>
      <c r="CR8" s="21">
        <v>43830</v>
      </c>
      <c r="CS8"/>
      <c r="CT8"/>
      <c r="CU8"/>
      <c r="CV8" s="65">
        <v>0.5</v>
      </c>
      <c r="CW8" s="66">
        <v>4.1666666666666664E-2</v>
      </c>
      <c r="CX8" s="67"/>
      <c r="CY8" s="67"/>
      <c r="CZ8" s="67"/>
      <c r="DA8" s="67"/>
      <c r="DB8"/>
      <c r="DC8" s="68"/>
      <c r="DD8" s="69">
        <v>0</v>
      </c>
      <c r="DE8" s="70">
        <v>0</v>
      </c>
      <c r="DJ8" s="22">
        <v>4</v>
      </c>
      <c r="DK8" s="44">
        <f t="shared" si="12"/>
        <v>83446.200000000012</v>
      </c>
      <c r="DL8" s="44">
        <f t="shared" si="13"/>
        <v>124860.28754278753</v>
      </c>
      <c r="DM8" s="44">
        <f t="shared" si="1"/>
        <v>53227.549440000003</v>
      </c>
      <c r="DN8" s="44">
        <f t="shared" si="2"/>
        <v>89043.918491393764</v>
      </c>
      <c r="DO8" s="44">
        <f t="shared" si="14"/>
        <v>67554.097060557513</v>
      </c>
      <c r="DP8" s="44">
        <f t="shared" si="15"/>
        <v>81880.644681115009</v>
      </c>
      <c r="DQ8" s="44">
        <f t="shared" si="16"/>
        <v>96207.192301672505</v>
      </c>
      <c r="DR8" s="44">
        <f t="shared" si="17"/>
        <v>110533.73992223002</v>
      </c>
      <c r="DS8" s="44">
        <f t="shared" si="3"/>
        <v>71548.305639217971</v>
      </c>
      <c r="DT8" s="44">
        <f t="shared" si="18"/>
        <v>0</v>
      </c>
      <c r="DV8" s="44">
        <f t="shared" si="4"/>
        <v>316411.65000000002</v>
      </c>
      <c r="DW8" s="44">
        <f>SUM(G10,L10,AP10,BE10,-BJ9)</f>
        <v>328342.51368467713</v>
      </c>
      <c r="DX8" s="44">
        <f t="shared" si="19"/>
        <v>799958.99448000011</v>
      </c>
      <c r="DY8" s="44">
        <f>0.5*($D$3+$I$3+$AM$3+$G10+$L10+$AP10)+BE10-BJ9</f>
        <v>564150.75408233865</v>
      </c>
      <c r="DZ8" s="44">
        <f t="shared" si="20"/>
        <v>705635.69832093571</v>
      </c>
      <c r="EA8" s="44">
        <f t="shared" si="21"/>
        <v>611312.40216187108</v>
      </c>
      <c r="EB8" s="44">
        <f t="shared" si="22"/>
        <v>516989.10600280639</v>
      </c>
      <c r="EC8" s="44">
        <f t="shared" si="23"/>
        <v>350769.90600280644</v>
      </c>
      <c r="ED8" s="44">
        <f>SUM(Q10,V10,AU10,BO10,-BJ9)</f>
        <v>17453.619737262896</v>
      </c>
      <c r="EE8" s="44">
        <f t="shared" si="24"/>
        <v>0</v>
      </c>
      <c r="EG8" s="22">
        <v>4</v>
      </c>
      <c r="EH8" s="44">
        <f t="shared" si="5"/>
        <v>58843.799999999996</v>
      </c>
      <c r="EI8" s="44">
        <f t="shared" si="6"/>
        <v>115869.79804207323</v>
      </c>
      <c r="EJ8" s="44">
        <f t="shared" si="7"/>
        <v>35803.149841836734</v>
      </c>
      <c r="EK8" s="44">
        <f t="shared" si="8"/>
        <v>75836.473941954988</v>
      </c>
      <c r="EL8" s="44">
        <f t="shared" si="25"/>
        <v>51816.479481884031</v>
      </c>
      <c r="EM8" s="44">
        <f t="shared" si="26"/>
        <v>67829.809121931336</v>
      </c>
      <c r="EN8" s="44">
        <f t="shared" si="27"/>
        <v>83843.138761978626</v>
      </c>
      <c r="EO8" s="44">
        <f t="shared" si="28"/>
        <v>99856.46840202593</v>
      </c>
      <c r="EP8" s="44">
        <f t="shared" si="9"/>
        <v>123861.76137601688</v>
      </c>
      <c r="EQ8" s="44">
        <f t="shared" si="29"/>
        <v>0</v>
      </c>
      <c r="ES8" s="44">
        <f t="shared" si="10"/>
        <v>223188.74999999997</v>
      </c>
      <c r="ET8" s="44">
        <f>SUM(G10,L10,AA10,AP10,BT10,-CE9)</f>
        <v>377362.79466207512</v>
      </c>
      <c r="EU8" s="44">
        <f t="shared" si="11"/>
        <v>870074.17949617351</v>
      </c>
      <c r="EV8" s="44">
        <f>0.5*($D$3+$I$3+$X$3+$AM$3)+0.5*($G10+$L10+$AA10+$AP10)+BT10-CE9</f>
        <v>623718.48707912432</v>
      </c>
      <c r="EW8" s="44">
        <f t="shared" si="30"/>
        <v>771531.90252935397</v>
      </c>
      <c r="EX8" s="44">
        <f t="shared" si="31"/>
        <v>672989.62556253409</v>
      </c>
      <c r="EY8" s="44">
        <f t="shared" si="32"/>
        <v>574447.34859571455</v>
      </c>
      <c r="EZ8" s="44">
        <f t="shared" si="33"/>
        <v>394723.08839163289</v>
      </c>
      <c r="FA8" s="44">
        <f>SUM(Q10,V10,AF10,AZ10,BY10,-CE9)</f>
        <v>279350.81553162041</v>
      </c>
      <c r="FB8" s="44">
        <f t="shared" si="34"/>
        <v>0</v>
      </c>
      <c r="FD8" s="22">
        <f t="shared" si="48"/>
        <v>4</v>
      </c>
      <c r="FF8" s="22">
        <f t="shared" si="49"/>
        <v>4</v>
      </c>
      <c r="FG8" s="138">
        <f t="shared" si="50"/>
        <v>2028</v>
      </c>
      <c r="FH8" s="90">
        <f t="shared" si="35"/>
        <v>83446.200000000012</v>
      </c>
      <c r="FI8" s="90">
        <f t="shared" si="36"/>
        <v>0</v>
      </c>
      <c r="FJ8" s="90">
        <f t="shared" si="37"/>
        <v>83446.200000000012</v>
      </c>
      <c r="FK8" s="44">
        <f t="shared" si="51"/>
        <v>124860.28754278753</v>
      </c>
      <c r="FL8" s="90" cm="1">
        <f t="array" ref="FL8">IF($CQ$5&lt;$CP$5,_xlfn.XLOOKUP(FD8,$EG$5:$EG$54,$DN$5:$DN$54),IF(OR(AND($CQ$5&gt;$CP$5,$CQ$5&lt;$CO$5),OR($CQ$5&gt;=$CL$5)),_xlfn.XLOOKUP(FD8,$EG$5:$EG$54,$DM$5:DM$54),IF(AND($CQ$5&gt;$CO$5,$CQ$5&lt;$CN$5),_xlfn.XLOOKUP(FD8,$EG$5:$EG$54,$DO$5:$DO$54),IF(AND($CQ$5&gt;$CN$5,$CQ$5&lt;$CM$5),_xlfn.XLOOKUP(FD8,$EG$5:$EG$54,$DP$5:$DP$54),IF(AND($CQ$5&gt;$CM$5,$CQ$5&lt;$CL$5),_xlfn.XLOOKUP(FD8,$EG$5:$EG$54,$DQ$5:$DQ$54))))))</f>
        <v>81880.644681115009</v>
      </c>
      <c r="FM8" s="44">
        <f t="shared" si="52"/>
        <v>71548.305639217971</v>
      </c>
      <c r="FP8" s="22">
        <f t="shared" si="53"/>
        <v>4</v>
      </c>
      <c r="FR8" s="22">
        <f t="shared" si="54"/>
        <v>4</v>
      </c>
      <c r="FS8" s="138">
        <f t="shared" si="55"/>
        <v>2028</v>
      </c>
      <c r="FT8" s="90">
        <f t="shared" si="38"/>
        <v>58843.799999999996</v>
      </c>
      <c r="FU8" s="90">
        <f t="shared" si="39"/>
        <v>0</v>
      </c>
      <c r="FV8" s="90">
        <f t="shared" si="40"/>
        <v>58843.799999999996</v>
      </c>
      <c r="FW8" s="44">
        <f t="shared" si="56"/>
        <v>115869.79804207323</v>
      </c>
      <c r="FX8" s="90" cm="1">
        <f t="array" ref="FX8">IF($CQ$5&lt;$CP$5,_xlfn.XLOOKUP(FP8,$EG$5:$EG$54,$EK$5:$EK$54),IF(OR(AND($CQ$5&gt;$CP$5,$CQ$5&lt;$CO$5),OR($CQ$5&gt;=$CL$5)),_xlfn.XLOOKUP(FP8,$EG$5:$EG$54,$EJ$5:$EJ$54),IF(AND($CQ$5&gt;$CO$5,$CQ$5&lt;$CN$5),_xlfn.XLOOKUP(FP8,$EG$5:$EG$54,$EL$5:$EL$54),IF(AND($CQ$5&gt;$CN$5,$CQ$5&lt;$CM$5),_xlfn.XLOOKUP(FP8,$EG$5:$EG$54,$EM$5:$EM$54),_xlfn.XLOOKUP(FP8,$EG$5:$EG$54,$EN$5:EN$54,IF(AND($CQ$5&gt;$CM$5,$CQ$5&lt;$CL$5),_xlfn.XLOOKUP(FD7,$EG$5:$EG$54,$EY$5:$EY$54),""))))))</f>
        <v>67829.809121931336</v>
      </c>
      <c r="FY8" s="44">
        <f t="shared" si="57"/>
        <v>123861.76137601688</v>
      </c>
    </row>
    <row r="9" spans="1:183" ht="15.75" x14ac:dyDescent="0.25">
      <c r="A9" s="97">
        <f>IF(A8=0.1,39,27.5)</f>
        <v>27.5</v>
      </c>
      <c r="C9" s="48">
        <v>3</v>
      </c>
      <c r="D9" s="42">
        <f>H8</f>
        <v>77112.000000000029</v>
      </c>
      <c r="E9" s="58">
        <v>0.192</v>
      </c>
      <c r="F9" s="43">
        <f t="shared" si="41"/>
        <v>30844.800000000007</v>
      </c>
      <c r="G9" s="43">
        <f>G8+F9</f>
        <v>114382.80000000002</v>
      </c>
      <c r="H9" s="43">
        <f>D9-F9</f>
        <v>46267.200000000026</v>
      </c>
      <c r="I9" s="44">
        <f>M8</f>
        <v>18867.21804549747</v>
      </c>
      <c r="J9" s="59">
        <v>0.192</v>
      </c>
      <c r="K9" s="44">
        <f t="shared" si="42"/>
        <v>7546.8872181989873</v>
      </c>
      <c r="L9" s="44">
        <f>L8+K9</f>
        <v>27986.373434154579</v>
      </c>
      <c r="M9" s="44">
        <f>I9-K9</f>
        <v>11320.330827298483</v>
      </c>
      <c r="N9" s="42">
        <f>R8</f>
        <v>112455.00000000003</v>
      </c>
      <c r="O9" s="58">
        <f>$CP$75</f>
        <v>0.2</v>
      </c>
      <c r="P9" s="43">
        <f t="shared" si="43"/>
        <v>32130.000000000007</v>
      </c>
      <c r="Q9" s="43">
        <f>Q8+P9</f>
        <v>80325.000000000029</v>
      </c>
      <c r="R9" s="43">
        <f>N9-P9</f>
        <v>80325.000000000029</v>
      </c>
      <c r="S9" s="44">
        <f>W8</f>
        <v>148857.98872156409</v>
      </c>
      <c r="T9" s="58">
        <f>$CP$75</f>
        <v>0.2</v>
      </c>
      <c r="U9" s="44">
        <f t="shared" si="44"/>
        <v>7861.340852290612</v>
      </c>
      <c r="V9" s="44">
        <f>V8+U9</f>
        <v>19653.352130726533</v>
      </c>
      <c r="W9" s="44">
        <f>S9-U9</f>
        <v>140996.64786927347</v>
      </c>
      <c r="X9" s="43">
        <f t="shared" ref="X9:X14" si="71">AB8</f>
        <v>41338.989284693824</v>
      </c>
      <c r="Y9" s="58">
        <v>0.1749</v>
      </c>
      <c r="Z9" s="43">
        <f t="shared" si="58"/>
        <v>11810.175148469372</v>
      </c>
      <c r="AA9" s="43">
        <f t="shared" si="59"/>
        <v>37996.486884183629</v>
      </c>
      <c r="AB9" s="43">
        <f t="shared" si="60"/>
        <v>29528.81413622445</v>
      </c>
      <c r="AC9" s="104">
        <f t="shared" ref="AC9:AC17" si="72">AG8</f>
        <v>58522.5</v>
      </c>
      <c r="AD9" s="106">
        <v>0.1</v>
      </c>
      <c r="AE9" s="104">
        <f t="shared" ref="AE9:AE17" si="73">$AC$3*AD9</f>
        <v>6885</v>
      </c>
      <c r="AF9" s="104">
        <f t="shared" si="61"/>
        <v>17212.5</v>
      </c>
      <c r="AG9" s="104">
        <f t="shared" si="62"/>
        <v>51637.5</v>
      </c>
      <c r="AH9" s="44">
        <f t="shared" ref="AH9:AH22" si="74">AL8</f>
        <v>539624.09785645769</v>
      </c>
      <c r="AI9" s="59">
        <v>8.5500000000000007E-2</v>
      </c>
      <c r="AJ9" s="44">
        <f t="shared" si="63"/>
        <v>53962.409785645774</v>
      </c>
      <c r="AK9" s="44">
        <f>AK8+AJ9</f>
        <v>145477.60766773508</v>
      </c>
      <c r="AL9" s="44">
        <f>AH9-AJ9</f>
        <v>485661.68807081191</v>
      </c>
      <c r="AM9" s="43">
        <f t="shared" ref="AM9:AM22" si="75">AQ8</f>
        <v>539624.09785645769</v>
      </c>
      <c r="AN9" s="58">
        <v>8.5500000000000007E-2</v>
      </c>
      <c r="AO9" s="43">
        <f t="shared" si="64"/>
        <v>53962.409785645774</v>
      </c>
      <c r="AP9" s="43">
        <f>AP8+AO9</f>
        <v>145477.60766773508</v>
      </c>
      <c r="AQ9" s="43">
        <f>AM9-AO9</f>
        <v>485661.68807081191</v>
      </c>
      <c r="AR9" s="44">
        <f t="shared" ref="AR9:AR72" si="76">AV8</f>
        <v>583803.84855815594</v>
      </c>
      <c r="AS9" s="59">
        <v>0.05</v>
      </c>
      <c r="AT9" s="44">
        <f t="shared" si="65"/>
        <v>31556.96478692735</v>
      </c>
      <c r="AU9" s="44">
        <f>AU8+AT9</f>
        <v>78892.411967318374</v>
      </c>
      <c r="AV9" s="44">
        <f>AR9-AT9</f>
        <v>552246.8837712286</v>
      </c>
      <c r="AW9" s="43">
        <f t="shared" ref="AW9:AW22" si="77">BA8</f>
        <v>568025.36616469233</v>
      </c>
      <c r="AX9" s="59">
        <f t="shared" ref="AX9:AX20" si="78">$CO$83</f>
        <v>6.6666666666666666E-2</v>
      </c>
      <c r="AY9" s="43">
        <f t="shared" si="66"/>
        <v>42075.953049236465</v>
      </c>
      <c r="AZ9" s="43">
        <f>AZ8+AY9</f>
        <v>105189.88262309117</v>
      </c>
      <c r="BA9" s="43">
        <f>AW9-AY9</f>
        <v>525949.41311545589</v>
      </c>
      <c r="BB9" s="45">
        <f t="shared" ref="BB9:BB35" si="79">BF8</f>
        <v>1368530.6544000001</v>
      </c>
      <c r="BC9" s="227">
        <f>VLOOKUP($CQ$6,$CM$109:$DP$120,4,TRUE)</f>
        <v>3.6360000000000003E-2</v>
      </c>
      <c r="BD9" s="45">
        <f t="shared" si="67"/>
        <v>53227.549440000003</v>
      </c>
      <c r="BE9" s="45">
        <f>BE8+BD9</f>
        <v>148600.89504</v>
      </c>
      <c r="BF9" s="45">
        <f>BB9-BD9</f>
        <v>1315303.1049600001</v>
      </c>
      <c r="BG9" s="46">
        <f t="shared" ref="BG9:BG35" si="80">BK8</f>
        <v>2145480.75</v>
      </c>
      <c r="BH9" s="60">
        <f>VLOOKUP($CQ$6,$CM$109:$DP$120,4,TRUE)</f>
        <v>3.6360000000000003E-2</v>
      </c>
      <c r="BI9" s="46">
        <f t="shared" si="68"/>
        <v>83446.200000000012</v>
      </c>
      <c r="BJ9" s="46">
        <f>BJ8+BI9</f>
        <v>232965.45</v>
      </c>
      <c r="BK9" s="46">
        <f>BG9-BI9</f>
        <v>2062034.55</v>
      </c>
      <c r="BL9" s="46">
        <f t="shared" ref="BL9:BL35" si="81">BP8</f>
        <v>0</v>
      </c>
      <c r="BM9" s="60">
        <f>VLOOKUP($CQ$6,$CM$109:$DP$120,4,TRUE)</f>
        <v>3.6360000000000003E-2</v>
      </c>
      <c r="BN9" s="46">
        <f t="shared" si="69"/>
        <v>0</v>
      </c>
      <c r="BO9" s="46">
        <f>BO8+BN9</f>
        <v>0</v>
      </c>
      <c r="BP9" s="46">
        <f>BL9-BN9</f>
        <v>0</v>
      </c>
      <c r="BQ9" s="44">
        <f t="shared" ref="BQ9:BQ46" si="82">BU8</f>
        <v>1332187.1701875001</v>
      </c>
      <c r="BR9" s="100">
        <v>2.564E-2</v>
      </c>
      <c r="BS9" s="44">
        <f t="shared" si="45"/>
        <v>35803.149841836734</v>
      </c>
      <c r="BT9" s="44">
        <f>BT8+BS9</f>
        <v>99994.678633928561</v>
      </c>
      <c r="BU9" s="44">
        <f>BQ9-BS9</f>
        <v>1296384.0203456634</v>
      </c>
      <c r="BV9" s="44">
        <f t="shared" ref="BV9:BV45" si="83">BZ8</f>
        <v>1333834.897052296</v>
      </c>
      <c r="BW9" s="100">
        <v>2.5000000000000001E-2</v>
      </c>
      <c r="BX9" s="44">
        <f t="shared" si="46"/>
        <v>34909.467474489793</v>
      </c>
      <c r="BY9" s="44">
        <f>BY8+BX9</f>
        <v>97453.269401785699</v>
      </c>
      <c r="BZ9" s="44">
        <f>BV9-BX9</f>
        <v>1298925.4295778063</v>
      </c>
      <c r="CA9" s="59"/>
      <c r="CB9" s="43">
        <f t="shared" ref="CB9:CB45" si="84">CF8</f>
        <v>2189498.85</v>
      </c>
      <c r="CC9" s="100">
        <v>2.564E-2</v>
      </c>
      <c r="CD9" s="43">
        <f t="shared" si="47"/>
        <v>58843.799999999996</v>
      </c>
      <c r="CE9" s="43">
        <f>CE8+CD9</f>
        <v>164344.94999999998</v>
      </c>
      <c r="CF9" s="43">
        <f>CB9-CD9</f>
        <v>2130655.0500000003</v>
      </c>
      <c r="CG9" s="43">
        <f t="shared" ref="CG9:CG45" si="85">CK8</f>
        <v>0</v>
      </c>
      <c r="CH9" s="100">
        <v>2.564E-2</v>
      </c>
      <c r="CI9" s="43">
        <f t="shared" si="70"/>
        <v>0</v>
      </c>
      <c r="CJ9" s="43">
        <f>CJ8+CI9</f>
        <v>0</v>
      </c>
      <c r="CK9" s="43">
        <f>CG9-CI9</f>
        <v>0</v>
      </c>
      <c r="CN9" s="101"/>
      <c r="CQ9"/>
      <c r="CR9" s="21">
        <v>44196</v>
      </c>
      <c r="CS9"/>
      <c r="CT9" s="36">
        <f>IF('Input Sheet'!P7="Older",1971,'Input Sheet'!P7)</f>
        <v>2024</v>
      </c>
      <c r="CU9"/>
      <c r="CV9" s="71">
        <v>1.5</v>
      </c>
      <c r="CW9" s="72">
        <v>0.125</v>
      </c>
      <c r="CX9" s="67"/>
      <c r="CY9" s="67"/>
      <c r="CZ9" s="67"/>
      <c r="DA9" s="67"/>
      <c r="DB9"/>
      <c r="DC9" s="68"/>
      <c r="DD9" s="73">
        <v>1</v>
      </c>
      <c r="DE9" s="74">
        <f t="shared" ref="DE9:DE14" si="86">F7</f>
        <v>32130.000000000007</v>
      </c>
      <c r="DJ9" s="22">
        <v>5</v>
      </c>
      <c r="DK9" s="44">
        <f t="shared" si="12"/>
        <v>83446.200000000012</v>
      </c>
      <c r="DL9" s="44">
        <f t="shared" si="13"/>
        <v>120000.51496560071</v>
      </c>
      <c r="DM9" s="44">
        <f t="shared" si="1"/>
        <v>53227.549440000003</v>
      </c>
      <c r="DN9" s="44">
        <f t="shared" si="2"/>
        <v>86614.032202800357</v>
      </c>
      <c r="DO9" s="44">
        <f t="shared" si="14"/>
        <v>66582.14254512015</v>
      </c>
      <c r="DP9" s="44">
        <f t="shared" si="15"/>
        <v>79936.735650240284</v>
      </c>
      <c r="DQ9" s="44">
        <f t="shared" si="16"/>
        <v>93291.328755360417</v>
      </c>
      <c r="DR9" s="44">
        <f t="shared" si="17"/>
        <v>106645.92186048056</v>
      </c>
      <c r="DS9" s="44">
        <f t="shared" si="3"/>
        <v>71548.305639217971</v>
      </c>
      <c r="DT9" s="44">
        <f t="shared" si="18"/>
        <v>0</v>
      </c>
      <c r="DV9" s="44">
        <f t="shared" si="4"/>
        <v>399857.85000000003</v>
      </c>
      <c r="DW9" s="44">
        <f>SUM(G11,L11,AP11,BE11,-BJ10)</f>
        <v>364896.82865027792</v>
      </c>
      <c r="DX9" s="44">
        <f t="shared" si="19"/>
        <v>769740.34392000001</v>
      </c>
      <c r="DY9" s="44">
        <f>0.5*($D$3+$I$3+$AM$3+$G11+$L11+$AP11)+BE11-BJ10</f>
        <v>567318.58628513908</v>
      </c>
      <c r="DZ9" s="44">
        <f t="shared" si="20"/>
        <v>688771.64086605574</v>
      </c>
      <c r="EA9" s="44">
        <f t="shared" si="21"/>
        <v>607802.93781211122</v>
      </c>
      <c r="EB9" s="44">
        <f t="shared" si="22"/>
        <v>526834.23475816683</v>
      </c>
      <c r="EC9" s="44">
        <f t="shared" si="23"/>
        <v>360615.03475816676</v>
      </c>
      <c r="ED9" s="44">
        <f>SUM(Q11,V11,AU11,BO11,-BJ10)</f>
        <v>5555.7253764808411</v>
      </c>
      <c r="EE9" s="44">
        <f t="shared" si="24"/>
        <v>0</v>
      </c>
      <c r="EG9" s="22">
        <v>5</v>
      </c>
      <c r="EH9" s="44">
        <f t="shared" si="5"/>
        <v>58843.799999999996</v>
      </c>
      <c r="EI9" s="44">
        <f t="shared" si="6"/>
        <v>108606.12474855987</v>
      </c>
      <c r="EJ9" s="44">
        <f t="shared" si="7"/>
        <v>35803.149841836734</v>
      </c>
      <c r="EK9" s="44">
        <f t="shared" si="8"/>
        <v>72204.637295198307</v>
      </c>
      <c r="EL9" s="44">
        <f t="shared" si="25"/>
        <v>50363.744823181361</v>
      </c>
      <c r="EM9" s="44">
        <f t="shared" si="26"/>
        <v>64924.339804525996</v>
      </c>
      <c r="EN9" s="44">
        <f t="shared" si="27"/>
        <v>79484.934785870617</v>
      </c>
      <c r="EO9" s="44">
        <f t="shared" si="28"/>
        <v>94045.529767215252</v>
      </c>
      <c r="EP9" s="44">
        <f t="shared" si="9"/>
        <v>123861.76137601688</v>
      </c>
      <c r="EQ9" s="44">
        <f t="shared" si="29"/>
        <v>0</v>
      </c>
      <c r="ES9" s="44">
        <f t="shared" si="10"/>
        <v>282032.55</v>
      </c>
      <c r="ET9" s="44">
        <f>SUM(G11,L11,AA11,AP11,BT11,-CE10)</f>
        <v>427125.11941063497</v>
      </c>
      <c r="EU9" s="44">
        <f t="shared" si="11"/>
        <v>847033.52933801012</v>
      </c>
      <c r="EV9" s="44">
        <f>0.5*($D$3+$I$3+$X$3+$AM$3)+0.5*($G11+$L11+$AA11+$AP11)+BT11-CE10</f>
        <v>637079.32437432266</v>
      </c>
      <c r="EW9" s="44">
        <f t="shared" si="30"/>
        <v>763051.84735253523</v>
      </c>
      <c r="EX9" s="44">
        <f t="shared" si="31"/>
        <v>679070.16536706011</v>
      </c>
      <c r="EY9" s="44">
        <f t="shared" si="32"/>
        <v>595088.48338158522</v>
      </c>
      <c r="EZ9" s="44">
        <f t="shared" si="33"/>
        <v>415364.22317750345</v>
      </c>
      <c r="FA9" s="44">
        <f>SUM(Q11,V11,AF11,AZ11,BY11,-CE10)</f>
        <v>344368.77690763725</v>
      </c>
      <c r="FB9" s="44">
        <f t="shared" si="34"/>
        <v>0</v>
      </c>
      <c r="FD9" s="22">
        <f t="shared" si="48"/>
        <v>5</v>
      </c>
      <c r="FF9" s="22">
        <f t="shared" si="49"/>
        <v>5</v>
      </c>
      <c r="FG9" s="138">
        <f t="shared" si="50"/>
        <v>2029</v>
      </c>
      <c r="FH9" s="90">
        <f t="shared" si="35"/>
        <v>83446.200000000012</v>
      </c>
      <c r="FI9" s="90">
        <f t="shared" si="36"/>
        <v>0</v>
      </c>
      <c r="FJ9" s="90">
        <f t="shared" si="37"/>
        <v>83446.200000000012</v>
      </c>
      <c r="FK9" s="44">
        <f t="shared" si="51"/>
        <v>120000.51496560071</v>
      </c>
      <c r="FL9" s="90" cm="1">
        <f t="array" ref="FL9">IF($CQ$5&lt;$CP$5,_xlfn.XLOOKUP(FD9,$EG$5:$EG$54,$DN$5:$DN$54),IF(OR(AND($CQ$5&gt;$CP$5,$CQ$5&lt;$CO$5),OR($CQ$5&gt;=$CL$5)),_xlfn.XLOOKUP(FD9,$EG$5:$EG$54,$DM$5:DM$54),IF(AND($CQ$5&gt;$CO$5,$CQ$5&lt;$CN$5),_xlfn.XLOOKUP(FD9,$EG$5:$EG$54,$DO$5:$DO$54),IF(AND($CQ$5&gt;$CN$5,$CQ$5&lt;$CM$5),_xlfn.XLOOKUP(FD9,$EG$5:$EG$54,$DP$5:$DP$54),IF(AND($CQ$5&gt;$CM$5,$CQ$5&lt;$CL$5),_xlfn.XLOOKUP(FD9,$EG$5:$EG$54,$DQ$5:$DQ$54))))))</f>
        <v>79936.735650240284</v>
      </c>
      <c r="FM9" s="44">
        <f t="shared" si="52"/>
        <v>71548.305639217971</v>
      </c>
      <c r="FP9" s="22">
        <f t="shared" si="53"/>
        <v>5</v>
      </c>
      <c r="FR9" s="22">
        <f t="shared" si="54"/>
        <v>5</v>
      </c>
      <c r="FS9" s="138">
        <f t="shared" si="55"/>
        <v>2029</v>
      </c>
      <c r="FT9" s="90">
        <f t="shared" si="38"/>
        <v>58843.799999999996</v>
      </c>
      <c r="FU9" s="90">
        <f t="shared" si="39"/>
        <v>0</v>
      </c>
      <c r="FV9" s="90">
        <f t="shared" si="40"/>
        <v>58843.799999999996</v>
      </c>
      <c r="FW9" s="44">
        <f t="shared" si="56"/>
        <v>108606.12474855987</v>
      </c>
      <c r="FX9" s="90" cm="1">
        <f t="array" ref="FX9">IF($CQ$5&lt;$CP$5,_xlfn.XLOOKUP(FP9,$EG$5:$EG$54,$EK$5:$EK$54),IF(OR(AND($CQ$5&gt;$CP$5,$CQ$5&lt;$CO$5),OR($CQ$5&gt;=$CL$5)),_xlfn.XLOOKUP(FP9,$EG$5:$EG$54,$EJ$5:$EJ$54),IF(AND($CQ$5&gt;$CO$5,$CQ$5&lt;$CN$5),_xlfn.XLOOKUP(FP9,$EG$5:$EG$54,$EL$5:$EL$54),IF(AND($CQ$5&gt;$CN$5,$CQ$5&lt;$CM$5),_xlfn.XLOOKUP(FP9,$EG$5:$EG$54,$EM$5:$EM$54),_xlfn.XLOOKUP(FP9,$EG$5:$EG$54,$EN$5:EN$54,IF(AND($CQ$5&gt;$CM$5,$CQ$5&lt;$CL$5),_xlfn.XLOOKUP(FD8,$EG$5:$EG$54,$EY$5:$EY$54),""))))))</f>
        <v>64924.339804525996</v>
      </c>
      <c r="FY9" s="44">
        <f t="shared" si="57"/>
        <v>123861.76137601688</v>
      </c>
      <c r="GA9" s="210" t="s">
        <v>224</v>
      </c>
    </row>
    <row r="10" spans="1:183" ht="15.75" x14ac:dyDescent="0.25">
      <c r="C10" s="48">
        <v>4</v>
      </c>
      <c r="D10" s="42">
        <f>H9</f>
        <v>46267.200000000026</v>
      </c>
      <c r="E10" s="58">
        <v>0.1152</v>
      </c>
      <c r="F10" s="43">
        <f t="shared" si="41"/>
        <v>18506.880000000005</v>
      </c>
      <c r="G10" s="43">
        <f>G9+F10</f>
        <v>132889.68000000002</v>
      </c>
      <c r="H10" s="43">
        <f>D10-F10</f>
        <v>27760.320000000022</v>
      </c>
      <c r="I10" s="44">
        <f>M9</f>
        <v>11320.330827298483</v>
      </c>
      <c r="J10" s="59">
        <v>0.1152</v>
      </c>
      <c r="K10" s="44">
        <f t="shared" si="42"/>
        <v>4528.1323309193922</v>
      </c>
      <c r="L10" s="44">
        <f>L9+K10</f>
        <v>32514.505765073969</v>
      </c>
      <c r="M10" s="44">
        <f>I10-K10</f>
        <v>6792.198496379091</v>
      </c>
      <c r="N10" s="42">
        <f>R9</f>
        <v>80325.000000000029</v>
      </c>
      <c r="O10" s="58">
        <f>$CQ$75</f>
        <v>0.2</v>
      </c>
      <c r="P10" s="43">
        <f t="shared" si="43"/>
        <v>32130.000000000007</v>
      </c>
      <c r="Q10" s="43">
        <f>Q9+P10</f>
        <v>112455.00000000003</v>
      </c>
      <c r="R10" s="43">
        <f>N10-P10</f>
        <v>48195.000000000022</v>
      </c>
      <c r="S10" s="44">
        <f>W9</f>
        <v>140996.64786927347</v>
      </c>
      <c r="T10" s="58">
        <f>$CQ$75</f>
        <v>0.2</v>
      </c>
      <c r="U10" s="44">
        <f t="shared" si="44"/>
        <v>7861.340852290612</v>
      </c>
      <c r="V10" s="44">
        <f>V9+U10</f>
        <v>27514.692983017143</v>
      </c>
      <c r="W10" s="44">
        <f>S10-U10</f>
        <v>133135.30701698284</v>
      </c>
      <c r="X10" s="43">
        <f t="shared" si="71"/>
        <v>29528.81413622445</v>
      </c>
      <c r="Y10" s="58">
        <v>0.1249</v>
      </c>
      <c r="Z10" s="43">
        <f t="shared" si="58"/>
        <v>8433.9100974489684</v>
      </c>
      <c r="AA10" s="43">
        <f t="shared" si="59"/>
        <v>46430.396981632599</v>
      </c>
      <c r="AB10" s="43">
        <f t="shared" si="60"/>
        <v>21094.904038775479</v>
      </c>
      <c r="AC10" s="104">
        <f t="shared" si="72"/>
        <v>51637.5</v>
      </c>
      <c r="AD10" s="106">
        <v>0.1</v>
      </c>
      <c r="AE10" s="104">
        <f t="shared" si="73"/>
        <v>6885</v>
      </c>
      <c r="AF10" s="104">
        <f t="shared" si="61"/>
        <v>24097.5</v>
      </c>
      <c r="AG10" s="104">
        <f t="shared" si="62"/>
        <v>44752.5</v>
      </c>
      <c r="AH10" s="44">
        <f t="shared" si="74"/>
        <v>485661.68807081191</v>
      </c>
      <c r="AI10" s="59">
        <v>7.6999999999999999E-2</v>
      </c>
      <c r="AJ10" s="44">
        <f t="shared" si="63"/>
        <v>48597.725771868121</v>
      </c>
      <c r="AK10" s="44">
        <f>AK9+AJ10</f>
        <v>194075.33343960322</v>
      </c>
      <c r="AL10" s="44">
        <f>AH10-AJ10</f>
        <v>437063.96229894378</v>
      </c>
      <c r="AM10" s="43">
        <f t="shared" si="75"/>
        <v>485661.68807081191</v>
      </c>
      <c r="AN10" s="58">
        <v>7.6999999999999999E-2</v>
      </c>
      <c r="AO10" s="43">
        <f t="shared" si="64"/>
        <v>48597.725771868121</v>
      </c>
      <c r="AP10" s="43">
        <f>AP9+AO10</f>
        <v>194075.33343960322</v>
      </c>
      <c r="AQ10" s="43">
        <f>AM10-AO10</f>
        <v>437063.96229894378</v>
      </c>
      <c r="AR10" s="44">
        <f t="shared" si="76"/>
        <v>552246.8837712286</v>
      </c>
      <c r="AS10" s="59">
        <v>0.05</v>
      </c>
      <c r="AT10" s="44">
        <f t="shared" si="65"/>
        <v>31556.96478692735</v>
      </c>
      <c r="AU10" s="44">
        <f>AU9+AT10</f>
        <v>110449.37675424572</v>
      </c>
      <c r="AV10" s="44">
        <f>AR10-AT10</f>
        <v>520689.91898430127</v>
      </c>
      <c r="AW10" s="43">
        <f t="shared" si="77"/>
        <v>525949.41311545589</v>
      </c>
      <c r="AX10" s="59">
        <f t="shared" si="78"/>
        <v>6.6666666666666666E-2</v>
      </c>
      <c r="AY10" s="43">
        <f t="shared" si="66"/>
        <v>42075.953049236465</v>
      </c>
      <c r="AZ10" s="43">
        <f>AZ9+AY10</f>
        <v>147265.83567232764</v>
      </c>
      <c r="BA10" s="43">
        <f>AW10-AY10</f>
        <v>483873.46006621944</v>
      </c>
      <c r="BB10" s="45">
        <f t="shared" si="79"/>
        <v>1315303.1049600001</v>
      </c>
      <c r="BC10" s="227">
        <f>VLOOKUP($CQ$6,$CM$109:$DP$120,5,TRUE)</f>
        <v>3.6360000000000003E-2</v>
      </c>
      <c r="BD10" s="45">
        <f t="shared" si="67"/>
        <v>53227.549440000003</v>
      </c>
      <c r="BE10" s="45">
        <f>BE9+BD10</f>
        <v>201828.44448000001</v>
      </c>
      <c r="BF10" s="45">
        <f>BB10-BD10</f>
        <v>1262075.5555200002</v>
      </c>
      <c r="BG10" s="46">
        <f t="shared" si="80"/>
        <v>2062034.55</v>
      </c>
      <c r="BH10" s="60">
        <f>VLOOKUP($CQ$6,$CM$109:$DP$120,5,TRUE)</f>
        <v>3.6360000000000003E-2</v>
      </c>
      <c r="BI10" s="46">
        <f t="shared" si="68"/>
        <v>83446.200000000012</v>
      </c>
      <c r="BJ10" s="46">
        <f>BJ9+BI10</f>
        <v>316411.65000000002</v>
      </c>
      <c r="BK10" s="46">
        <f>BG10-BI10</f>
        <v>1978588.35</v>
      </c>
      <c r="BL10" s="46">
        <f t="shared" si="81"/>
        <v>0</v>
      </c>
      <c r="BM10" s="60">
        <f>VLOOKUP($CQ$6,$CM$109:$DP$120,5,TRUE)</f>
        <v>3.6360000000000003E-2</v>
      </c>
      <c r="BN10" s="46">
        <f t="shared" si="69"/>
        <v>0</v>
      </c>
      <c r="BO10" s="46">
        <f>BO9+BN10</f>
        <v>0</v>
      </c>
      <c r="BP10" s="46">
        <f>BL10-BN10</f>
        <v>0</v>
      </c>
      <c r="BQ10" s="44">
        <f t="shared" si="82"/>
        <v>1296384.0203456634</v>
      </c>
      <c r="BR10" s="100">
        <v>2.564E-2</v>
      </c>
      <c r="BS10" s="44">
        <f t="shared" si="45"/>
        <v>35803.149841836734</v>
      </c>
      <c r="BT10" s="44">
        <f>BT9+BS10</f>
        <v>135797.8284757653</v>
      </c>
      <c r="BU10" s="44">
        <f>BQ10-BS10</f>
        <v>1260580.8705038268</v>
      </c>
      <c r="BV10" s="44">
        <f t="shared" si="83"/>
        <v>1298925.4295778063</v>
      </c>
      <c r="BW10" s="100">
        <v>2.5000000000000001E-2</v>
      </c>
      <c r="BX10" s="44">
        <f t="shared" si="46"/>
        <v>34909.467474489793</v>
      </c>
      <c r="BY10" s="44">
        <f>BY9+BX10</f>
        <v>132362.73687627551</v>
      </c>
      <c r="BZ10" s="44">
        <f>BV10-BX10</f>
        <v>1264015.9621033166</v>
      </c>
      <c r="CA10" s="59"/>
      <c r="CB10" s="43">
        <f t="shared" si="84"/>
        <v>2130655.0500000003</v>
      </c>
      <c r="CC10" s="100">
        <v>2.564E-2</v>
      </c>
      <c r="CD10" s="43">
        <f t="shared" si="47"/>
        <v>58843.799999999996</v>
      </c>
      <c r="CE10" s="43">
        <f>CE9+CD10</f>
        <v>223188.74999999997</v>
      </c>
      <c r="CF10" s="43">
        <f>CB10-CD10</f>
        <v>2071811.2500000002</v>
      </c>
      <c r="CG10" s="43">
        <f t="shared" si="85"/>
        <v>0</v>
      </c>
      <c r="CH10" s="100">
        <v>2.564E-2</v>
      </c>
      <c r="CI10" s="43">
        <f t="shared" si="70"/>
        <v>0</v>
      </c>
      <c r="CJ10" s="43">
        <f>CJ9+CI10</f>
        <v>0</v>
      </c>
      <c r="CK10" s="43">
        <f>CG10-CI10</f>
        <v>0</v>
      </c>
      <c r="CN10" s="101"/>
      <c r="CQ10"/>
      <c r="CR10"/>
      <c r="CS10"/>
      <c r="CT10" s="36">
        <f>CS4-CT9</f>
        <v>1</v>
      </c>
      <c r="CU10"/>
      <c r="CV10" s="71">
        <v>2.5</v>
      </c>
      <c r="CW10" s="72">
        <v>0.20833333333333334</v>
      </c>
      <c r="CX10" s="67"/>
      <c r="CY10" s="67"/>
      <c r="CZ10" s="67"/>
      <c r="DA10" s="67"/>
      <c r="DB10"/>
      <c r="DD10" s="76">
        <v>2</v>
      </c>
      <c r="DE10" s="77">
        <f t="shared" si="86"/>
        <v>51408.000000000007</v>
      </c>
      <c r="DJ10" s="22">
        <v>6</v>
      </c>
      <c r="DK10" s="44">
        <f t="shared" si="12"/>
        <v>83446.200000000012</v>
      </c>
      <c r="DL10" s="44">
        <f t="shared" si="13"/>
        <v>104065.03372997118</v>
      </c>
      <c r="DM10" s="44">
        <f t="shared" si="1"/>
        <v>53227.549440000003</v>
      </c>
      <c r="DN10" s="44">
        <f t="shared" si="2"/>
        <v>78646.291584985593</v>
      </c>
      <c r="DO10" s="44">
        <f t="shared" si="14"/>
        <v>63395.046297994239</v>
      </c>
      <c r="DP10" s="44">
        <f t="shared" si="15"/>
        <v>73562.543155988475</v>
      </c>
      <c r="DQ10" s="44">
        <f t="shared" si="16"/>
        <v>83730.040013982711</v>
      </c>
      <c r="DR10" s="44">
        <f t="shared" si="17"/>
        <v>93897.536871976947</v>
      </c>
      <c r="DS10" s="44">
        <f t="shared" si="3"/>
        <v>51552.635213072659</v>
      </c>
      <c r="DT10" s="44">
        <f t="shared" si="18"/>
        <v>0</v>
      </c>
      <c r="DV10" s="44">
        <f t="shared" si="4"/>
        <v>483304.05000000005</v>
      </c>
      <c r="DW10" s="44">
        <f t="shared" ref="DW10:DW19" si="87">SUM($G$12,$L$12,AP12,BE12,-BJ11)</f>
        <v>385515.66238024906</v>
      </c>
      <c r="DX10" s="44">
        <f t="shared" si="19"/>
        <v>739521.69335999992</v>
      </c>
      <c r="DY10" s="44">
        <f t="shared" ref="DY10:DY19" si="88">0.5*($D$3+$I$3+$AM$3+$G$12+$L$12+$AP12)+BE12-BJ11</f>
        <v>562518.67787012458</v>
      </c>
      <c r="DZ10" s="44">
        <f t="shared" si="20"/>
        <v>668720.48716404987</v>
      </c>
      <c r="EA10" s="44">
        <f t="shared" si="21"/>
        <v>597919.2809680996</v>
      </c>
      <c r="EB10" s="44">
        <f t="shared" si="22"/>
        <v>527118.07477214956</v>
      </c>
      <c r="EC10" s="44">
        <f t="shared" si="23"/>
        <v>360898.87477214943</v>
      </c>
      <c r="ED10" s="44">
        <f t="shared" ref="ED10:ED23" si="89">SUM($Q$12,$V$12,AU12,BO12,-BJ11)</f>
        <v>-26337.839410446526</v>
      </c>
      <c r="EE10" s="44">
        <f t="shared" si="24"/>
        <v>0</v>
      </c>
      <c r="EG10" s="22">
        <v>6</v>
      </c>
      <c r="EH10" s="44">
        <f t="shared" si="5"/>
        <v>58843.799999999996</v>
      </c>
      <c r="EI10" s="44">
        <f t="shared" si="6"/>
        <v>92663.890982828307</v>
      </c>
      <c r="EJ10" s="44">
        <f t="shared" si="7"/>
        <v>35803.149841836734</v>
      </c>
      <c r="EK10" s="44">
        <f t="shared" si="8"/>
        <v>64233.520412332524</v>
      </c>
      <c r="EL10" s="44">
        <f t="shared" si="25"/>
        <v>47175.298070035053</v>
      </c>
      <c r="EM10" s="44">
        <f t="shared" si="26"/>
        <v>58547.446298233364</v>
      </c>
      <c r="EN10" s="44">
        <f t="shared" si="27"/>
        <v>69919.594526431683</v>
      </c>
      <c r="EO10" s="44">
        <f t="shared" si="28"/>
        <v>81291.742754630002</v>
      </c>
      <c r="EP10" s="44">
        <f t="shared" si="9"/>
        <v>103866.09094987156</v>
      </c>
      <c r="EQ10" s="44">
        <f t="shared" si="29"/>
        <v>0</v>
      </c>
      <c r="ES10" s="44">
        <f t="shared" si="10"/>
        <v>340876.35</v>
      </c>
      <c r="ET10" s="44">
        <f>SUM(G$12,$L$12,AA12,AP12,BT12,-CE11)</f>
        <v>460945.21039346332</v>
      </c>
      <c r="EU10" s="44">
        <f t="shared" si="11"/>
        <v>823992.87917984696</v>
      </c>
      <c r="EV10" s="44">
        <f>0.5*($D$3+$I$3+$X$3+$AM$3)+0.5*($G$12+$L$12+$AA12+$AP12)+BT12-CE11</f>
        <v>642469.04478665511</v>
      </c>
      <c r="EW10" s="44">
        <f t="shared" si="30"/>
        <v>751383.34542257036</v>
      </c>
      <c r="EX10" s="44">
        <f t="shared" si="31"/>
        <v>678773.81166529353</v>
      </c>
      <c r="EY10" s="44">
        <f t="shared" si="32"/>
        <v>606164.27790801669</v>
      </c>
      <c r="EZ10" s="44">
        <f t="shared" si="33"/>
        <v>426440.01770393521</v>
      </c>
      <c r="FA10" s="44">
        <f>SUM($Q$12,$V$12,AF12,AZ12,BY12,-CE11)</f>
        <v>389391.06785750884</v>
      </c>
      <c r="FB10" s="44">
        <f t="shared" si="34"/>
        <v>0</v>
      </c>
      <c r="FD10" s="22">
        <f t="shared" si="48"/>
        <v>6</v>
      </c>
      <c r="FF10" s="22">
        <f t="shared" si="49"/>
        <v>6</v>
      </c>
      <c r="FG10" s="138">
        <f t="shared" si="50"/>
        <v>2030</v>
      </c>
      <c r="FH10" s="90">
        <f t="shared" si="35"/>
        <v>83446.200000000012</v>
      </c>
      <c r="FI10" s="90">
        <f t="shared" si="36"/>
        <v>0</v>
      </c>
      <c r="FJ10" s="90">
        <f t="shared" si="37"/>
        <v>83446.200000000012</v>
      </c>
      <c r="FK10" s="44">
        <f t="shared" si="51"/>
        <v>104065.03372997118</v>
      </c>
      <c r="FL10" s="90" cm="1">
        <f t="array" ref="FL10">IF($CQ$5&lt;$CP$5,_xlfn.XLOOKUP(FD10,$EG$5:$EG$54,$DN$5:$DN$54),IF(OR(AND($CQ$5&gt;$CP$5,$CQ$5&lt;$CO$5),OR($CQ$5&gt;=$CL$5)),_xlfn.XLOOKUP(FD10,$EG$5:$EG$54,$DM$5:DM$54),IF(AND($CQ$5&gt;$CO$5,$CQ$5&lt;$CN$5),_xlfn.XLOOKUP(FD10,$EG$5:$EG$54,$DO$5:$DO$54),IF(AND($CQ$5&gt;$CN$5,$CQ$5&lt;$CM$5),_xlfn.XLOOKUP(FD10,$EG$5:$EG$54,$DP$5:$DP$54),IF(AND($CQ$5&gt;$CM$5,$CQ$5&lt;$CL$5),_xlfn.XLOOKUP(FD10,$EG$5:$EG$54,$DQ$5:$DQ$54))))))</f>
        <v>73562.543155988475</v>
      </c>
      <c r="FM10" s="44">
        <f t="shared" si="52"/>
        <v>51552.635213072659</v>
      </c>
      <c r="FP10" s="22">
        <f t="shared" si="53"/>
        <v>6</v>
      </c>
      <c r="FR10" s="22">
        <f t="shared" si="54"/>
        <v>6</v>
      </c>
      <c r="FS10" s="138">
        <f t="shared" si="55"/>
        <v>2030</v>
      </c>
      <c r="FT10" s="90">
        <f t="shared" si="38"/>
        <v>58843.799999999996</v>
      </c>
      <c r="FU10" s="90">
        <f t="shared" si="39"/>
        <v>0</v>
      </c>
      <c r="FV10" s="90">
        <f t="shared" si="40"/>
        <v>58843.799999999996</v>
      </c>
      <c r="FW10" s="44">
        <f t="shared" si="56"/>
        <v>92663.890982828307</v>
      </c>
      <c r="FX10" s="90" cm="1">
        <f t="array" ref="FX10">IF($CQ$5&lt;$CP$5,_xlfn.XLOOKUP(FP10,$EG$5:$EG$54,$EK$5:$EK$54),IF(OR(AND($CQ$5&gt;$CP$5,$CQ$5&lt;$CO$5),OR($CQ$5&gt;=$CL$5)),_xlfn.XLOOKUP(FP10,$EG$5:$EG$54,$EJ$5:$EJ$54),IF(AND($CQ$5&gt;$CO$5,$CQ$5&lt;$CN$5),_xlfn.XLOOKUP(FP10,$EG$5:$EG$54,$EL$5:$EL$54),IF(AND($CQ$5&gt;$CN$5,$CQ$5&lt;$CM$5),_xlfn.XLOOKUP(FP10,$EG$5:$EG$54,$EM$5:$EM$54),_xlfn.XLOOKUP(FP10,$EG$5:$EG$54,$EN$5:EN$54,IF(AND($CQ$5&gt;$CM$5,$CQ$5&lt;$CL$5),_xlfn.XLOOKUP(FD9,$EG$5:$EG$54,$EY$5:$EY$54),""))))))</f>
        <v>58547.446298233364</v>
      </c>
      <c r="FY10" s="44">
        <f t="shared" si="57"/>
        <v>103866.09094987156</v>
      </c>
      <c r="GA10" s="210" t="s">
        <v>223</v>
      </c>
    </row>
    <row r="11" spans="1:183" ht="15.75" x14ac:dyDescent="0.25">
      <c r="C11" s="48">
        <v>5</v>
      </c>
      <c r="D11" s="42">
        <f>H10</f>
        <v>27760.320000000022</v>
      </c>
      <c r="E11" s="58">
        <v>0.1152</v>
      </c>
      <c r="F11" s="43">
        <f t="shared" si="41"/>
        <v>18506.880000000005</v>
      </c>
      <c r="G11" s="43">
        <f>G10+F11</f>
        <v>151396.56000000003</v>
      </c>
      <c r="H11" s="43">
        <f>D11-F11</f>
        <v>9253.4400000000169</v>
      </c>
      <c r="I11" s="44">
        <f>M10</f>
        <v>6792.198496379091</v>
      </c>
      <c r="J11" s="59">
        <v>0.1152</v>
      </c>
      <c r="K11" s="44">
        <f t="shared" si="42"/>
        <v>4528.1323309193922</v>
      </c>
      <c r="L11" s="44">
        <f>L10+K11</f>
        <v>37042.638095993359</v>
      </c>
      <c r="M11" s="44">
        <f>I11-K11</f>
        <v>2264.0661654596988</v>
      </c>
      <c r="N11" s="42">
        <f>R10</f>
        <v>48195.000000000022</v>
      </c>
      <c r="O11" s="58">
        <f>$CR$75</f>
        <v>0.2</v>
      </c>
      <c r="P11" s="43">
        <f t="shared" si="43"/>
        <v>32130.000000000007</v>
      </c>
      <c r="Q11" s="43">
        <f>Q10+P11</f>
        <v>144585.00000000003</v>
      </c>
      <c r="R11" s="43">
        <f>N11-P11</f>
        <v>16065.000000000015</v>
      </c>
      <c r="S11" s="44">
        <f>W10</f>
        <v>133135.30701698284</v>
      </c>
      <c r="T11" s="58">
        <f>$CR$75</f>
        <v>0.2</v>
      </c>
      <c r="U11" s="44">
        <f t="shared" si="44"/>
        <v>7861.340852290612</v>
      </c>
      <c r="V11" s="44">
        <f>V10+U11</f>
        <v>35376.033835307753</v>
      </c>
      <c r="W11" s="44">
        <f>S11-U11</f>
        <v>125273.96616469223</v>
      </c>
      <c r="X11" s="43">
        <f t="shared" si="71"/>
        <v>21094.904038775479</v>
      </c>
      <c r="Y11" s="58">
        <v>8.9300000000000004E-2</v>
      </c>
      <c r="Z11" s="43">
        <f t="shared" si="58"/>
        <v>6030.0093811224415</v>
      </c>
      <c r="AA11" s="43">
        <f t="shared" si="59"/>
        <v>52460.406362755042</v>
      </c>
      <c r="AB11" s="43">
        <f t="shared" si="60"/>
        <v>15064.894657653038</v>
      </c>
      <c r="AC11" s="104">
        <f t="shared" si="72"/>
        <v>44752.5</v>
      </c>
      <c r="AD11" s="106">
        <v>0.1</v>
      </c>
      <c r="AE11" s="104">
        <f t="shared" si="73"/>
        <v>6885</v>
      </c>
      <c r="AF11" s="104">
        <f t="shared" si="61"/>
        <v>30982.5</v>
      </c>
      <c r="AG11" s="104">
        <f t="shared" si="62"/>
        <v>37867.5</v>
      </c>
      <c r="AH11" s="44">
        <f t="shared" si="74"/>
        <v>437063.96229894378</v>
      </c>
      <c r="AI11" s="59">
        <v>6.93E-2</v>
      </c>
      <c r="AJ11" s="44">
        <f t="shared" si="63"/>
        <v>43737.953194681308</v>
      </c>
      <c r="AK11" s="44">
        <f>AK10+AJ11</f>
        <v>237813.28663428454</v>
      </c>
      <c r="AL11" s="44">
        <f>AH11-AJ11</f>
        <v>393326.00910426246</v>
      </c>
      <c r="AM11" s="43">
        <f t="shared" si="75"/>
        <v>437063.96229894378</v>
      </c>
      <c r="AN11" s="58">
        <v>6.93E-2</v>
      </c>
      <c r="AO11" s="43">
        <f t="shared" si="64"/>
        <v>43737.953194681308</v>
      </c>
      <c r="AP11" s="43">
        <f>AP10+AO11</f>
        <v>237813.28663428454</v>
      </c>
      <c r="AQ11" s="43">
        <f>AM11-AO11</f>
        <v>393326.00910426246</v>
      </c>
      <c r="AR11" s="44">
        <f t="shared" si="76"/>
        <v>520689.91898430127</v>
      </c>
      <c r="AS11" s="59">
        <v>0.05</v>
      </c>
      <c r="AT11" s="44">
        <f t="shared" si="65"/>
        <v>31556.96478692735</v>
      </c>
      <c r="AU11" s="44">
        <f>AU10+AT11</f>
        <v>142006.34154117308</v>
      </c>
      <c r="AV11" s="44">
        <f>AR11-AT11</f>
        <v>489132.95419737394</v>
      </c>
      <c r="AW11" s="43">
        <f t="shared" si="77"/>
        <v>483873.46006621944</v>
      </c>
      <c r="AX11" s="59">
        <f t="shared" si="78"/>
        <v>6.6666666666666666E-2</v>
      </c>
      <c r="AY11" s="43">
        <f t="shared" si="66"/>
        <v>42075.953049236465</v>
      </c>
      <c r="AZ11" s="43">
        <f>AZ10+AY11</f>
        <v>189341.78872156411</v>
      </c>
      <c r="BA11" s="43">
        <f>AW11-AY11</f>
        <v>441797.507016983</v>
      </c>
      <c r="BB11" s="45">
        <f t="shared" si="79"/>
        <v>1262075.5555200002</v>
      </c>
      <c r="BC11" s="227">
        <f>VLOOKUP($CQ$6,$CM$109:$DP$120,6,TRUE)</f>
        <v>3.6360000000000003E-2</v>
      </c>
      <c r="BD11" s="45">
        <f t="shared" si="67"/>
        <v>53227.549440000003</v>
      </c>
      <c r="BE11" s="45">
        <f>BE10+BD11</f>
        <v>255055.99392000001</v>
      </c>
      <c r="BF11" s="45">
        <f>BB11-BD11</f>
        <v>1208848.0060800002</v>
      </c>
      <c r="BG11" s="46">
        <f t="shared" si="80"/>
        <v>1978588.35</v>
      </c>
      <c r="BH11" s="60">
        <f>VLOOKUP($CQ$6,$CM$109:$DP$120,6,TRUE)</f>
        <v>3.6360000000000003E-2</v>
      </c>
      <c r="BI11" s="46">
        <f t="shared" si="68"/>
        <v>83446.200000000012</v>
      </c>
      <c r="BJ11" s="46">
        <f>BJ10+BI11</f>
        <v>399857.85000000003</v>
      </c>
      <c r="BK11" s="46">
        <f>BG11-BI11</f>
        <v>1895142.1500000001</v>
      </c>
      <c r="BL11" s="46">
        <f t="shared" si="81"/>
        <v>0</v>
      </c>
      <c r="BM11" s="60">
        <f>VLOOKUP($CQ$6,$CM$109:$DP$120,6,TRUE)</f>
        <v>3.6360000000000003E-2</v>
      </c>
      <c r="BN11" s="46">
        <f t="shared" si="69"/>
        <v>0</v>
      </c>
      <c r="BO11" s="46">
        <f>BO10+BN11</f>
        <v>0</v>
      </c>
      <c r="BP11" s="46">
        <f>BL11-BN11</f>
        <v>0</v>
      </c>
      <c r="BQ11" s="44">
        <f t="shared" si="82"/>
        <v>1260580.8705038268</v>
      </c>
      <c r="BR11" s="100">
        <v>2.564E-2</v>
      </c>
      <c r="BS11" s="44">
        <f t="shared" si="45"/>
        <v>35803.149841836734</v>
      </c>
      <c r="BT11" s="44">
        <f>BT10+BS11</f>
        <v>171600.97831760204</v>
      </c>
      <c r="BU11" s="44">
        <f>BQ11-BS11</f>
        <v>1224777.7206619901</v>
      </c>
      <c r="BV11" s="44">
        <f t="shared" si="83"/>
        <v>1264015.9621033166</v>
      </c>
      <c r="BW11" s="100">
        <v>2.5000000000000001E-2</v>
      </c>
      <c r="BX11" s="44">
        <f t="shared" si="46"/>
        <v>34909.467474489793</v>
      </c>
      <c r="BY11" s="44">
        <f>BY10+BX11</f>
        <v>167272.2043507653</v>
      </c>
      <c r="BZ11" s="44">
        <f>BV11-BX11</f>
        <v>1229106.4946288269</v>
      </c>
      <c r="CA11" s="44"/>
      <c r="CB11" s="43">
        <f t="shared" si="84"/>
        <v>2071811.2500000002</v>
      </c>
      <c r="CC11" s="100">
        <v>2.564E-2</v>
      </c>
      <c r="CD11" s="43">
        <f t="shared" si="47"/>
        <v>58843.799999999996</v>
      </c>
      <c r="CE11" s="43">
        <f>CE10+CD11</f>
        <v>282032.55</v>
      </c>
      <c r="CF11" s="43">
        <f>CB11-CD11</f>
        <v>2012967.4500000002</v>
      </c>
      <c r="CG11" s="43">
        <f t="shared" si="85"/>
        <v>0</v>
      </c>
      <c r="CH11" s="100">
        <v>2.564E-2</v>
      </c>
      <c r="CI11" s="43">
        <f t="shared" si="70"/>
        <v>0</v>
      </c>
      <c r="CJ11" s="43">
        <f>CJ10+CI11</f>
        <v>0</v>
      </c>
      <c r="CK11" s="43">
        <f>CG11-CI11</f>
        <v>0</v>
      </c>
      <c r="CN11" s="101"/>
      <c r="CQ11" s="22" t="s">
        <v>171</v>
      </c>
      <c r="CS11"/>
      <c r="CT11"/>
      <c r="CU11"/>
      <c r="CV11" s="71">
        <v>3.5</v>
      </c>
      <c r="CW11" s="72">
        <v>0.29166666666666669</v>
      </c>
      <c r="CX11" s="67"/>
      <c r="CY11" s="67"/>
      <c r="CZ11" s="67"/>
      <c r="DA11" s="67"/>
      <c r="DB11"/>
      <c r="DC11" s="54"/>
      <c r="DD11" s="76">
        <v>3</v>
      </c>
      <c r="DE11" s="77">
        <f t="shared" si="86"/>
        <v>30844.800000000007</v>
      </c>
      <c r="DJ11" s="22">
        <v>7</v>
      </c>
      <c r="DK11" s="44">
        <f t="shared" si="12"/>
        <v>83446.200000000012</v>
      </c>
      <c r="DL11" s="44">
        <f t="shared" si="13"/>
        <v>90464.767888574279</v>
      </c>
      <c r="DM11" s="44">
        <f t="shared" si="1"/>
        <v>53227.549440000003</v>
      </c>
      <c r="DN11" s="44">
        <f t="shared" si="2"/>
        <v>71846.158664287141</v>
      </c>
      <c r="DO11" s="44">
        <f t="shared" si="14"/>
        <v>60674.993129714858</v>
      </c>
      <c r="DP11" s="44">
        <f t="shared" si="15"/>
        <v>68122.436819429713</v>
      </c>
      <c r="DQ11" s="44">
        <f t="shared" si="16"/>
        <v>75569.880509144568</v>
      </c>
      <c r="DR11" s="44">
        <f t="shared" si="17"/>
        <v>83017.324198859424</v>
      </c>
      <c r="DS11" s="44">
        <f t="shared" si="3"/>
        <v>31556.96478692735</v>
      </c>
      <c r="DT11" s="44">
        <f t="shared" si="18"/>
        <v>0</v>
      </c>
      <c r="DV11" s="44">
        <f t="shared" si="4"/>
        <v>566750.25</v>
      </c>
      <c r="DW11" s="44">
        <f t="shared" si="87"/>
        <v>392534.23026882333</v>
      </c>
      <c r="DX11" s="44">
        <f t="shared" si="19"/>
        <v>709303.04280000017</v>
      </c>
      <c r="DY11" s="44">
        <f t="shared" si="88"/>
        <v>550918.63653441169</v>
      </c>
      <c r="DZ11" s="44">
        <f>0.8*($D$3+$I$3+$AM$3)+0.2*($G$12+$L$12+$AP13)+BE13-BJ12</f>
        <v>645949.28029376478</v>
      </c>
      <c r="EA11" s="44">
        <f t="shared" si="21"/>
        <v>502612.83608294814</v>
      </c>
      <c r="EB11" s="44">
        <f t="shared" si="22"/>
        <v>399267.73272442212</v>
      </c>
      <c r="EC11" s="44">
        <f t="shared" si="23"/>
        <v>233048.53272442217</v>
      </c>
      <c r="ED11" s="44">
        <f t="shared" si="89"/>
        <v>-78227.074623519147</v>
      </c>
      <c r="EE11" s="44">
        <f t="shared" si="24"/>
        <v>0</v>
      </c>
      <c r="EG11" s="22">
        <v>7</v>
      </c>
      <c r="EH11" s="44">
        <f t="shared" si="5"/>
        <v>58843.799999999996</v>
      </c>
      <c r="EI11" s="44">
        <f t="shared" si="6"/>
        <v>79070.377671533439</v>
      </c>
      <c r="EJ11" s="44">
        <f t="shared" si="7"/>
        <v>35803.149841836734</v>
      </c>
      <c r="EK11" s="44">
        <f t="shared" si="8"/>
        <v>57436.76375668509</v>
      </c>
      <c r="EL11" s="44">
        <f t="shared" si="25"/>
        <v>44456.595407776076</v>
      </c>
      <c r="EM11" s="44">
        <f t="shared" si="26"/>
        <v>53110.040973715419</v>
      </c>
      <c r="EN11" s="44">
        <f t="shared" si="27"/>
        <v>61763.486539654761</v>
      </c>
      <c r="EO11" s="44">
        <f t="shared" si="28"/>
        <v>70416.932105594111</v>
      </c>
      <c r="EP11" s="44">
        <f t="shared" si="9"/>
        <v>83870.420523726265</v>
      </c>
      <c r="EQ11" s="44">
        <f t="shared" si="29"/>
        <v>0</v>
      </c>
      <c r="ES11" s="44">
        <f t="shared" si="10"/>
        <v>399720.14999999997</v>
      </c>
      <c r="ET11" s="44">
        <f>SUM(G$12,$L$12,AA13,AP13,BT13,-CE12)</f>
        <v>481171.78806499671</v>
      </c>
      <c r="EU11" s="44">
        <f t="shared" si="11"/>
        <v>800952.22902168368</v>
      </c>
      <c r="EV11" s="44">
        <f>0.5*($D$3+$I$3+$X$3+$AM$3)+0.5*($G$12+$L$12+$AA13+$AP13)+BT13-CE12</f>
        <v>641062.00854334026</v>
      </c>
      <c r="EW11" s="44">
        <f>0.8*($D$3+$I$3+$X$3+$AM$3)+0.2*($G$12+$L$12+$AA13+$AP13)+BT13-CE12</f>
        <v>736996.1408303465</v>
      </c>
      <c r="EX11" s="44">
        <f t="shared" si="31"/>
        <v>593057.37093442772</v>
      </c>
      <c r="EY11" s="44">
        <f t="shared" si="32"/>
        <v>489109.94189079967</v>
      </c>
      <c r="EZ11" s="44">
        <f t="shared" si="33"/>
        <v>309385.68168671813</v>
      </c>
      <c r="FA11" s="44">
        <f>SUM($Q$12,$V$12,AF13,AZ13,BY13,-CE12)</f>
        <v>414417.688381235</v>
      </c>
      <c r="FB11" s="44">
        <f t="shared" si="34"/>
        <v>0</v>
      </c>
      <c r="FD11" s="22">
        <f t="shared" si="48"/>
        <v>7</v>
      </c>
      <c r="FF11" s="22">
        <f t="shared" si="49"/>
        <v>7</v>
      </c>
      <c r="FG11" s="138">
        <f t="shared" si="50"/>
        <v>2031</v>
      </c>
      <c r="FH11" s="90">
        <f t="shared" si="35"/>
        <v>83446.200000000012</v>
      </c>
      <c r="FI11" s="90">
        <f t="shared" si="36"/>
        <v>0</v>
      </c>
      <c r="FJ11" s="90">
        <f t="shared" si="37"/>
        <v>83446.200000000012</v>
      </c>
      <c r="FK11" s="44">
        <f t="shared" si="51"/>
        <v>90464.767888574279</v>
      </c>
      <c r="FL11" s="90" cm="1">
        <f t="array" ref="FL11">IF($CQ$5&lt;$CP$5,_xlfn.XLOOKUP(FD11,$EG$5:$EG$54,$DN$5:$DN$54),IF(OR(AND($CQ$5&gt;$CP$5,$CQ$5&lt;$CO$5),OR($CQ$5&gt;=$CL$5)),_xlfn.XLOOKUP(FD11,$EG$5:$EG$54,$DM$5:DM$54),IF(AND($CQ$5&gt;$CO$5,$CQ$5&lt;$CN$5),_xlfn.XLOOKUP(FD11,$EG$5:$EG$54,$DO$5:$DO$54),IF(AND($CQ$5&gt;$CN$5,$CQ$5&lt;$CM$5),_xlfn.XLOOKUP(FD11,$EG$5:$EG$54,$DP$5:$DP$54),IF(AND($CQ$5&gt;$CM$5,$CQ$5&lt;$CL$5),_xlfn.XLOOKUP(FD11,$EG$5:$EG$54,$DQ$5:$DQ$54))))))</f>
        <v>68122.436819429713</v>
      </c>
      <c r="FM11" s="44">
        <f t="shared" si="52"/>
        <v>31556.96478692735</v>
      </c>
      <c r="FP11" s="22">
        <f t="shared" si="53"/>
        <v>7</v>
      </c>
      <c r="FR11" s="22">
        <f t="shared" si="54"/>
        <v>7</v>
      </c>
      <c r="FS11" s="138">
        <f t="shared" si="55"/>
        <v>2031</v>
      </c>
      <c r="FT11" s="90">
        <f t="shared" si="38"/>
        <v>58843.799999999996</v>
      </c>
      <c r="FU11" s="90">
        <f t="shared" si="39"/>
        <v>0</v>
      </c>
      <c r="FV11" s="90">
        <f t="shared" si="40"/>
        <v>58843.799999999996</v>
      </c>
      <c r="FW11" s="44">
        <f t="shared" si="56"/>
        <v>79070.377671533439</v>
      </c>
      <c r="FX11" s="90" cm="1">
        <f t="array" ref="FX11">IF($CQ$5&lt;$CP$5,_xlfn.XLOOKUP(FP11,$EG$5:$EG$54,$EK$5:$EK$54),IF(OR(AND($CQ$5&gt;$CP$5,$CQ$5&lt;$CO$5),OR($CQ$5&gt;=$CL$5)),_xlfn.XLOOKUP(FP11,$EG$5:$EG$54,$EJ$5:$EJ$54),IF(AND($CQ$5&gt;$CO$5,$CQ$5&lt;$CN$5),_xlfn.XLOOKUP(FP11,$EG$5:$EG$54,$EL$5:$EL$54),IF(AND($CQ$5&gt;$CN$5,$CQ$5&lt;$CM$5),_xlfn.XLOOKUP(FP11,$EG$5:$EG$54,$EM$5:$EM$54),_xlfn.XLOOKUP(FP11,$EG$5:$EG$54,$EN$5:EN$54,IF(AND($CQ$5&gt;$CM$5,$CQ$5&lt;$CL$5),_xlfn.XLOOKUP(FD10,$EG$5:$EG$54,$EY$5:$EY$54),""))))))</f>
        <v>53110.040973715419</v>
      </c>
      <c r="FY11" s="44">
        <f t="shared" si="57"/>
        <v>83870.420523726265</v>
      </c>
      <c r="GA11" s="211" t="s">
        <v>222</v>
      </c>
    </row>
    <row r="12" spans="1:183" ht="15.75" x14ac:dyDescent="0.25">
      <c r="C12" s="48">
        <v>6</v>
      </c>
      <c r="D12" s="42">
        <f>H11</f>
        <v>9253.4400000000169</v>
      </c>
      <c r="E12" s="58">
        <v>5.7599999999999998E-2</v>
      </c>
      <c r="F12" s="43">
        <f t="shared" si="41"/>
        <v>9253.4400000000023</v>
      </c>
      <c r="G12" s="43">
        <f>G11+F12</f>
        <v>160650.00000000003</v>
      </c>
      <c r="H12" s="43">
        <f>D12-F12</f>
        <v>1.4551915228366852E-11</v>
      </c>
      <c r="I12" s="44">
        <f>M11</f>
        <v>2264.0661654596988</v>
      </c>
      <c r="J12" s="59">
        <v>5.7599999999999998E-2</v>
      </c>
      <c r="K12" s="44">
        <f t="shared" si="42"/>
        <v>2264.0661654596961</v>
      </c>
      <c r="L12" s="44">
        <f>L11+K12</f>
        <v>39306.704261453058</v>
      </c>
      <c r="M12" s="44">
        <f>I12-K12</f>
        <v>0</v>
      </c>
      <c r="N12" s="42">
        <f>R11</f>
        <v>16065.000000000015</v>
      </c>
      <c r="O12" s="58">
        <f>$CS$75</f>
        <v>0.1</v>
      </c>
      <c r="P12" s="43">
        <f t="shared" si="43"/>
        <v>16065.000000000004</v>
      </c>
      <c r="Q12" s="43">
        <f>Q11+P12</f>
        <v>160650.00000000003</v>
      </c>
      <c r="R12" s="43">
        <f>N12-P12</f>
        <v>0</v>
      </c>
      <c r="S12" s="44">
        <f>W11</f>
        <v>125273.96616469223</v>
      </c>
      <c r="T12" s="58">
        <f>$CS$75</f>
        <v>0.1</v>
      </c>
      <c r="U12" s="44">
        <f t="shared" si="44"/>
        <v>3930.670426145306</v>
      </c>
      <c r="V12" s="44">
        <f>V11+U12</f>
        <v>39306.704261453058</v>
      </c>
      <c r="W12" s="44">
        <f>S12-U12</f>
        <v>121343.29573854692</v>
      </c>
      <c r="X12" s="43">
        <f t="shared" si="71"/>
        <v>15064.894657653038</v>
      </c>
      <c r="Y12" s="58">
        <v>8.9200000000000002E-2</v>
      </c>
      <c r="Z12" s="43">
        <f t="shared" si="58"/>
        <v>6023.256851020401</v>
      </c>
      <c r="AA12" s="43">
        <f t="shared" si="59"/>
        <v>58483.663213775442</v>
      </c>
      <c r="AB12" s="43">
        <f t="shared" si="60"/>
        <v>9041.6378066326361</v>
      </c>
      <c r="AC12" s="104">
        <f t="shared" si="72"/>
        <v>37867.5</v>
      </c>
      <c r="AD12" s="106">
        <v>0.1</v>
      </c>
      <c r="AE12" s="104">
        <f t="shared" si="73"/>
        <v>6885</v>
      </c>
      <c r="AF12" s="104">
        <f t="shared" si="61"/>
        <v>37867.5</v>
      </c>
      <c r="AG12" s="104">
        <f t="shared" si="62"/>
        <v>30982.5</v>
      </c>
      <c r="AH12" s="44">
        <f t="shared" si="74"/>
        <v>393326.00910426246</v>
      </c>
      <c r="AI12" s="59">
        <v>6.2300000000000001E-2</v>
      </c>
      <c r="AJ12" s="44">
        <f t="shared" si="63"/>
        <v>39319.978124511479</v>
      </c>
      <c r="AK12" s="44">
        <f t="shared" ref="AK12:AK22" si="90">AK11+AJ12</f>
        <v>277133.26475879602</v>
      </c>
      <c r="AL12" s="44">
        <f t="shared" ref="AL12:AL22" si="91">AH12-AJ12</f>
        <v>354006.03097975097</v>
      </c>
      <c r="AM12" s="43">
        <f t="shared" si="75"/>
        <v>393326.00910426246</v>
      </c>
      <c r="AN12" s="58">
        <v>6.2300000000000001E-2</v>
      </c>
      <c r="AO12" s="43">
        <f t="shared" si="64"/>
        <v>39319.978124511479</v>
      </c>
      <c r="AP12" s="43">
        <f t="shared" ref="AP12:AP22" si="92">AP11+AO12</f>
        <v>277133.26475879602</v>
      </c>
      <c r="AQ12" s="43">
        <f t="shared" ref="AQ12:AQ22" si="93">AM12-AO12</f>
        <v>354006.03097975097</v>
      </c>
      <c r="AR12" s="44">
        <f t="shared" si="76"/>
        <v>489132.95419737394</v>
      </c>
      <c r="AS12" s="59">
        <v>0.05</v>
      </c>
      <c r="AT12" s="44">
        <f t="shared" si="65"/>
        <v>31556.96478692735</v>
      </c>
      <c r="AU12" s="44">
        <f t="shared" ref="AU12:AU27" si="94">AU11+AT12</f>
        <v>173563.30632810044</v>
      </c>
      <c r="AV12" s="44">
        <f t="shared" ref="AV12:AV27" si="95">AR12-AT12</f>
        <v>457575.98941044661</v>
      </c>
      <c r="AW12" s="43">
        <f t="shared" si="77"/>
        <v>441797.507016983</v>
      </c>
      <c r="AX12" s="59">
        <f t="shared" si="78"/>
        <v>6.6666666666666666E-2</v>
      </c>
      <c r="AY12" s="43">
        <f t="shared" si="66"/>
        <v>42075.953049236465</v>
      </c>
      <c r="AZ12" s="43">
        <f t="shared" ref="AZ12:AZ22" si="96">AZ11+AY12</f>
        <v>231417.74177080058</v>
      </c>
      <c r="BA12" s="43">
        <f t="shared" ref="BA12:BA22" si="97">AW12-AY12</f>
        <v>399721.55396774656</v>
      </c>
      <c r="BB12" s="45">
        <f t="shared" si="79"/>
        <v>1208848.0060800002</v>
      </c>
      <c r="BC12" s="227">
        <f>VLOOKUP($CQ$6,$CM$109:$DP$120,7,TRUE)</f>
        <v>3.6360000000000003E-2</v>
      </c>
      <c r="BD12" s="45">
        <f t="shared" si="67"/>
        <v>53227.549440000003</v>
      </c>
      <c r="BE12" s="45">
        <f t="shared" ref="BE12:BE35" si="98">BE11+BD12</f>
        <v>308283.54336000001</v>
      </c>
      <c r="BF12" s="45">
        <f t="shared" ref="BF12:BF35" si="99">BB12-BD12</f>
        <v>1155620.4566400002</v>
      </c>
      <c r="BG12" s="46">
        <f t="shared" si="80"/>
        <v>1895142.1500000001</v>
      </c>
      <c r="BH12" s="60">
        <f>VLOOKUP($CQ$6,$CM$109:$DP$120,7,TRUE)</f>
        <v>3.6360000000000003E-2</v>
      </c>
      <c r="BI12" s="46">
        <f t="shared" si="68"/>
        <v>83446.200000000012</v>
      </c>
      <c r="BJ12" s="46">
        <f t="shared" ref="BJ12:BJ35" si="100">BJ11+BI12</f>
        <v>483304.05000000005</v>
      </c>
      <c r="BK12" s="46">
        <f t="shared" ref="BK12:BK34" si="101">BG12-BI12</f>
        <v>1811695.9500000002</v>
      </c>
      <c r="BL12" s="46">
        <f t="shared" si="81"/>
        <v>0</v>
      </c>
      <c r="BM12" s="60">
        <f>VLOOKUP($CQ$6,$CM$109:$DP$120,7,TRUE)</f>
        <v>3.6360000000000003E-2</v>
      </c>
      <c r="BN12" s="46">
        <f t="shared" si="69"/>
        <v>0</v>
      </c>
      <c r="BO12" s="46">
        <f t="shared" ref="BO12:BO35" si="102">BO11+BN12</f>
        <v>0</v>
      </c>
      <c r="BP12" s="46">
        <f t="shared" ref="BP12:BP35" si="103">BL12-BN12</f>
        <v>0</v>
      </c>
      <c r="BQ12" s="44">
        <f t="shared" si="82"/>
        <v>1224777.7206619901</v>
      </c>
      <c r="BR12" s="100">
        <v>2.564E-2</v>
      </c>
      <c r="BS12" s="44">
        <f t="shared" si="45"/>
        <v>35803.149841836734</v>
      </c>
      <c r="BT12" s="44">
        <f t="shared" ref="BT12:BT46" si="104">BT11+BS12</f>
        <v>207404.12815943878</v>
      </c>
      <c r="BU12" s="44">
        <f t="shared" ref="BU12:BU46" si="105">BQ12-BS12</f>
        <v>1188974.5708201535</v>
      </c>
      <c r="BV12" s="44">
        <f t="shared" si="83"/>
        <v>1229106.4946288269</v>
      </c>
      <c r="BW12" s="100">
        <v>2.5000000000000001E-2</v>
      </c>
      <c r="BX12" s="44">
        <f t="shared" si="46"/>
        <v>34909.467474489793</v>
      </c>
      <c r="BY12" s="44">
        <f t="shared" ref="BY12:BY47" si="106">BY11+BX12</f>
        <v>202181.67182525509</v>
      </c>
      <c r="BZ12" s="44">
        <f t="shared" ref="BZ12:BZ47" si="107">BV12-BX12</f>
        <v>1194197.0271543371</v>
      </c>
      <c r="CA12" s="44"/>
      <c r="CB12" s="43">
        <f t="shared" si="84"/>
        <v>2012967.4500000002</v>
      </c>
      <c r="CC12" s="100">
        <v>2.564E-2</v>
      </c>
      <c r="CD12" s="43">
        <f t="shared" si="47"/>
        <v>58843.799999999996</v>
      </c>
      <c r="CE12" s="43">
        <f t="shared" ref="CE12:CE46" si="108">CE11+CD12</f>
        <v>340876.35</v>
      </c>
      <c r="CF12" s="43">
        <f t="shared" ref="CF12:CF46" si="109">CB12-CD12</f>
        <v>1954123.6500000001</v>
      </c>
      <c r="CG12" s="43">
        <f t="shared" si="85"/>
        <v>0</v>
      </c>
      <c r="CH12" s="100">
        <v>2.564E-2</v>
      </c>
      <c r="CI12" s="43">
        <f t="shared" si="70"/>
        <v>0</v>
      </c>
      <c r="CJ12" s="43">
        <f t="shared" ref="CJ12:CJ46" si="110">CJ11+CI12</f>
        <v>0</v>
      </c>
      <c r="CK12" s="43">
        <f t="shared" ref="CK12:CK46" si="111">CG12-CI12</f>
        <v>0</v>
      </c>
      <c r="CN12" s="101"/>
      <c r="CQ12" s="21">
        <f>'Input Sheet'!AB3</f>
        <v>46006</v>
      </c>
      <c r="CR12">
        <f>ROUNDUP((CQ12-CQ4)/365.25,0)</f>
        <v>2</v>
      </c>
      <c r="CS12"/>
      <c r="CT12">
        <v>75</v>
      </c>
      <c r="CU12">
        <v>98</v>
      </c>
      <c r="CV12" s="71">
        <v>4.5</v>
      </c>
      <c r="CW12" s="72">
        <v>0.375</v>
      </c>
      <c r="CX12" s="67"/>
      <c r="CY12" s="67"/>
      <c r="CZ12" s="67"/>
      <c r="DA12" s="67"/>
      <c r="DB12"/>
      <c r="DC12" s="54"/>
      <c r="DD12" s="76">
        <v>4</v>
      </c>
      <c r="DE12" s="77">
        <f t="shared" si="86"/>
        <v>18506.880000000005</v>
      </c>
      <c r="DJ12" s="22">
        <v>8</v>
      </c>
      <c r="DK12" s="44">
        <f t="shared" si="12"/>
        <v>83446.200000000012</v>
      </c>
      <c r="DL12" s="44">
        <f t="shared" si="13"/>
        <v>90464.767888574279</v>
      </c>
      <c r="DM12" s="44">
        <f t="shared" si="1"/>
        <v>53227.549440000003</v>
      </c>
      <c r="DN12" s="44">
        <f t="shared" si="2"/>
        <v>71846.158664287141</v>
      </c>
      <c r="DO12" s="44">
        <f t="shared" si="14"/>
        <v>60674.993129714858</v>
      </c>
      <c r="DP12" s="44">
        <f t="shared" si="15"/>
        <v>68122.436819429713</v>
      </c>
      <c r="DQ12" s="44">
        <f t="shared" si="16"/>
        <v>75569.880509144568</v>
      </c>
      <c r="DR12" s="44">
        <f t="shared" si="17"/>
        <v>83017.324198859424</v>
      </c>
      <c r="DS12" s="44">
        <f t="shared" si="3"/>
        <v>31556.96478692735</v>
      </c>
      <c r="DT12" s="44">
        <f t="shared" si="18"/>
        <v>0</v>
      </c>
      <c r="DV12" s="44">
        <f t="shared" si="4"/>
        <v>650196.44999999995</v>
      </c>
      <c r="DW12" s="44">
        <f t="shared" si="87"/>
        <v>399552.79815739754</v>
      </c>
      <c r="DX12" s="44">
        <f t="shared" si="19"/>
        <v>679084.39223999996</v>
      </c>
      <c r="DY12" s="44">
        <f t="shared" si="88"/>
        <v>539318.59519869881</v>
      </c>
      <c r="DZ12" s="44">
        <f t="shared" ref="DZ12:DZ19" si="112">0.8*($D$3+$I$3+$AM$3)+0.2*($G$12+$L$12+$AP14)+BE14-BJ13</f>
        <v>623178.07342347968</v>
      </c>
      <c r="EA12" s="44">
        <f t="shared" si="21"/>
        <v>487289.07290237769</v>
      </c>
      <c r="EB12" s="44">
        <f t="shared" si="22"/>
        <v>391391.4132335668</v>
      </c>
      <c r="EC12" s="44">
        <f t="shared" si="23"/>
        <v>225172.21323356673</v>
      </c>
      <c r="ED12" s="44">
        <f t="shared" si="89"/>
        <v>-130116.30983659171</v>
      </c>
      <c r="EE12" s="44">
        <f t="shared" si="24"/>
        <v>0</v>
      </c>
      <c r="EG12" s="22">
        <v>8</v>
      </c>
      <c r="EH12" s="44">
        <f t="shared" si="5"/>
        <v>58843.799999999996</v>
      </c>
      <c r="EI12" s="44">
        <f t="shared" si="6"/>
        <v>76051.99671592121</v>
      </c>
      <c r="EJ12" s="44">
        <f t="shared" si="7"/>
        <v>35803.149841836734</v>
      </c>
      <c r="EK12" s="44">
        <f t="shared" si="8"/>
        <v>55927.573278878968</v>
      </c>
      <c r="EL12" s="44">
        <f t="shared" si="25"/>
        <v>43852.91921665363</v>
      </c>
      <c r="EM12" s="44">
        <f t="shared" si="26"/>
        <v>51902.68859147052</v>
      </c>
      <c r="EN12" s="44">
        <f t="shared" si="27"/>
        <v>59952.457966287417</v>
      </c>
      <c r="EO12" s="44">
        <f t="shared" si="28"/>
        <v>68002.227341104313</v>
      </c>
      <c r="EP12" s="44">
        <f t="shared" si="9"/>
        <v>83870.420523726265</v>
      </c>
      <c r="EQ12" s="44">
        <f t="shared" si="29"/>
        <v>0</v>
      </c>
      <c r="ES12" s="44">
        <f t="shared" si="10"/>
        <v>458563.94999999995</v>
      </c>
      <c r="ET12" s="44">
        <f t="shared" ref="ET12:ET19" si="113">SUM(G$12,$L$12,$AA$14,AP14,BT14,-CE13)</f>
        <v>498379.98478091805</v>
      </c>
      <c r="EU12" s="44">
        <f t="shared" si="11"/>
        <v>777911.57886352064</v>
      </c>
      <c r="EV12" s="44">
        <f t="shared" ref="EV12:EV19" si="114">0.5*($D$3+$I$3+$X$3+$AM$3)+0.5*($G$12+$L$12+$AA$14+$AP14)+BT14-CE13</f>
        <v>638145.78182221926</v>
      </c>
      <c r="EW12" s="44">
        <f t="shared" ref="EW12" si="115">0.8*($D$3+$I$3+$X$3+$AM$3)+0.2*($G$12+$L$12+$AA14+$AP14)+BT14-CE13</f>
        <v>722005.26004700013</v>
      </c>
      <c r="EX12" s="44">
        <f t="shared" si="31"/>
        <v>586116.25952589815</v>
      </c>
      <c r="EY12" s="44">
        <f t="shared" si="32"/>
        <v>490218.59985708719</v>
      </c>
      <c r="EZ12" s="44">
        <f t="shared" si="33"/>
        <v>310494.33965300553</v>
      </c>
      <c r="FA12" s="44">
        <f>SUM($Q$12,$V$12,AF14,AZ14,BY14,-CE13)</f>
        <v>439444.30890496128</v>
      </c>
      <c r="FB12" s="44">
        <f t="shared" si="34"/>
        <v>0</v>
      </c>
      <c r="FD12" s="22">
        <f t="shared" si="48"/>
        <v>8</v>
      </c>
      <c r="FF12" s="22">
        <f t="shared" si="49"/>
        <v>8</v>
      </c>
      <c r="FG12" s="138">
        <f t="shared" si="50"/>
        <v>2032</v>
      </c>
      <c r="FH12" s="90">
        <f t="shared" si="35"/>
        <v>83446.200000000012</v>
      </c>
      <c r="FI12" s="90">
        <f t="shared" si="36"/>
        <v>0</v>
      </c>
      <c r="FJ12" s="90">
        <f t="shared" si="37"/>
        <v>83446.200000000012</v>
      </c>
      <c r="FK12" s="44">
        <f t="shared" si="51"/>
        <v>90464.767888574279</v>
      </c>
      <c r="FL12" s="90" cm="1">
        <f t="array" ref="FL12">IF($CQ$5&lt;$CP$5,_xlfn.XLOOKUP(FD12,$EG$5:$EG$54,$DN$5:$DN$54),IF(OR(AND($CQ$5&gt;$CP$5,$CQ$5&lt;$CO$5),OR($CQ$5&gt;=$CL$5)),_xlfn.XLOOKUP(FD12,$EG$5:$EG$54,$DM$5:DM$54),IF(AND($CQ$5&gt;$CO$5,$CQ$5&lt;$CN$5),_xlfn.XLOOKUP(FD12,$EG$5:$EG$54,$DO$5:$DO$54),IF(AND($CQ$5&gt;$CN$5,$CQ$5&lt;$CM$5),_xlfn.XLOOKUP(FD12,$EG$5:$EG$54,$DP$5:$DP$54),IF(AND($CQ$5&gt;$CM$5,$CQ$5&lt;$CL$5),_xlfn.XLOOKUP(FD12,$EG$5:$EG$54,$DQ$5:$DQ$54))))))</f>
        <v>68122.436819429713</v>
      </c>
      <c r="FM12" s="44">
        <f t="shared" si="52"/>
        <v>31556.96478692735</v>
      </c>
      <c r="FP12" s="22">
        <f t="shared" si="53"/>
        <v>8</v>
      </c>
      <c r="FR12" s="22">
        <f t="shared" si="54"/>
        <v>8</v>
      </c>
      <c r="FS12" s="138">
        <f t="shared" si="55"/>
        <v>2032</v>
      </c>
      <c r="FT12" s="90">
        <f t="shared" si="38"/>
        <v>58843.799999999996</v>
      </c>
      <c r="FU12" s="90">
        <f t="shared" si="39"/>
        <v>0</v>
      </c>
      <c r="FV12" s="90">
        <f t="shared" si="40"/>
        <v>58843.799999999996</v>
      </c>
      <c r="FW12" s="44">
        <f t="shared" si="56"/>
        <v>76051.99671592121</v>
      </c>
      <c r="FX12" s="90" cm="1">
        <f t="array" ref="FX12">IF($CQ$5&lt;$CP$5,_xlfn.XLOOKUP(FP12,$EG$5:$EG$54,$EK$5:$EK$54),IF(OR(AND($CQ$5&gt;$CP$5,$CQ$5&lt;$CO$5),OR($CQ$5&gt;=$CL$5)),_xlfn.XLOOKUP(FP12,$EG$5:$EG$54,$EJ$5:$EJ$54),IF(AND($CQ$5&gt;$CO$5,$CQ$5&lt;$CN$5),_xlfn.XLOOKUP(FP12,$EG$5:$EG$54,$EL$5:$EL$54),IF(AND($CQ$5&gt;$CN$5,$CQ$5&lt;$CM$5),_xlfn.XLOOKUP(FP12,$EG$5:$EG$54,$EM$5:$EM$54),_xlfn.XLOOKUP(FP12,$EG$5:$EG$54,$EN$5:EN$54,IF(AND($CQ$5&gt;$CM$5,$CQ$5&lt;$CL$5),_xlfn.XLOOKUP(FD11,$EG$5:$EG$54,$EY$5:$EY$54),""))))))</f>
        <v>51902.68859147052</v>
      </c>
      <c r="FY12" s="44">
        <f t="shared" si="57"/>
        <v>83870.420523726265</v>
      </c>
      <c r="FZ12" s="22" t="s">
        <v>226</v>
      </c>
      <c r="GA12" s="210" t="s">
        <v>225</v>
      </c>
    </row>
    <row r="13" spans="1:183" ht="15.75" x14ac:dyDescent="0.25">
      <c r="C13" s="48">
        <v>7</v>
      </c>
      <c r="D13" s="42"/>
      <c r="E13" s="43"/>
      <c r="F13" s="43"/>
      <c r="G13" s="43"/>
      <c r="H13" s="43"/>
      <c r="I13" s="44"/>
      <c r="J13" s="44"/>
      <c r="K13" s="44"/>
      <c r="L13" s="44"/>
      <c r="M13" s="44"/>
      <c r="N13" s="42"/>
      <c r="O13" s="43"/>
      <c r="P13" s="43"/>
      <c r="Q13" s="43"/>
      <c r="R13" s="43"/>
      <c r="S13" s="44"/>
      <c r="T13" s="44"/>
      <c r="U13" s="44"/>
      <c r="V13" s="44"/>
      <c r="W13" s="44"/>
      <c r="X13" s="43">
        <f t="shared" si="71"/>
        <v>9041.6378066326361</v>
      </c>
      <c r="Y13" s="58">
        <v>8.9300000000000004E-2</v>
      </c>
      <c r="Z13" s="43">
        <f t="shared" si="58"/>
        <v>6030.0093811224415</v>
      </c>
      <c r="AA13" s="43">
        <f t="shared" si="59"/>
        <v>64513.672594897886</v>
      </c>
      <c r="AB13" s="43">
        <f t="shared" si="60"/>
        <v>3011.6284255101946</v>
      </c>
      <c r="AC13" s="104">
        <f t="shared" si="72"/>
        <v>30982.5</v>
      </c>
      <c r="AD13" s="106">
        <v>0.1</v>
      </c>
      <c r="AE13" s="104">
        <f t="shared" si="73"/>
        <v>6885</v>
      </c>
      <c r="AF13" s="104">
        <f t="shared" si="61"/>
        <v>44752.5</v>
      </c>
      <c r="AG13" s="104">
        <f t="shared" ref="AG13" si="116">AC13-AE13</f>
        <v>24097.5</v>
      </c>
      <c r="AH13" s="44">
        <f t="shared" si="74"/>
        <v>354006.03097975097</v>
      </c>
      <c r="AI13" s="59">
        <v>5.8999999999999997E-2</v>
      </c>
      <c r="AJ13" s="44">
        <f t="shared" si="63"/>
        <v>37237.218448574269</v>
      </c>
      <c r="AK13" s="44">
        <f t="shared" si="90"/>
        <v>314370.48320737027</v>
      </c>
      <c r="AL13" s="44">
        <f t="shared" si="91"/>
        <v>316768.81253117672</v>
      </c>
      <c r="AM13" s="43">
        <f t="shared" si="75"/>
        <v>354006.03097975097</v>
      </c>
      <c r="AN13" s="58">
        <v>5.8999999999999997E-2</v>
      </c>
      <c r="AO13" s="43">
        <f t="shared" si="64"/>
        <v>37237.218448574269</v>
      </c>
      <c r="AP13" s="43">
        <f t="shared" si="92"/>
        <v>314370.48320737027</v>
      </c>
      <c r="AQ13" s="43">
        <f t="shared" si="93"/>
        <v>316768.81253117672</v>
      </c>
      <c r="AR13" s="44">
        <f t="shared" si="76"/>
        <v>457575.98941044661</v>
      </c>
      <c r="AS13" s="59">
        <v>0.05</v>
      </c>
      <c r="AT13" s="44">
        <f t="shared" si="65"/>
        <v>31556.96478692735</v>
      </c>
      <c r="AU13" s="44">
        <f t="shared" si="94"/>
        <v>205120.2711150278</v>
      </c>
      <c r="AV13" s="44">
        <f t="shared" si="95"/>
        <v>426019.02462351928</v>
      </c>
      <c r="AW13" s="43">
        <f t="shared" si="77"/>
        <v>399721.55396774656</v>
      </c>
      <c r="AX13" s="59">
        <f t="shared" si="78"/>
        <v>6.6666666666666666E-2</v>
      </c>
      <c r="AY13" s="43">
        <f t="shared" si="66"/>
        <v>42075.953049236465</v>
      </c>
      <c r="AZ13" s="43">
        <f t="shared" si="96"/>
        <v>273493.69482003705</v>
      </c>
      <c r="BA13" s="43">
        <f t="shared" si="97"/>
        <v>357645.60091851011</v>
      </c>
      <c r="BB13" s="45">
        <f t="shared" si="79"/>
        <v>1155620.4566400002</v>
      </c>
      <c r="BC13" s="227">
        <f>VLOOKUP($CQ$6,$CM$109:$DP$120,8,TRUE)</f>
        <v>3.6360000000000003E-2</v>
      </c>
      <c r="BD13" s="45">
        <f t="shared" si="67"/>
        <v>53227.549440000003</v>
      </c>
      <c r="BE13" s="45">
        <f t="shared" si="98"/>
        <v>361511.09279999998</v>
      </c>
      <c r="BF13" s="45">
        <f t="shared" si="99"/>
        <v>1102392.9072000002</v>
      </c>
      <c r="BG13" s="46">
        <f t="shared" si="80"/>
        <v>1811695.9500000002</v>
      </c>
      <c r="BH13" s="60">
        <f>VLOOKUP($CQ$6,$CM$109:$DP$120,8,TRUE)</f>
        <v>3.6360000000000003E-2</v>
      </c>
      <c r="BI13" s="46">
        <f t="shared" si="68"/>
        <v>83446.200000000012</v>
      </c>
      <c r="BJ13" s="46">
        <f t="shared" si="100"/>
        <v>566750.25</v>
      </c>
      <c r="BK13" s="46">
        <f t="shared" si="101"/>
        <v>1728249.7500000002</v>
      </c>
      <c r="BL13" s="46">
        <f t="shared" si="81"/>
        <v>0</v>
      </c>
      <c r="BM13" s="60">
        <f>VLOOKUP($CQ$6,$CM$109:$DP$120,8,TRUE)</f>
        <v>3.6360000000000003E-2</v>
      </c>
      <c r="BN13" s="46">
        <f t="shared" si="69"/>
        <v>0</v>
      </c>
      <c r="BO13" s="46">
        <f t="shared" si="102"/>
        <v>0</v>
      </c>
      <c r="BP13" s="46">
        <f t="shared" si="103"/>
        <v>0</v>
      </c>
      <c r="BQ13" s="44">
        <f t="shared" si="82"/>
        <v>1188974.5708201535</v>
      </c>
      <c r="BR13" s="100">
        <v>2.564E-2</v>
      </c>
      <c r="BS13" s="44">
        <f t="shared" si="45"/>
        <v>35803.149841836734</v>
      </c>
      <c r="BT13" s="44">
        <f t="shared" si="104"/>
        <v>243207.27800127552</v>
      </c>
      <c r="BU13" s="44">
        <f t="shared" si="105"/>
        <v>1153171.4209783168</v>
      </c>
      <c r="BV13" s="44">
        <f t="shared" si="83"/>
        <v>1194197.0271543371</v>
      </c>
      <c r="BW13" s="100">
        <v>2.5000000000000001E-2</v>
      </c>
      <c r="BX13" s="44">
        <f t="shared" si="46"/>
        <v>34909.467474489793</v>
      </c>
      <c r="BY13" s="44">
        <f t="shared" si="106"/>
        <v>237091.13929974489</v>
      </c>
      <c r="BZ13" s="44">
        <f t="shared" si="107"/>
        <v>1159287.5596798474</v>
      </c>
      <c r="CA13" s="44"/>
      <c r="CB13" s="43">
        <f t="shared" si="84"/>
        <v>1954123.6500000001</v>
      </c>
      <c r="CC13" s="100">
        <v>2.564E-2</v>
      </c>
      <c r="CD13" s="43">
        <f t="shared" si="47"/>
        <v>58843.799999999996</v>
      </c>
      <c r="CE13" s="43">
        <f t="shared" si="108"/>
        <v>399720.14999999997</v>
      </c>
      <c r="CF13" s="43">
        <f t="shared" si="109"/>
        <v>1895279.85</v>
      </c>
      <c r="CG13" s="43">
        <f t="shared" si="85"/>
        <v>0</v>
      </c>
      <c r="CH13" s="100">
        <v>2.564E-2</v>
      </c>
      <c r="CI13" s="43">
        <f t="shared" si="70"/>
        <v>0</v>
      </c>
      <c r="CJ13" s="43">
        <f t="shared" si="110"/>
        <v>0</v>
      </c>
      <c r="CK13" s="43">
        <f t="shared" si="111"/>
        <v>0</v>
      </c>
      <c r="CN13" s="101"/>
      <c r="CQ13">
        <f>MONTH(CQ12)</f>
        <v>12</v>
      </c>
      <c r="CR13">
        <f>CR12+1</f>
        <v>3</v>
      </c>
      <c r="CS13"/>
      <c r="CT13">
        <f>1/CT12/4</f>
        <v>3.3333333333333335E-3</v>
      </c>
      <c r="CU13">
        <f>1/CU12/4</f>
        <v>2.5510204081632651E-3</v>
      </c>
      <c r="CV13" s="71">
        <v>5.5</v>
      </c>
      <c r="CW13" s="72">
        <v>0.45833333333333331</v>
      </c>
      <c r="CX13" s="67"/>
      <c r="CY13" s="67"/>
      <c r="CZ13" s="67"/>
      <c r="DA13" s="67"/>
      <c r="DB13"/>
      <c r="DC13" s="54"/>
      <c r="DD13" s="76">
        <v>5</v>
      </c>
      <c r="DE13" s="77">
        <f t="shared" si="86"/>
        <v>18506.880000000005</v>
      </c>
      <c r="DJ13" s="22">
        <v>9</v>
      </c>
      <c r="DK13" s="44">
        <f t="shared" si="12"/>
        <v>83446.200000000012</v>
      </c>
      <c r="DL13" s="44">
        <f t="shared" si="13"/>
        <v>90527.881818148133</v>
      </c>
      <c r="DM13" s="44">
        <f t="shared" si="1"/>
        <v>53227.549440000003</v>
      </c>
      <c r="DN13" s="44">
        <f t="shared" si="2"/>
        <v>71877.715629074068</v>
      </c>
      <c r="DO13" s="44">
        <f t="shared" si="14"/>
        <v>60687.615915629627</v>
      </c>
      <c r="DP13" s="44">
        <f t="shared" si="15"/>
        <v>68147.682391259252</v>
      </c>
      <c r="DQ13" s="44">
        <f t="shared" si="16"/>
        <v>75607.748866888884</v>
      </c>
      <c r="DR13" s="44">
        <f t="shared" si="17"/>
        <v>83067.815342518501</v>
      </c>
      <c r="DS13" s="44">
        <f t="shared" si="3"/>
        <v>31556.96478692735</v>
      </c>
      <c r="DT13" s="44">
        <f t="shared" si="18"/>
        <v>0</v>
      </c>
      <c r="DV13" s="44">
        <f t="shared" si="4"/>
        <v>733642.64999999991</v>
      </c>
      <c r="DW13" s="44">
        <f t="shared" si="87"/>
        <v>406634.47997554578</v>
      </c>
      <c r="DX13" s="44">
        <f t="shared" si="19"/>
        <v>648865.74168000021</v>
      </c>
      <c r="DY13" s="44">
        <f t="shared" si="88"/>
        <v>527750.11082777288</v>
      </c>
      <c r="DZ13" s="44">
        <f t="shared" si="112"/>
        <v>600419.48933910928</v>
      </c>
      <c r="EA13" s="44">
        <f t="shared" si="21"/>
        <v>471990.5552936371</v>
      </c>
      <c r="EB13" s="44">
        <f t="shared" si="22"/>
        <v>383552.96210045565</v>
      </c>
      <c r="EC13" s="44">
        <f t="shared" si="23"/>
        <v>217333.76210045558</v>
      </c>
      <c r="ED13" s="44">
        <f t="shared" si="89"/>
        <v>-182005.54504966433</v>
      </c>
      <c r="EE13" s="44">
        <f t="shared" si="24"/>
        <v>0</v>
      </c>
      <c r="EG13" s="22">
        <v>9</v>
      </c>
      <c r="EH13" s="44">
        <f t="shared" si="5"/>
        <v>58843.799999999996</v>
      </c>
      <c r="EI13" s="44">
        <f t="shared" si="6"/>
        <v>73103.482219984871</v>
      </c>
      <c r="EJ13" s="44">
        <f t="shared" si="7"/>
        <v>35803.149841836734</v>
      </c>
      <c r="EK13" s="44">
        <f t="shared" si="8"/>
        <v>54453.316030910799</v>
      </c>
      <c r="EL13" s="44">
        <f t="shared" si="25"/>
        <v>43263.216317466358</v>
      </c>
      <c r="EM13" s="44">
        <f t="shared" si="26"/>
        <v>50723.28279309599</v>
      </c>
      <c r="EN13" s="44">
        <f t="shared" si="27"/>
        <v>58183.349268725608</v>
      </c>
      <c r="EO13" s="44">
        <f t="shared" si="28"/>
        <v>65643.415744355239</v>
      </c>
      <c r="EP13" s="44">
        <f t="shared" si="9"/>
        <v>83870.420523726265</v>
      </c>
      <c r="EQ13" s="44">
        <f t="shared" si="29"/>
        <v>0</v>
      </c>
      <c r="ES13" s="44">
        <f t="shared" si="10"/>
        <v>517407.74999999994</v>
      </c>
      <c r="ET13" s="44">
        <f t="shared" si="113"/>
        <v>512639.66700090282</v>
      </c>
      <c r="EU13" s="44">
        <f t="shared" si="11"/>
        <v>754870.92870535725</v>
      </c>
      <c r="EV13" s="44">
        <f t="shared" si="114"/>
        <v>633755.29785312992</v>
      </c>
      <c r="EW13" s="44">
        <f>0.8*($D$3+$I$3+$X$3+$AM$3)+0.2*($G$12+$L$12+$AA$14+$AP15)+BT15-CE14</f>
        <v>706424.67636446632</v>
      </c>
      <c r="EX13" s="44">
        <f t="shared" si="31"/>
        <v>550985.62191083096</v>
      </c>
      <c r="EY13" s="44">
        <f t="shared" si="32"/>
        <v>449042.96851356793</v>
      </c>
      <c r="EZ13" s="44">
        <f t="shared" si="33"/>
        <v>269318.70830948628</v>
      </c>
      <c r="FA13" s="44">
        <f>SUM($Q$12,$V$12,AF15,AZ15,BY15,-CE14)</f>
        <v>464470.92942868755</v>
      </c>
      <c r="FB13" s="44">
        <f t="shared" si="34"/>
        <v>0</v>
      </c>
      <c r="FD13" s="22">
        <f t="shared" si="48"/>
        <v>9</v>
      </c>
      <c r="FF13" s="22">
        <f t="shared" si="49"/>
        <v>9</v>
      </c>
      <c r="FG13" s="138">
        <f t="shared" si="50"/>
        <v>2033</v>
      </c>
      <c r="FH13" s="90">
        <f t="shared" si="35"/>
        <v>83446.200000000012</v>
      </c>
      <c r="FI13" s="90">
        <f t="shared" si="36"/>
        <v>0</v>
      </c>
      <c r="FJ13" s="90">
        <f t="shared" si="37"/>
        <v>83446.200000000012</v>
      </c>
      <c r="FK13" s="44">
        <f t="shared" si="51"/>
        <v>90527.881818148133</v>
      </c>
      <c r="FL13" s="90" cm="1">
        <f t="array" ref="FL13">IF($CQ$5&lt;$CP$5,_xlfn.XLOOKUP(FD13,$EG$5:$EG$54,$DN$5:$DN$54),IF(OR(AND($CQ$5&gt;$CP$5,$CQ$5&lt;$CO$5),OR($CQ$5&gt;=$CL$5)),_xlfn.XLOOKUP(FD13,$EG$5:$EG$54,$DM$5:DM$54),IF(AND($CQ$5&gt;$CO$5,$CQ$5&lt;$CN$5),_xlfn.XLOOKUP(FD13,$EG$5:$EG$54,$DO$5:$DO$54),IF(AND($CQ$5&gt;$CN$5,$CQ$5&lt;$CM$5),_xlfn.XLOOKUP(FD13,$EG$5:$EG$54,$DP$5:$DP$54),IF(AND($CQ$5&gt;$CM$5,$CQ$5&lt;$CL$5),_xlfn.XLOOKUP(FD13,$EG$5:$EG$54,$DQ$5:$DQ$54))))))</f>
        <v>68147.682391259252</v>
      </c>
      <c r="FM13" s="44">
        <f t="shared" si="52"/>
        <v>31556.96478692735</v>
      </c>
      <c r="FP13" s="22">
        <f t="shared" si="53"/>
        <v>9</v>
      </c>
      <c r="FR13" s="22">
        <f t="shared" si="54"/>
        <v>9</v>
      </c>
      <c r="FS13" s="138">
        <f t="shared" si="55"/>
        <v>2033</v>
      </c>
      <c r="FT13" s="90">
        <f t="shared" si="38"/>
        <v>58843.799999999996</v>
      </c>
      <c r="FU13" s="90">
        <f t="shared" si="39"/>
        <v>0</v>
      </c>
      <c r="FV13" s="90">
        <f t="shared" si="40"/>
        <v>58843.799999999996</v>
      </c>
      <c r="FW13" s="44">
        <f t="shared" si="56"/>
        <v>73103.482219984871</v>
      </c>
      <c r="FX13" s="90" cm="1">
        <f t="array" ref="FX13">IF($CQ$5&lt;$CP$5,_xlfn.XLOOKUP(FP13,$EG$5:$EG$54,$EK$5:$EK$54),IF(OR(AND($CQ$5&gt;$CP$5,$CQ$5&lt;$CO$5),OR($CQ$5&gt;=$CL$5)),_xlfn.XLOOKUP(FP13,$EG$5:$EG$54,$EJ$5:$EJ$54),IF(AND($CQ$5&gt;$CO$5,$CQ$5&lt;$CN$5),_xlfn.XLOOKUP(FP13,$EG$5:$EG$54,$EL$5:$EL$54),IF(AND($CQ$5&gt;$CN$5,$CQ$5&lt;$CM$5),_xlfn.XLOOKUP(FP13,$EG$5:$EG$54,$EM$5:$EM$54),_xlfn.XLOOKUP(FP13,$EG$5:$EG$54,$EN$5:EN$54,IF(AND($CQ$5&gt;$CM$5,$CQ$5&lt;$CL$5),_xlfn.XLOOKUP(FD12,$EG$5:$EG$54,$EY$5:$EY$54),""))))))</f>
        <v>50723.28279309599</v>
      </c>
      <c r="FY13" s="44">
        <f t="shared" si="57"/>
        <v>83870.420523726265</v>
      </c>
      <c r="GA13" s="211" t="s">
        <v>231</v>
      </c>
    </row>
    <row r="14" spans="1:183" x14ac:dyDescent="0.25">
      <c r="C14" s="48">
        <v>8</v>
      </c>
      <c r="D14" s="42"/>
      <c r="E14" s="43"/>
      <c r="F14" s="43"/>
      <c r="G14" s="43"/>
      <c r="H14" s="43"/>
      <c r="I14" s="44"/>
      <c r="J14" s="44"/>
      <c r="K14" s="44"/>
      <c r="L14" s="44"/>
      <c r="M14" s="44"/>
      <c r="N14" s="42"/>
      <c r="O14" s="43"/>
      <c r="P14" s="43"/>
      <c r="Q14" s="43"/>
      <c r="R14" s="43"/>
      <c r="S14" s="44"/>
      <c r="T14" s="44"/>
      <c r="U14" s="44"/>
      <c r="V14" s="44"/>
      <c r="W14" s="44"/>
      <c r="X14" s="43">
        <f t="shared" si="71"/>
        <v>3011.6284255101946</v>
      </c>
      <c r="Y14" s="58">
        <v>4.4600000000000001E-2</v>
      </c>
      <c r="Z14" s="43">
        <f t="shared" si="58"/>
        <v>3011.6284255102005</v>
      </c>
      <c r="AA14" s="43">
        <f t="shared" si="59"/>
        <v>67525.301020408093</v>
      </c>
      <c r="AB14" s="43">
        <f t="shared" si="60"/>
        <v>-5.9117155615240335E-12</v>
      </c>
      <c r="AC14" s="104">
        <f t="shared" si="72"/>
        <v>24097.5</v>
      </c>
      <c r="AD14" s="106">
        <v>0.1</v>
      </c>
      <c r="AE14" s="104">
        <f t="shared" si="73"/>
        <v>6885</v>
      </c>
      <c r="AF14" s="104">
        <f t="shared" si="61"/>
        <v>51637.5</v>
      </c>
      <c r="AG14" s="104">
        <f t="shared" si="62"/>
        <v>17212.5</v>
      </c>
      <c r="AH14" s="44">
        <f t="shared" si="74"/>
        <v>316768.81253117672</v>
      </c>
      <c r="AI14" s="59">
        <v>5.8999999999999997E-2</v>
      </c>
      <c r="AJ14" s="44">
        <f t="shared" si="63"/>
        <v>37237.218448574269</v>
      </c>
      <c r="AK14" s="44">
        <f t="shared" si="90"/>
        <v>351607.70165594452</v>
      </c>
      <c r="AL14" s="44">
        <f t="shared" si="91"/>
        <v>279531.59408260247</v>
      </c>
      <c r="AM14" s="43">
        <f t="shared" si="75"/>
        <v>316768.81253117672</v>
      </c>
      <c r="AN14" s="58">
        <v>5.8999999999999997E-2</v>
      </c>
      <c r="AO14" s="43">
        <f t="shared" si="64"/>
        <v>37237.218448574269</v>
      </c>
      <c r="AP14" s="43">
        <f t="shared" si="92"/>
        <v>351607.70165594452</v>
      </c>
      <c r="AQ14" s="43">
        <f t="shared" si="93"/>
        <v>279531.59408260247</v>
      </c>
      <c r="AR14" s="44">
        <f t="shared" si="76"/>
        <v>426019.02462351928</v>
      </c>
      <c r="AS14" s="59">
        <v>0.05</v>
      </c>
      <c r="AT14" s="44">
        <f t="shared" si="65"/>
        <v>31556.96478692735</v>
      </c>
      <c r="AU14" s="44">
        <f t="shared" si="94"/>
        <v>236677.23590195517</v>
      </c>
      <c r="AV14" s="44">
        <f t="shared" si="95"/>
        <v>394462.05983659194</v>
      </c>
      <c r="AW14" s="43">
        <f t="shared" si="77"/>
        <v>357645.60091851011</v>
      </c>
      <c r="AX14" s="59">
        <f t="shared" si="78"/>
        <v>6.6666666666666666E-2</v>
      </c>
      <c r="AY14" s="43">
        <f t="shared" si="66"/>
        <v>42075.953049236465</v>
      </c>
      <c r="AZ14" s="43">
        <f t="shared" si="96"/>
        <v>315569.6478692735</v>
      </c>
      <c r="BA14" s="43">
        <f t="shared" si="97"/>
        <v>315569.64786927367</v>
      </c>
      <c r="BB14" s="45">
        <f t="shared" si="79"/>
        <v>1102392.9072000002</v>
      </c>
      <c r="BC14" s="227">
        <f>VLOOKUP($CQ$6,$CM$109:$DP$120,9,TRUE)</f>
        <v>3.6360000000000003E-2</v>
      </c>
      <c r="BD14" s="45">
        <f t="shared" si="67"/>
        <v>53227.549440000003</v>
      </c>
      <c r="BE14" s="45">
        <f t="shared" si="98"/>
        <v>414738.64223999996</v>
      </c>
      <c r="BF14" s="45">
        <f t="shared" si="99"/>
        <v>1049165.3577600003</v>
      </c>
      <c r="BG14" s="46">
        <f t="shared" si="80"/>
        <v>1728249.7500000002</v>
      </c>
      <c r="BH14" s="60">
        <f>VLOOKUP($CQ$6,$CM$109:$DP$120,9,TRUE)</f>
        <v>3.6360000000000003E-2</v>
      </c>
      <c r="BI14" s="46">
        <f t="shared" si="68"/>
        <v>83446.200000000012</v>
      </c>
      <c r="BJ14" s="46">
        <f t="shared" si="100"/>
        <v>650196.44999999995</v>
      </c>
      <c r="BK14" s="46">
        <f t="shared" si="101"/>
        <v>1644803.5500000003</v>
      </c>
      <c r="BL14" s="46">
        <f t="shared" si="81"/>
        <v>0</v>
      </c>
      <c r="BM14" s="60">
        <f>VLOOKUP($CQ$6,$CM$109:$DP$120,9,TRUE)</f>
        <v>3.6360000000000003E-2</v>
      </c>
      <c r="BN14" s="46">
        <f t="shared" si="69"/>
        <v>0</v>
      </c>
      <c r="BO14" s="46">
        <f t="shared" si="102"/>
        <v>0</v>
      </c>
      <c r="BP14" s="46">
        <f t="shared" si="103"/>
        <v>0</v>
      </c>
      <c r="BQ14" s="44">
        <f t="shared" si="82"/>
        <v>1153171.4209783168</v>
      </c>
      <c r="BR14" s="100">
        <v>2.564E-2</v>
      </c>
      <c r="BS14" s="44">
        <f t="shared" si="45"/>
        <v>35803.149841836734</v>
      </c>
      <c r="BT14" s="44">
        <f t="shared" si="104"/>
        <v>279010.42784311227</v>
      </c>
      <c r="BU14" s="44">
        <f t="shared" si="105"/>
        <v>1117368.2711364802</v>
      </c>
      <c r="BV14" s="44">
        <f t="shared" si="83"/>
        <v>1159287.5596798474</v>
      </c>
      <c r="BW14" s="100">
        <v>2.5000000000000001E-2</v>
      </c>
      <c r="BX14" s="44">
        <f t="shared" si="46"/>
        <v>34909.467474489793</v>
      </c>
      <c r="BY14" s="44">
        <f t="shared" si="106"/>
        <v>272000.60677423468</v>
      </c>
      <c r="BZ14" s="44">
        <f t="shared" si="107"/>
        <v>1124378.0922053577</v>
      </c>
      <c r="CA14" s="44"/>
      <c r="CB14" s="43">
        <f t="shared" si="84"/>
        <v>1895279.85</v>
      </c>
      <c r="CC14" s="100">
        <v>2.564E-2</v>
      </c>
      <c r="CD14" s="43">
        <f t="shared" si="47"/>
        <v>58843.799999999996</v>
      </c>
      <c r="CE14" s="43">
        <f t="shared" si="108"/>
        <v>458563.94999999995</v>
      </c>
      <c r="CF14" s="43">
        <f t="shared" si="109"/>
        <v>1836436.05</v>
      </c>
      <c r="CG14" s="43">
        <f t="shared" si="85"/>
        <v>0</v>
      </c>
      <c r="CH14" s="100">
        <v>2.564E-2</v>
      </c>
      <c r="CI14" s="43">
        <f t="shared" si="70"/>
        <v>0</v>
      </c>
      <c r="CJ14" s="43">
        <f t="shared" si="110"/>
        <v>0</v>
      </c>
      <c r="CK14" s="43">
        <f t="shared" si="111"/>
        <v>0</v>
      </c>
      <c r="CN14" s="101"/>
      <c r="CQ14"/>
      <c r="CR14">
        <f t="shared" ref="CR14:CR60" si="117">CR13+1</f>
        <v>4</v>
      </c>
      <c r="CS14"/>
      <c r="CT14">
        <f>CT10*CT13</f>
        <v>3.3333333333333335E-3</v>
      </c>
      <c r="CU14">
        <f>CT10*CU13</f>
        <v>2.5510204081632651E-3</v>
      </c>
      <c r="CV14" s="71">
        <v>6.5</v>
      </c>
      <c r="CW14" s="72">
        <v>0.54166666666666663</v>
      </c>
      <c r="CX14" s="67"/>
      <c r="CY14" s="67"/>
      <c r="CZ14" s="67"/>
      <c r="DA14" s="67"/>
      <c r="DB14"/>
      <c r="DC14" s="54"/>
      <c r="DD14" s="76">
        <v>6</v>
      </c>
      <c r="DE14" s="77">
        <f t="shared" si="86"/>
        <v>9253.4400000000023</v>
      </c>
      <c r="DJ14" s="22">
        <v>10</v>
      </c>
      <c r="DK14" s="44">
        <f t="shared" si="12"/>
        <v>83469.149999999994</v>
      </c>
      <c r="DL14" s="44">
        <f t="shared" si="13"/>
        <v>90479.406928574259</v>
      </c>
      <c r="DM14" s="44">
        <f t="shared" si="1"/>
        <v>53242.188479999997</v>
      </c>
      <c r="DN14" s="44">
        <f t="shared" si="2"/>
        <v>71860.797704287135</v>
      </c>
      <c r="DO14" s="44">
        <f t="shared" si="14"/>
        <v>60689.632169714852</v>
      </c>
      <c r="DP14" s="44">
        <f t="shared" si="15"/>
        <v>68137.075859429708</v>
      </c>
      <c r="DQ14" s="44">
        <f t="shared" si="16"/>
        <v>75584.519549144563</v>
      </c>
      <c r="DR14" s="44">
        <f t="shared" si="17"/>
        <v>83031.963238859418</v>
      </c>
      <c r="DS14" s="44">
        <f t="shared" si="3"/>
        <v>31556.96478692735</v>
      </c>
      <c r="DT14" s="44">
        <f t="shared" si="18"/>
        <v>0</v>
      </c>
      <c r="DV14" s="44">
        <f t="shared" si="4"/>
        <v>817111.79999999993</v>
      </c>
      <c r="DW14" s="44">
        <f t="shared" si="87"/>
        <v>413667.68690412003</v>
      </c>
      <c r="DX14" s="44">
        <f t="shared" si="19"/>
        <v>618661.73016000027</v>
      </c>
      <c r="DY14" s="44">
        <f t="shared" si="88"/>
        <v>516164.70853206003</v>
      </c>
      <c r="DZ14" s="44">
        <f t="shared" si="112"/>
        <v>577662.92150882422</v>
      </c>
      <c r="EA14" s="44">
        <f t="shared" si="21"/>
        <v>456681.43115306692</v>
      </c>
      <c r="EB14" s="44">
        <f t="shared" si="22"/>
        <v>375691.28164960025</v>
      </c>
      <c r="EC14" s="44">
        <f t="shared" si="23"/>
        <v>209472.08164960018</v>
      </c>
      <c r="ED14" s="44">
        <f t="shared" si="89"/>
        <v>-233894.78026273695</v>
      </c>
      <c r="EE14" s="44">
        <f t="shared" si="24"/>
        <v>0</v>
      </c>
      <c r="EG14" s="22">
        <v>10</v>
      </c>
      <c r="EH14" s="44">
        <f t="shared" si="5"/>
        <v>58843.799999999996</v>
      </c>
      <c r="EI14" s="44">
        <f t="shared" si="6"/>
        <v>73040.368290411003</v>
      </c>
      <c r="EJ14" s="44">
        <f t="shared" si="7"/>
        <v>35803.149841836734</v>
      </c>
      <c r="EK14" s="44">
        <f t="shared" si="8"/>
        <v>54421.759066123865</v>
      </c>
      <c r="EL14" s="44">
        <f t="shared" si="25"/>
        <v>43250.593531551589</v>
      </c>
      <c r="EM14" s="44">
        <f t="shared" si="26"/>
        <v>50698.037221266444</v>
      </c>
      <c r="EN14" s="44">
        <f t="shared" si="27"/>
        <v>58145.480910981292</v>
      </c>
      <c r="EO14" s="44">
        <f t="shared" si="28"/>
        <v>65592.924600696148</v>
      </c>
      <c r="EP14" s="44">
        <f t="shared" si="9"/>
        <v>83870.420523726265</v>
      </c>
      <c r="EQ14" s="44">
        <f t="shared" si="29"/>
        <v>0</v>
      </c>
      <c r="ES14" s="44">
        <f t="shared" si="10"/>
        <v>576251.54999999993</v>
      </c>
      <c r="ET14" s="44">
        <f t="shared" si="113"/>
        <v>526836.23529131385</v>
      </c>
      <c r="EU14" s="44">
        <f t="shared" si="11"/>
        <v>731830.27854719386</v>
      </c>
      <c r="EV14" s="44">
        <f t="shared" si="114"/>
        <v>629333.25691925362</v>
      </c>
      <c r="EW14" s="44">
        <f t="shared" ref="EW14:EW19" si="118">0.8*($D$3+$I$3+$X$3+$AM$3)+0.2*($G$12+$L$12+$AA$14+$AP16)+BT16-CE15</f>
        <v>690831.46989601804</v>
      </c>
      <c r="EX14" s="44">
        <f t="shared" si="31"/>
        <v>542839.85913209734</v>
      </c>
      <c r="EY14" s="44">
        <f t="shared" si="32"/>
        <v>448344.64942454913</v>
      </c>
      <c r="EZ14" s="44">
        <f t="shared" si="33"/>
        <v>268620.38922046759</v>
      </c>
      <c r="FA14" s="44">
        <f>SUM($Q$12,$V$12,AF16,AZ16,BY16,-CE15)</f>
        <v>489497.54995241394</v>
      </c>
      <c r="FB14" s="44">
        <f t="shared" si="34"/>
        <v>0</v>
      </c>
      <c r="FD14" s="22">
        <f t="shared" si="48"/>
        <v>10</v>
      </c>
      <c r="FF14" s="22">
        <f t="shared" si="49"/>
        <v>10</v>
      </c>
      <c r="FG14" s="138">
        <f t="shared" si="50"/>
        <v>2034</v>
      </c>
      <c r="FH14" s="90">
        <f t="shared" si="35"/>
        <v>83469.149999999994</v>
      </c>
      <c r="FI14" s="90">
        <f t="shared" si="36"/>
        <v>0</v>
      </c>
      <c r="FJ14" s="90">
        <f t="shared" si="37"/>
        <v>83469.149999999994</v>
      </c>
      <c r="FK14" s="44">
        <f t="shared" si="51"/>
        <v>90479.406928574259</v>
      </c>
      <c r="FL14" s="90" cm="1">
        <f t="array" ref="FL14">IF($CQ$5&lt;$CP$5,_xlfn.XLOOKUP(FD14,$EG$5:$EG$54,$DN$5:$DN$54),IF(OR(AND($CQ$5&gt;$CP$5,$CQ$5&lt;$CO$5),OR($CQ$5&gt;=$CL$5)),_xlfn.XLOOKUP(FD14,$EG$5:$EG$54,$DM$5:DM$54),IF(AND($CQ$5&gt;$CO$5,$CQ$5&lt;$CN$5),_xlfn.XLOOKUP(FD14,$EG$5:$EG$54,$DO$5:$DO$54),IF(AND($CQ$5&gt;$CN$5,$CQ$5&lt;$CM$5),_xlfn.XLOOKUP(FD14,$EG$5:$EG$54,$DP$5:$DP$54),IF(AND($CQ$5&gt;$CM$5,$CQ$5&lt;$CL$5),_xlfn.XLOOKUP(FD14,$EG$5:$EG$54,$DQ$5:$DQ$54))))))</f>
        <v>68137.075859429708</v>
      </c>
      <c r="FM14" s="44">
        <f t="shared" si="52"/>
        <v>31556.96478692735</v>
      </c>
      <c r="FP14" s="22">
        <f t="shared" si="53"/>
        <v>10</v>
      </c>
      <c r="FR14" s="22">
        <f t="shared" si="54"/>
        <v>10</v>
      </c>
      <c r="FS14" s="138">
        <f t="shared" si="55"/>
        <v>2034</v>
      </c>
      <c r="FT14" s="90">
        <f t="shared" si="38"/>
        <v>58843.799999999996</v>
      </c>
      <c r="FU14" s="90">
        <f t="shared" si="39"/>
        <v>0</v>
      </c>
      <c r="FV14" s="90">
        <f t="shared" si="40"/>
        <v>58843.799999999996</v>
      </c>
      <c r="FW14" s="44">
        <f t="shared" si="56"/>
        <v>73040.368290411003</v>
      </c>
      <c r="FX14" s="90" cm="1">
        <f t="array" ref="FX14">IF($CQ$5&lt;$CP$5,_xlfn.XLOOKUP(FP14,$EG$5:$EG$54,$EK$5:$EK$54),IF(OR(AND($CQ$5&gt;$CP$5,$CQ$5&lt;$CO$5),OR($CQ$5&gt;=$CL$5)),_xlfn.XLOOKUP(FP14,$EG$5:$EG$54,$EJ$5:$EJ$54),IF(AND($CQ$5&gt;$CO$5,$CQ$5&lt;$CN$5),_xlfn.XLOOKUP(FP14,$EG$5:$EG$54,$EL$5:$EL$54),IF(AND($CQ$5&gt;$CN$5,$CQ$5&lt;$CM$5),_xlfn.XLOOKUP(FP14,$EG$5:$EG$54,$EM$5:$EM$54),_xlfn.XLOOKUP(FP14,$EG$5:$EG$54,$EN$5:EN$54,IF(AND($CQ$5&gt;$CM$5,$CQ$5&lt;$CL$5),_xlfn.XLOOKUP(FD13,$EG$5:$EG$54,$EY$5:$EY$54),""))))))</f>
        <v>50698.037221266444</v>
      </c>
      <c r="FY14" s="44">
        <f t="shared" si="57"/>
        <v>83870.420523726265</v>
      </c>
    </row>
    <row r="15" spans="1:183" x14ac:dyDescent="0.25">
      <c r="C15" s="48">
        <v>9</v>
      </c>
      <c r="D15" s="42"/>
      <c r="E15" s="43"/>
      <c r="F15" s="43"/>
      <c r="G15" s="43"/>
      <c r="H15" s="43"/>
      <c r="I15" s="44"/>
      <c r="J15" s="44"/>
      <c r="K15" s="44"/>
      <c r="L15" s="44"/>
      <c r="M15" s="44"/>
      <c r="N15" s="42"/>
      <c r="O15" s="43"/>
      <c r="P15" s="43"/>
      <c r="Q15" s="43"/>
      <c r="R15" s="43"/>
      <c r="S15" s="44"/>
      <c r="T15" s="44"/>
      <c r="U15" s="44"/>
      <c r="V15" s="44"/>
      <c r="W15" s="44"/>
      <c r="X15" s="43"/>
      <c r="Y15" s="43"/>
      <c r="Z15" s="43"/>
      <c r="AA15" s="43"/>
      <c r="AB15" s="43"/>
      <c r="AC15" s="104">
        <f t="shared" si="72"/>
        <v>17212.5</v>
      </c>
      <c r="AD15" s="106">
        <v>0.1</v>
      </c>
      <c r="AE15" s="104">
        <f t="shared" si="73"/>
        <v>6885</v>
      </c>
      <c r="AF15" s="104">
        <f t="shared" si="61"/>
        <v>58522.5</v>
      </c>
      <c r="AG15" s="104">
        <f t="shared" ref="AG15" si="119">AC15-AE15</f>
        <v>10327.5</v>
      </c>
      <c r="AH15" s="44">
        <f t="shared" si="74"/>
        <v>279531.59408260247</v>
      </c>
      <c r="AI15" s="59">
        <v>5.91E-2</v>
      </c>
      <c r="AJ15" s="44">
        <f t="shared" si="63"/>
        <v>37300.33237814813</v>
      </c>
      <c r="AK15" s="44">
        <f t="shared" si="90"/>
        <v>388908.03403409268</v>
      </c>
      <c r="AL15" s="44">
        <f t="shared" si="91"/>
        <v>242231.26170445434</v>
      </c>
      <c r="AM15" s="43">
        <f t="shared" si="75"/>
        <v>279531.59408260247</v>
      </c>
      <c r="AN15" s="58">
        <v>5.91E-2</v>
      </c>
      <c r="AO15" s="43">
        <f t="shared" si="64"/>
        <v>37300.33237814813</v>
      </c>
      <c r="AP15" s="43">
        <f t="shared" si="92"/>
        <v>388908.03403409268</v>
      </c>
      <c r="AQ15" s="43">
        <f t="shared" si="93"/>
        <v>242231.26170445434</v>
      </c>
      <c r="AR15" s="44">
        <f t="shared" si="76"/>
        <v>394462.05983659194</v>
      </c>
      <c r="AS15" s="59">
        <v>0.05</v>
      </c>
      <c r="AT15" s="44">
        <f t="shared" si="65"/>
        <v>31556.96478692735</v>
      </c>
      <c r="AU15" s="44">
        <f t="shared" si="94"/>
        <v>268234.2006888825</v>
      </c>
      <c r="AV15" s="44">
        <f t="shared" si="95"/>
        <v>362905.09504966461</v>
      </c>
      <c r="AW15" s="43">
        <f t="shared" si="77"/>
        <v>315569.64786927367</v>
      </c>
      <c r="AX15" s="59">
        <f t="shared" si="78"/>
        <v>6.6666666666666666E-2</v>
      </c>
      <c r="AY15" s="43">
        <f t="shared" si="66"/>
        <v>42075.953049236465</v>
      </c>
      <c r="AZ15" s="43">
        <f t="shared" si="96"/>
        <v>357645.60091850994</v>
      </c>
      <c r="BA15" s="43">
        <f t="shared" si="97"/>
        <v>273493.69482003723</v>
      </c>
      <c r="BB15" s="45">
        <f t="shared" si="79"/>
        <v>1049165.3577600003</v>
      </c>
      <c r="BC15" s="227">
        <f>VLOOKUP($CQ$6,$CM$109:$DP$120,10,TRUE)</f>
        <v>3.6360000000000003E-2</v>
      </c>
      <c r="BD15" s="45">
        <f t="shared" si="67"/>
        <v>53227.549440000003</v>
      </c>
      <c r="BE15" s="45">
        <f t="shared" si="98"/>
        <v>467966.19167999993</v>
      </c>
      <c r="BF15" s="45">
        <f t="shared" si="99"/>
        <v>995937.8083200003</v>
      </c>
      <c r="BG15" s="46">
        <f t="shared" si="80"/>
        <v>1644803.5500000003</v>
      </c>
      <c r="BH15" s="60">
        <f>VLOOKUP($CQ$6,$CM$109:$DP$120,10,TRUE)</f>
        <v>3.6360000000000003E-2</v>
      </c>
      <c r="BI15" s="46">
        <f t="shared" si="68"/>
        <v>83446.200000000012</v>
      </c>
      <c r="BJ15" s="46">
        <f t="shared" si="100"/>
        <v>733642.64999999991</v>
      </c>
      <c r="BK15" s="46">
        <f t="shared" si="101"/>
        <v>1561357.3500000003</v>
      </c>
      <c r="BL15" s="46">
        <f t="shared" si="81"/>
        <v>0</v>
      </c>
      <c r="BM15" s="60">
        <f>VLOOKUP($CQ$6,$CM$109:$DP$120,10,TRUE)</f>
        <v>3.6360000000000003E-2</v>
      </c>
      <c r="BN15" s="46">
        <f t="shared" si="69"/>
        <v>0</v>
      </c>
      <c r="BO15" s="46">
        <f t="shared" si="102"/>
        <v>0</v>
      </c>
      <c r="BP15" s="46">
        <f t="shared" si="103"/>
        <v>0</v>
      </c>
      <c r="BQ15" s="44">
        <f t="shared" si="82"/>
        <v>1117368.2711364802</v>
      </c>
      <c r="BR15" s="100">
        <v>2.564E-2</v>
      </c>
      <c r="BS15" s="44">
        <f t="shared" si="45"/>
        <v>35803.149841836734</v>
      </c>
      <c r="BT15" s="44">
        <f t="shared" si="104"/>
        <v>314813.57768494898</v>
      </c>
      <c r="BU15" s="44">
        <f t="shared" si="105"/>
        <v>1081565.1212946435</v>
      </c>
      <c r="BV15" s="44">
        <f t="shared" si="83"/>
        <v>1124378.0922053577</v>
      </c>
      <c r="BW15" s="100">
        <v>2.5000000000000001E-2</v>
      </c>
      <c r="BX15" s="44">
        <f t="shared" si="46"/>
        <v>34909.467474489793</v>
      </c>
      <c r="BY15" s="44">
        <f t="shared" si="106"/>
        <v>306910.0742487245</v>
      </c>
      <c r="BZ15" s="44">
        <f t="shared" si="107"/>
        <v>1089468.624730868</v>
      </c>
      <c r="CA15" s="44"/>
      <c r="CB15" s="43">
        <f t="shared" si="84"/>
        <v>1836436.05</v>
      </c>
      <c r="CC15" s="100">
        <v>2.564E-2</v>
      </c>
      <c r="CD15" s="43">
        <f t="shared" si="47"/>
        <v>58843.799999999996</v>
      </c>
      <c r="CE15" s="43">
        <f t="shared" si="108"/>
        <v>517407.74999999994</v>
      </c>
      <c r="CF15" s="43">
        <f t="shared" si="109"/>
        <v>1777592.25</v>
      </c>
      <c r="CG15" s="43">
        <f t="shared" si="85"/>
        <v>0</v>
      </c>
      <c r="CH15" s="100">
        <v>2.564E-2</v>
      </c>
      <c r="CI15" s="43">
        <f t="shared" si="70"/>
        <v>0</v>
      </c>
      <c r="CJ15" s="43">
        <f t="shared" si="110"/>
        <v>0</v>
      </c>
      <c r="CK15" s="43">
        <f t="shared" si="111"/>
        <v>0</v>
      </c>
      <c r="CN15" s="101"/>
      <c r="CQ15"/>
      <c r="CR15">
        <f t="shared" si="117"/>
        <v>5</v>
      </c>
      <c r="CS15"/>
      <c r="CT15"/>
      <c r="CU15"/>
      <c r="CV15" s="71">
        <v>7.5</v>
      </c>
      <c r="CW15" s="72">
        <v>0.625</v>
      </c>
      <c r="CX15" s="67"/>
      <c r="CY15" s="67"/>
      <c r="CZ15" s="67"/>
      <c r="DA15" s="67"/>
      <c r="DB15"/>
      <c r="DC15" s="54"/>
      <c r="DD15" s="76">
        <v>7</v>
      </c>
      <c r="DE15" s="77">
        <f>$J$38</f>
        <v>0</v>
      </c>
      <c r="DJ15" s="22">
        <v>11</v>
      </c>
      <c r="DK15" s="44">
        <f t="shared" si="12"/>
        <v>83446.200000000012</v>
      </c>
      <c r="DL15" s="44">
        <f t="shared" si="13"/>
        <v>90527.881818148133</v>
      </c>
      <c r="DM15" s="44">
        <f t="shared" si="1"/>
        <v>53227.549440000003</v>
      </c>
      <c r="DN15" s="44">
        <f t="shared" si="2"/>
        <v>71877.715629074068</v>
      </c>
      <c r="DO15" s="44">
        <f t="shared" si="14"/>
        <v>60687.615915629627</v>
      </c>
      <c r="DP15" s="44">
        <f t="shared" si="15"/>
        <v>68147.682391259252</v>
      </c>
      <c r="DQ15" s="44">
        <f t="shared" si="16"/>
        <v>75607.748866888884</v>
      </c>
      <c r="DR15" s="44">
        <f t="shared" si="17"/>
        <v>83067.815342518501</v>
      </c>
      <c r="DS15" s="44">
        <f t="shared" si="3"/>
        <v>31556.96478692735</v>
      </c>
      <c r="DT15" s="44">
        <f t="shared" si="18"/>
        <v>0</v>
      </c>
      <c r="DV15" s="44">
        <f t="shared" si="4"/>
        <v>900558</v>
      </c>
      <c r="DW15" s="44">
        <f t="shared" si="87"/>
        <v>420726.41872226808</v>
      </c>
      <c r="DX15" s="44">
        <f t="shared" si="19"/>
        <v>588420.12959999999</v>
      </c>
      <c r="DY15" s="44">
        <f t="shared" si="88"/>
        <v>504573.27416113403</v>
      </c>
      <c r="DZ15" s="44">
        <f t="shared" si="112"/>
        <v>554881.38742445374</v>
      </c>
      <c r="EA15" s="44">
        <f t="shared" si="21"/>
        <v>441359.96354432602</v>
      </c>
      <c r="EB15" s="44">
        <f t="shared" si="22"/>
        <v>367829.88051648915</v>
      </c>
      <c r="EC15" s="44">
        <f t="shared" si="23"/>
        <v>201610.68051648908</v>
      </c>
      <c r="ED15" s="44">
        <f t="shared" si="89"/>
        <v>-285806.96547580964</v>
      </c>
      <c r="EE15" s="44">
        <f t="shared" si="24"/>
        <v>0</v>
      </c>
      <c r="EG15" s="22">
        <v>11</v>
      </c>
      <c r="EH15" s="44">
        <f t="shared" si="5"/>
        <v>58843.799999999996</v>
      </c>
      <c r="EI15" s="44">
        <f t="shared" si="6"/>
        <v>73103.482219984871</v>
      </c>
      <c r="EJ15" s="44">
        <f t="shared" si="7"/>
        <v>35803.149841836734</v>
      </c>
      <c r="EK15" s="44">
        <f t="shared" si="8"/>
        <v>54453.316030910799</v>
      </c>
      <c r="EL15" s="44">
        <f t="shared" si="25"/>
        <v>43263.216317466358</v>
      </c>
      <c r="EM15" s="44">
        <f t="shared" si="26"/>
        <v>50723.28279309599</v>
      </c>
      <c r="EN15" s="44">
        <f t="shared" si="27"/>
        <v>58183.349268725608</v>
      </c>
      <c r="EO15" s="44">
        <f t="shared" si="28"/>
        <v>65643.415744355239</v>
      </c>
      <c r="EP15" s="44">
        <f t="shared" si="9"/>
        <v>80427.920523726265</v>
      </c>
      <c r="EQ15" s="44">
        <f t="shared" si="29"/>
        <v>0</v>
      </c>
      <c r="ES15" s="44">
        <f t="shared" si="10"/>
        <v>635095.35</v>
      </c>
      <c r="ET15" s="44">
        <f t="shared" si="113"/>
        <v>541095.91751129867</v>
      </c>
      <c r="EU15" s="44">
        <f t="shared" si="11"/>
        <v>708789.62838903058</v>
      </c>
      <c r="EV15" s="44">
        <f t="shared" si="114"/>
        <v>624942.77295016462</v>
      </c>
      <c r="EW15" s="44">
        <f t="shared" si="118"/>
        <v>675250.88621348434</v>
      </c>
      <c r="EX15" s="44">
        <f t="shared" si="31"/>
        <v>534719.34192519344</v>
      </c>
      <c r="EY15" s="44">
        <f t="shared" si="32"/>
        <v>447684.19869327487</v>
      </c>
      <c r="EZ15" s="44">
        <f t="shared" si="33"/>
        <v>267959.93848919321</v>
      </c>
      <c r="FA15" s="44">
        <f t="shared" ref="FA15:FA24" si="120">SUM($Q$12,$V$12,$AF$17,AZ17,BY17,-CE16)</f>
        <v>511081.67047614034</v>
      </c>
      <c r="FB15" s="44">
        <f t="shared" si="34"/>
        <v>0</v>
      </c>
      <c r="FD15" s="22">
        <f t="shared" si="48"/>
        <v>11</v>
      </c>
      <c r="FF15" s="22">
        <f t="shared" si="49"/>
        <v>11</v>
      </c>
      <c r="FG15" s="138">
        <f t="shared" si="50"/>
        <v>2035</v>
      </c>
      <c r="FH15" s="90">
        <f t="shared" si="35"/>
        <v>83446.200000000012</v>
      </c>
      <c r="FI15" s="90">
        <f t="shared" si="36"/>
        <v>0</v>
      </c>
      <c r="FJ15" s="90">
        <f t="shared" si="37"/>
        <v>83446.200000000012</v>
      </c>
      <c r="FK15" s="44">
        <f t="shared" si="51"/>
        <v>90527.881818148133</v>
      </c>
      <c r="FL15" s="90" cm="1">
        <f t="array" ref="FL15">IF($CQ$5&lt;$CP$5,_xlfn.XLOOKUP(FD15,$EG$5:$EG$54,$DN$5:$DN$54),IF(OR(AND($CQ$5&gt;$CP$5,$CQ$5&lt;$CO$5),OR($CQ$5&gt;=$CL$5)),_xlfn.XLOOKUP(FD15,$EG$5:$EG$54,$DM$5:DM$54),IF(AND($CQ$5&gt;$CO$5,$CQ$5&lt;$CN$5),_xlfn.XLOOKUP(FD15,$EG$5:$EG$54,$DO$5:$DO$54),IF(AND($CQ$5&gt;$CN$5,$CQ$5&lt;$CM$5),_xlfn.XLOOKUP(FD15,$EG$5:$EG$54,$DP$5:$DP$54),IF(AND($CQ$5&gt;$CM$5,$CQ$5&lt;$CL$5),_xlfn.XLOOKUP(FD15,$EG$5:$EG$54,$DQ$5:$DQ$54))))))</f>
        <v>68147.682391259252</v>
      </c>
      <c r="FM15" s="44">
        <f t="shared" si="52"/>
        <v>31556.96478692735</v>
      </c>
      <c r="FP15" s="22">
        <f t="shared" si="53"/>
        <v>11</v>
      </c>
      <c r="FR15" s="22">
        <f t="shared" si="54"/>
        <v>11</v>
      </c>
      <c r="FS15" s="138">
        <f t="shared" si="55"/>
        <v>2035</v>
      </c>
      <c r="FT15" s="90">
        <f t="shared" si="38"/>
        <v>58843.799999999996</v>
      </c>
      <c r="FU15" s="90">
        <f t="shared" si="39"/>
        <v>0</v>
      </c>
      <c r="FV15" s="90">
        <f t="shared" si="40"/>
        <v>58843.799999999996</v>
      </c>
      <c r="FW15" s="44">
        <f t="shared" si="56"/>
        <v>73103.482219984871</v>
      </c>
      <c r="FX15" s="90" cm="1">
        <f t="array" ref="FX15">IF($CQ$5&lt;$CP$5,_xlfn.XLOOKUP(FP15,$EG$5:$EG$54,$EK$5:$EK$54),IF(OR(AND($CQ$5&gt;$CP$5,$CQ$5&lt;$CO$5),OR($CQ$5&gt;=$CL$5)),_xlfn.XLOOKUP(FP15,$EG$5:$EG$54,$EJ$5:$EJ$54),IF(AND($CQ$5&gt;$CO$5,$CQ$5&lt;$CN$5),_xlfn.XLOOKUP(FP15,$EG$5:$EG$54,$EL$5:$EL$54),IF(AND($CQ$5&gt;$CN$5,$CQ$5&lt;$CM$5),_xlfn.XLOOKUP(FP15,$EG$5:$EG$54,$EM$5:$EM$54),_xlfn.XLOOKUP(FP15,$EG$5:$EG$54,$EN$5:EN$54,IF(AND($CQ$5&gt;$CM$5,$CQ$5&lt;$CL$5),_xlfn.XLOOKUP(FD14,$EG$5:$EG$54,$EY$5:$EY$54),""))))))</f>
        <v>50723.28279309599</v>
      </c>
      <c r="FY15" s="44">
        <f t="shared" si="57"/>
        <v>80427.920523726265</v>
      </c>
      <c r="GA15" s="209" t="s">
        <v>229</v>
      </c>
    </row>
    <row r="16" spans="1:183" x14ac:dyDescent="0.25">
      <c r="C16" s="48">
        <v>10</v>
      </c>
      <c r="D16" s="42"/>
      <c r="E16" s="43"/>
      <c r="F16" s="43"/>
      <c r="G16" s="43"/>
      <c r="H16" s="43"/>
      <c r="I16" s="44"/>
      <c r="J16" s="44"/>
      <c r="K16" s="44"/>
      <c r="L16" s="44"/>
      <c r="M16" s="44"/>
      <c r="N16" s="42"/>
      <c r="O16" s="43"/>
      <c r="P16" s="43"/>
      <c r="Q16" s="43"/>
      <c r="R16" s="43"/>
      <c r="S16" s="44"/>
      <c r="T16" s="44"/>
      <c r="U16" s="44"/>
      <c r="V16" s="44"/>
      <c r="W16" s="44"/>
      <c r="X16" s="43"/>
      <c r="Y16" s="43"/>
      <c r="Z16" s="43"/>
      <c r="AA16" s="43"/>
      <c r="AB16" s="43"/>
      <c r="AC16" s="104">
        <f t="shared" si="72"/>
        <v>10327.5</v>
      </c>
      <c r="AD16" s="106">
        <v>0.1</v>
      </c>
      <c r="AE16" s="104">
        <f t="shared" si="73"/>
        <v>6885</v>
      </c>
      <c r="AF16" s="104">
        <f t="shared" si="61"/>
        <v>65407.5</v>
      </c>
      <c r="AG16" s="104">
        <f t="shared" si="62"/>
        <v>3442.5</v>
      </c>
      <c r="AH16" s="44">
        <f t="shared" si="74"/>
        <v>242231.26170445434</v>
      </c>
      <c r="AI16" s="59">
        <v>5.8999999999999997E-2</v>
      </c>
      <c r="AJ16" s="44">
        <f t="shared" si="63"/>
        <v>37237.218448574269</v>
      </c>
      <c r="AK16" s="44">
        <f t="shared" si="90"/>
        <v>426145.25248266693</v>
      </c>
      <c r="AL16" s="44">
        <f t="shared" si="91"/>
        <v>204994.04325588007</v>
      </c>
      <c r="AM16" s="43">
        <f t="shared" si="75"/>
        <v>242231.26170445434</v>
      </c>
      <c r="AN16" s="58">
        <v>5.8999999999999997E-2</v>
      </c>
      <c r="AO16" s="43">
        <f t="shared" si="64"/>
        <v>37237.218448574269</v>
      </c>
      <c r="AP16" s="43">
        <f t="shared" si="92"/>
        <v>426145.25248266693</v>
      </c>
      <c r="AQ16" s="43">
        <f t="shared" si="93"/>
        <v>204994.04325588007</v>
      </c>
      <c r="AR16" s="44">
        <f t="shared" si="76"/>
        <v>362905.09504966461</v>
      </c>
      <c r="AS16" s="59">
        <v>0.05</v>
      </c>
      <c r="AT16" s="44">
        <f t="shared" si="65"/>
        <v>31556.96478692735</v>
      </c>
      <c r="AU16" s="44">
        <f t="shared" si="94"/>
        <v>299791.16547580983</v>
      </c>
      <c r="AV16" s="44">
        <f t="shared" si="95"/>
        <v>331348.13026273728</v>
      </c>
      <c r="AW16" s="43">
        <f t="shared" si="77"/>
        <v>273493.69482003723</v>
      </c>
      <c r="AX16" s="59">
        <f t="shared" si="78"/>
        <v>6.6666666666666666E-2</v>
      </c>
      <c r="AY16" s="43">
        <f t="shared" si="66"/>
        <v>42075.953049236465</v>
      </c>
      <c r="AZ16" s="43">
        <f t="shared" si="96"/>
        <v>399721.55396774638</v>
      </c>
      <c r="BA16" s="43">
        <f t="shared" si="97"/>
        <v>231417.74177080076</v>
      </c>
      <c r="BB16" s="45">
        <f t="shared" si="79"/>
        <v>995937.8083200003</v>
      </c>
      <c r="BC16" s="227">
        <f>VLOOKUP($CQ$6,$CM$109:$DP$120,11,TRUE)</f>
        <v>3.637E-2</v>
      </c>
      <c r="BD16" s="45">
        <f t="shared" si="67"/>
        <v>53242.188479999997</v>
      </c>
      <c r="BE16" s="45">
        <f t="shared" si="98"/>
        <v>521208.38015999994</v>
      </c>
      <c r="BF16" s="45">
        <f t="shared" si="99"/>
        <v>942695.61984000029</v>
      </c>
      <c r="BG16" s="46">
        <f t="shared" si="80"/>
        <v>1561357.3500000003</v>
      </c>
      <c r="BH16" s="60">
        <f>VLOOKUP($CQ$6,$CM$109:$DP$120,11,TRUE)</f>
        <v>3.637E-2</v>
      </c>
      <c r="BI16" s="46">
        <f t="shared" si="68"/>
        <v>83469.149999999994</v>
      </c>
      <c r="BJ16" s="46">
        <f t="shared" si="100"/>
        <v>817111.79999999993</v>
      </c>
      <c r="BK16" s="46">
        <f t="shared" si="101"/>
        <v>1477888.2000000004</v>
      </c>
      <c r="BL16" s="46">
        <f t="shared" si="81"/>
        <v>0</v>
      </c>
      <c r="BM16" s="60">
        <f>VLOOKUP($CQ$6,$CM$109:$DP$120,11,TRUE)</f>
        <v>3.637E-2</v>
      </c>
      <c r="BN16" s="46">
        <f t="shared" si="69"/>
        <v>0</v>
      </c>
      <c r="BO16" s="46">
        <f t="shared" si="102"/>
        <v>0</v>
      </c>
      <c r="BP16" s="46">
        <f t="shared" si="103"/>
        <v>0</v>
      </c>
      <c r="BQ16" s="44">
        <f t="shared" si="82"/>
        <v>1081565.1212946435</v>
      </c>
      <c r="BR16" s="100">
        <v>2.564E-2</v>
      </c>
      <c r="BS16" s="44">
        <f t="shared" si="45"/>
        <v>35803.149841836734</v>
      </c>
      <c r="BT16" s="44">
        <f t="shared" si="104"/>
        <v>350616.72752678569</v>
      </c>
      <c r="BU16" s="44">
        <f t="shared" si="105"/>
        <v>1045761.9714528067</v>
      </c>
      <c r="BV16" s="44">
        <f t="shared" si="83"/>
        <v>1089468.624730868</v>
      </c>
      <c r="BW16" s="100">
        <v>2.5000000000000001E-2</v>
      </c>
      <c r="BX16" s="44">
        <f t="shared" si="46"/>
        <v>34909.467474489793</v>
      </c>
      <c r="BY16" s="44">
        <f t="shared" si="106"/>
        <v>341819.54172321432</v>
      </c>
      <c r="BZ16" s="44">
        <f t="shared" si="107"/>
        <v>1054559.1572563783</v>
      </c>
      <c r="CA16" s="44"/>
      <c r="CB16" s="43">
        <f t="shared" si="84"/>
        <v>1777592.25</v>
      </c>
      <c r="CC16" s="100">
        <v>2.564E-2</v>
      </c>
      <c r="CD16" s="43">
        <f t="shared" si="47"/>
        <v>58843.799999999996</v>
      </c>
      <c r="CE16" s="43">
        <f t="shared" si="108"/>
        <v>576251.54999999993</v>
      </c>
      <c r="CF16" s="43">
        <f t="shared" si="109"/>
        <v>1718748.45</v>
      </c>
      <c r="CG16" s="43">
        <f t="shared" si="85"/>
        <v>0</v>
      </c>
      <c r="CH16" s="100">
        <v>2.564E-2</v>
      </c>
      <c r="CI16" s="43">
        <f t="shared" si="70"/>
        <v>0</v>
      </c>
      <c r="CJ16" s="43">
        <f t="shared" si="110"/>
        <v>0</v>
      </c>
      <c r="CK16" s="43">
        <f t="shared" si="111"/>
        <v>0</v>
      </c>
      <c r="CN16">
        <v>5</v>
      </c>
      <c r="CO16" s="96">
        <f>D2</f>
        <v>7.0000000000000007E-2</v>
      </c>
      <c r="CP16" s="22">
        <f>D3</f>
        <v>160650.00000000003</v>
      </c>
      <c r="CQ16"/>
      <c r="CR16">
        <f t="shared" si="117"/>
        <v>6</v>
      </c>
      <c r="CS16"/>
      <c r="CT16" t="s">
        <v>208</v>
      </c>
      <c r="CU16"/>
      <c r="CV16" s="71">
        <v>8.5</v>
      </c>
      <c r="CW16" s="72">
        <v>0.70833333333333337</v>
      </c>
      <c r="CX16" s="67"/>
      <c r="CY16" s="67"/>
      <c r="CZ16" s="67"/>
      <c r="DA16" s="67"/>
      <c r="DB16"/>
      <c r="DC16" s="54"/>
      <c r="DD16" s="76">
        <v>8</v>
      </c>
      <c r="DE16" s="77">
        <f t="shared" ref="DE16:DE23" si="121">$J$38</f>
        <v>0</v>
      </c>
      <c r="DJ16" s="22">
        <v>12</v>
      </c>
      <c r="DK16" s="44">
        <f t="shared" si="12"/>
        <v>83469.149999999994</v>
      </c>
      <c r="DL16" s="44">
        <f t="shared" si="13"/>
        <v>90479.406928574259</v>
      </c>
      <c r="DM16" s="44">
        <f t="shared" si="1"/>
        <v>53242.188479999997</v>
      </c>
      <c r="DN16" s="44">
        <f t="shared" si="2"/>
        <v>71860.797704287135</v>
      </c>
      <c r="DO16" s="44">
        <f t="shared" si="14"/>
        <v>60689.632169714852</v>
      </c>
      <c r="DP16" s="44">
        <f t="shared" si="15"/>
        <v>68137.075859429708</v>
      </c>
      <c r="DQ16" s="44">
        <f t="shared" si="16"/>
        <v>75584.519549144563</v>
      </c>
      <c r="DR16" s="44">
        <f t="shared" si="17"/>
        <v>83031.963238859418</v>
      </c>
      <c r="DS16" s="44">
        <f t="shared" si="3"/>
        <v>31556.96478692735</v>
      </c>
      <c r="DT16" s="44">
        <f t="shared" si="18"/>
        <v>0</v>
      </c>
      <c r="DV16" s="44">
        <f t="shared" si="4"/>
        <v>984027.15</v>
      </c>
      <c r="DW16" s="44">
        <f t="shared" si="87"/>
        <v>427759.62565084221</v>
      </c>
      <c r="DX16" s="44">
        <f t="shared" si="19"/>
        <v>558216.11807999993</v>
      </c>
      <c r="DY16" s="44">
        <f t="shared" si="88"/>
        <v>492987.87186542107</v>
      </c>
      <c r="DZ16" s="44">
        <f t="shared" si="112"/>
        <v>532124.81959416857</v>
      </c>
      <c r="EA16" s="44">
        <f t="shared" si="21"/>
        <v>426050.83940375573</v>
      </c>
      <c r="EB16" s="44">
        <f t="shared" si="22"/>
        <v>359968.20006563351</v>
      </c>
      <c r="EC16" s="44">
        <f t="shared" si="23"/>
        <v>193749.00006563356</v>
      </c>
      <c r="ED16" s="44">
        <f t="shared" si="89"/>
        <v>-337696.20068888238</v>
      </c>
      <c r="EE16" s="44">
        <f t="shared" si="24"/>
        <v>0</v>
      </c>
      <c r="EG16" s="22">
        <v>12</v>
      </c>
      <c r="EH16" s="44">
        <f t="shared" si="5"/>
        <v>58843.799999999996</v>
      </c>
      <c r="EI16" s="44">
        <f t="shared" si="6"/>
        <v>73040.368290411003</v>
      </c>
      <c r="EJ16" s="44">
        <f t="shared" si="7"/>
        <v>35803.149841836734</v>
      </c>
      <c r="EK16" s="44">
        <f t="shared" si="8"/>
        <v>54421.759066123865</v>
      </c>
      <c r="EL16" s="44">
        <f t="shared" si="25"/>
        <v>43250.593531551589</v>
      </c>
      <c r="EM16" s="44">
        <f t="shared" si="26"/>
        <v>50698.037221266444</v>
      </c>
      <c r="EN16" s="44">
        <f t="shared" si="27"/>
        <v>58145.480910981292</v>
      </c>
      <c r="EO16" s="44">
        <f t="shared" si="28"/>
        <v>65592.924600696148</v>
      </c>
      <c r="EP16" s="44">
        <f t="shared" si="9"/>
        <v>76985.420523726265</v>
      </c>
      <c r="EQ16" s="44">
        <f t="shared" si="29"/>
        <v>0</v>
      </c>
      <c r="ES16" s="44">
        <f t="shared" si="10"/>
        <v>693939.15</v>
      </c>
      <c r="ET16" s="44">
        <f t="shared" si="113"/>
        <v>555292.4858017097</v>
      </c>
      <c r="EU16" s="44">
        <f t="shared" si="11"/>
        <v>685748.97823086719</v>
      </c>
      <c r="EV16" s="44">
        <f t="shared" si="114"/>
        <v>620520.73201628856</v>
      </c>
      <c r="EW16" s="44">
        <f t="shared" si="118"/>
        <v>659657.67974503583</v>
      </c>
      <c r="EX16" s="44">
        <f t="shared" si="31"/>
        <v>526573.57914645982</v>
      </c>
      <c r="EY16" s="44">
        <f t="shared" si="32"/>
        <v>446985.8796042559</v>
      </c>
      <c r="EZ16" s="44">
        <f t="shared" si="33"/>
        <v>267261.61940017436</v>
      </c>
      <c r="FA16" s="44">
        <f t="shared" si="120"/>
        <v>529223.29099986644</v>
      </c>
      <c r="FB16" s="44">
        <f t="shared" si="34"/>
        <v>0</v>
      </c>
      <c r="FD16" s="22">
        <f t="shared" si="48"/>
        <v>12</v>
      </c>
      <c r="FF16" s="22">
        <f t="shared" si="49"/>
        <v>12</v>
      </c>
      <c r="FG16" s="138">
        <f t="shared" si="50"/>
        <v>2036</v>
      </c>
      <c r="FH16" s="90">
        <f t="shared" si="35"/>
        <v>83469.149999999994</v>
      </c>
      <c r="FI16" s="90">
        <f t="shared" si="36"/>
        <v>0</v>
      </c>
      <c r="FJ16" s="90">
        <f t="shared" si="37"/>
        <v>83469.149999999994</v>
      </c>
      <c r="FK16" s="44">
        <f t="shared" si="51"/>
        <v>90479.406928574259</v>
      </c>
      <c r="FL16" s="90" cm="1">
        <f t="array" ref="FL16">IF($CQ$5&lt;$CP$5,_xlfn.XLOOKUP(FD16,$EG$5:$EG$54,$DN$5:$DN$54),IF(OR(AND($CQ$5&gt;$CP$5,$CQ$5&lt;$CO$5),OR($CQ$5&gt;=$CL$5)),_xlfn.XLOOKUP(FD16,$EG$5:$EG$54,$DM$5:DM$54),IF(AND($CQ$5&gt;$CO$5,$CQ$5&lt;$CN$5),_xlfn.XLOOKUP(FD16,$EG$5:$EG$54,$DO$5:$DO$54),IF(AND($CQ$5&gt;$CN$5,$CQ$5&lt;$CM$5),_xlfn.XLOOKUP(FD16,$EG$5:$EG$54,$DP$5:$DP$54),IF(AND($CQ$5&gt;$CM$5,$CQ$5&lt;$CL$5),_xlfn.XLOOKUP(FD16,$EG$5:$EG$54,$DQ$5:$DQ$54))))))</f>
        <v>68137.075859429708</v>
      </c>
      <c r="FM16" s="44">
        <f t="shared" si="52"/>
        <v>31556.96478692735</v>
      </c>
      <c r="FP16" s="22">
        <f t="shared" si="53"/>
        <v>12</v>
      </c>
      <c r="FR16" s="22">
        <f t="shared" si="54"/>
        <v>12</v>
      </c>
      <c r="FS16" s="138">
        <f t="shared" si="55"/>
        <v>2036</v>
      </c>
      <c r="FT16" s="90">
        <f t="shared" si="38"/>
        <v>58843.799999999996</v>
      </c>
      <c r="FU16" s="90">
        <f t="shared" si="39"/>
        <v>0</v>
      </c>
      <c r="FV16" s="90">
        <f t="shared" si="40"/>
        <v>58843.799999999996</v>
      </c>
      <c r="FW16" s="44">
        <f t="shared" si="56"/>
        <v>73040.368290411003</v>
      </c>
      <c r="FX16" s="90" cm="1">
        <f t="array" ref="FX16">IF($CQ$5&lt;$CP$5,_xlfn.XLOOKUP(FP16,$EG$5:$EG$54,$EK$5:$EK$54),IF(OR(AND($CQ$5&gt;$CP$5,$CQ$5&lt;$CO$5),OR($CQ$5&gt;=$CL$5)),_xlfn.XLOOKUP(FP16,$EG$5:$EG$54,$EJ$5:$EJ$54),IF(AND($CQ$5&gt;$CO$5,$CQ$5&lt;$CN$5),_xlfn.XLOOKUP(FP16,$EG$5:$EG$54,$EL$5:$EL$54),IF(AND($CQ$5&gt;$CN$5,$CQ$5&lt;$CM$5),_xlfn.XLOOKUP(FP16,$EG$5:$EG$54,$EM$5:$EM$54),_xlfn.XLOOKUP(FP16,$EG$5:$EG$54,$EN$5:EN$54,IF(AND($CQ$5&gt;$CM$5,$CQ$5&lt;$CL$5),_xlfn.XLOOKUP(FD15,$EG$5:$EG$54,$EY$5:$EY$54),""))))))</f>
        <v>50698.037221266444</v>
      </c>
      <c r="FY16" s="44">
        <f t="shared" si="57"/>
        <v>76985.420523726265</v>
      </c>
      <c r="GA16" s="209" t="s">
        <v>227</v>
      </c>
    </row>
    <row r="17" spans="1:183" x14ac:dyDescent="0.25">
      <c r="C17" s="48">
        <v>11</v>
      </c>
      <c r="D17" s="42"/>
      <c r="E17" s="43"/>
      <c r="F17" s="43"/>
      <c r="G17" s="43"/>
      <c r="H17" s="43"/>
      <c r="I17" s="44"/>
      <c r="J17" s="44"/>
      <c r="K17" s="44"/>
      <c r="L17" s="44"/>
      <c r="M17" s="44"/>
      <c r="N17" s="42"/>
      <c r="O17" s="43"/>
      <c r="P17" s="43"/>
      <c r="Q17" s="43"/>
      <c r="R17" s="43"/>
      <c r="S17" s="44"/>
      <c r="T17" s="44"/>
      <c r="U17" s="44"/>
      <c r="V17" s="44"/>
      <c r="W17" s="44"/>
      <c r="X17" s="43"/>
      <c r="Y17" s="43"/>
      <c r="Z17" s="43"/>
      <c r="AA17" s="43"/>
      <c r="AB17" s="43"/>
      <c r="AC17" s="104">
        <f t="shared" si="72"/>
        <v>3442.5</v>
      </c>
      <c r="AD17" s="106">
        <f>AD7</f>
        <v>0.05</v>
      </c>
      <c r="AE17" s="104">
        <f t="shared" si="73"/>
        <v>3442.5</v>
      </c>
      <c r="AF17" s="104">
        <f t="shared" si="61"/>
        <v>68850</v>
      </c>
      <c r="AG17" s="104">
        <f t="shared" si="62"/>
        <v>0</v>
      </c>
      <c r="AH17" s="44">
        <f t="shared" si="74"/>
        <v>204994.04325588007</v>
      </c>
      <c r="AI17" s="59">
        <v>5.91E-2</v>
      </c>
      <c r="AJ17" s="44">
        <f t="shared" si="63"/>
        <v>37300.33237814813</v>
      </c>
      <c r="AK17" s="44">
        <f t="shared" si="90"/>
        <v>463445.58486081508</v>
      </c>
      <c r="AL17" s="44">
        <f t="shared" si="91"/>
        <v>167693.71087773194</v>
      </c>
      <c r="AM17" s="43">
        <f t="shared" si="75"/>
        <v>204994.04325588007</v>
      </c>
      <c r="AN17" s="58">
        <v>5.91E-2</v>
      </c>
      <c r="AO17" s="43">
        <f t="shared" si="64"/>
        <v>37300.33237814813</v>
      </c>
      <c r="AP17" s="43">
        <f t="shared" si="92"/>
        <v>463445.58486081508</v>
      </c>
      <c r="AQ17" s="43">
        <f t="shared" si="93"/>
        <v>167693.71087773194</v>
      </c>
      <c r="AR17" s="44">
        <f t="shared" si="76"/>
        <v>331348.13026273728</v>
      </c>
      <c r="AS17" s="59">
        <v>0.05</v>
      </c>
      <c r="AT17" s="44">
        <f t="shared" si="65"/>
        <v>31556.96478692735</v>
      </c>
      <c r="AU17" s="44">
        <f t="shared" si="94"/>
        <v>331348.13026273716</v>
      </c>
      <c r="AV17" s="44">
        <f t="shared" si="95"/>
        <v>299791.16547580995</v>
      </c>
      <c r="AW17" s="43">
        <f t="shared" si="77"/>
        <v>231417.74177080076</v>
      </c>
      <c r="AX17" s="59">
        <f t="shared" si="78"/>
        <v>6.6666666666666666E-2</v>
      </c>
      <c r="AY17" s="43">
        <f t="shared" si="66"/>
        <v>42075.953049236465</v>
      </c>
      <c r="AZ17" s="43">
        <f t="shared" si="96"/>
        <v>441797.50701698283</v>
      </c>
      <c r="BA17" s="43">
        <f t="shared" si="97"/>
        <v>189341.78872156428</v>
      </c>
      <c r="BB17" s="45">
        <f t="shared" si="79"/>
        <v>942695.61984000029</v>
      </c>
      <c r="BC17" s="227">
        <f>VLOOKUP($CQ$6,$CM$109:$DP$120,12,TRUE)</f>
        <v>3.6360000000000003E-2</v>
      </c>
      <c r="BD17" s="45">
        <f t="shared" si="67"/>
        <v>53227.549440000003</v>
      </c>
      <c r="BE17" s="45">
        <f t="shared" si="98"/>
        <v>574435.92959999992</v>
      </c>
      <c r="BF17" s="45">
        <f t="shared" si="99"/>
        <v>889468.07040000032</v>
      </c>
      <c r="BG17" s="46">
        <f t="shared" si="80"/>
        <v>1477888.2000000004</v>
      </c>
      <c r="BH17" s="60">
        <f>VLOOKUP($CQ$6,$CM$109:$DP$120,12,TRUE)</f>
        <v>3.6360000000000003E-2</v>
      </c>
      <c r="BI17" s="46">
        <f t="shared" si="68"/>
        <v>83446.200000000012</v>
      </c>
      <c r="BJ17" s="46">
        <f t="shared" si="100"/>
        <v>900558</v>
      </c>
      <c r="BK17" s="46">
        <f t="shared" si="101"/>
        <v>1394442.0000000005</v>
      </c>
      <c r="BL17" s="46">
        <f t="shared" si="81"/>
        <v>0</v>
      </c>
      <c r="BM17" s="60">
        <f>VLOOKUP($CQ$6,$CM$109:$DP$120,12,TRUE)</f>
        <v>3.6360000000000003E-2</v>
      </c>
      <c r="BN17" s="46">
        <f t="shared" si="69"/>
        <v>0</v>
      </c>
      <c r="BO17" s="46">
        <f t="shared" si="102"/>
        <v>0</v>
      </c>
      <c r="BP17" s="46">
        <f t="shared" si="103"/>
        <v>0</v>
      </c>
      <c r="BQ17" s="44">
        <f t="shared" si="82"/>
        <v>1045761.9714528067</v>
      </c>
      <c r="BR17" s="100">
        <v>2.564E-2</v>
      </c>
      <c r="BS17" s="44">
        <f t="shared" si="45"/>
        <v>35803.149841836734</v>
      </c>
      <c r="BT17" s="44">
        <f t="shared" si="104"/>
        <v>386419.8773686224</v>
      </c>
      <c r="BU17" s="44">
        <f t="shared" si="105"/>
        <v>1009958.82161097</v>
      </c>
      <c r="BV17" s="44">
        <f t="shared" si="83"/>
        <v>1054559.1572563783</v>
      </c>
      <c r="BW17" s="100">
        <v>2.5000000000000001E-2</v>
      </c>
      <c r="BX17" s="44">
        <f t="shared" si="46"/>
        <v>34909.467474489793</v>
      </c>
      <c r="BY17" s="44">
        <f t="shared" si="106"/>
        <v>376729.00919770414</v>
      </c>
      <c r="BZ17" s="44">
        <f t="shared" si="107"/>
        <v>1019649.6897818885</v>
      </c>
      <c r="CA17" s="44"/>
      <c r="CB17" s="43">
        <f t="shared" si="84"/>
        <v>1718748.45</v>
      </c>
      <c r="CC17" s="100">
        <v>2.564E-2</v>
      </c>
      <c r="CD17" s="43">
        <f t="shared" si="47"/>
        <v>58843.799999999996</v>
      </c>
      <c r="CE17" s="43">
        <f t="shared" si="108"/>
        <v>635095.35</v>
      </c>
      <c r="CF17" s="43">
        <f t="shared" si="109"/>
        <v>1659904.65</v>
      </c>
      <c r="CG17" s="43">
        <f t="shared" si="85"/>
        <v>0</v>
      </c>
      <c r="CH17" s="100">
        <v>2.564E-2</v>
      </c>
      <c r="CI17" s="43">
        <f t="shared" si="70"/>
        <v>0</v>
      </c>
      <c r="CJ17" s="43">
        <f t="shared" si="110"/>
        <v>0</v>
      </c>
      <c r="CK17" s="43">
        <f t="shared" si="111"/>
        <v>0</v>
      </c>
      <c r="CN17">
        <v>5</v>
      </c>
      <c r="CO17" s="96">
        <f>I2</f>
        <v>1.7127104253356451E-2</v>
      </c>
      <c r="CP17" s="22">
        <f>I3</f>
        <v>39306.704261453058</v>
      </c>
      <c r="CQ17"/>
      <c r="CR17">
        <f t="shared" si="117"/>
        <v>7</v>
      </c>
      <c r="CS17"/>
      <c r="CT17" s="203">
        <f>('Input Sheet'!H3*43560)/'Input Sheet'!F3</f>
        <v>22.651200000000003</v>
      </c>
      <c r="CU17"/>
      <c r="CV17" s="71">
        <v>9.5</v>
      </c>
      <c r="CW17" s="72">
        <v>0.79166666666666663</v>
      </c>
      <c r="CX17" s="67"/>
      <c r="CY17" s="67"/>
      <c r="CZ17" s="67"/>
      <c r="DA17" s="67"/>
      <c r="DB17"/>
      <c r="DC17" s="54"/>
      <c r="DD17" s="76">
        <v>9</v>
      </c>
      <c r="DE17" s="77">
        <f t="shared" si="121"/>
        <v>0</v>
      </c>
      <c r="DJ17" s="22">
        <v>13</v>
      </c>
      <c r="DK17" s="44">
        <f t="shared" si="12"/>
        <v>83446.200000000012</v>
      </c>
      <c r="DL17" s="44">
        <f t="shared" si="13"/>
        <v>90527.881818148133</v>
      </c>
      <c r="DM17" s="44">
        <f t="shared" si="1"/>
        <v>53227.549440000003</v>
      </c>
      <c r="DN17" s="44">
        <f t="shared" si="2"/>
        <v>71877.715629074068</v>
      </c>
      <c r="DO17" s="44">
        <f t="shared" si="14"/>
        <v>60687.615915629627</v>
      </c>
      <c r="DP17" s="44">
        <f t="shared" si="15"/>
        <v>68147.682391259252</v>
      </c>
      <c r="DQ17" s="44">
        <f t="shared" si="16"/>
        <v>75607.748866888884</v>
      </c>
      <c r="DR17" s="44">
        <f t="shared" si="17"/>
        <v>83067.815342518501</v>
      </c>
      <c r="DS17" s="44">
        <f t="shared" si="3"/>
        <v>31556.96478692735</v>
      </c>
      <c r="DT17" s="44">
        <f t="shared" si="18"/>
        <v>0</v>
      </c>
      <c r="DV17" s="44">
        <f t="shared" si="4"/>
        <v>1067473.3500000001</v>
      </c>
      <c r="DW17" s="44">
        <f t="shared" si="87"/>
        <v>434818.35746899049</v>
      </c>
      <c r="DX17" s="44">
        <f t="shared" si="19"/>
        <v>527974.51752000011</v>
      </c>
      <c r="DY17" s="44">
        <f t="shared" si="88"/>
        <v>481396.4374944953</v>
      </c>
      <c r="DZ17" s="44">
        <f t="shared" si="112"/>
        <v>509343.28550979809</v>
      </c>
      <c r="EA17" s="44">
        <f t="shared" si="21"/>
        <v>410729.37179501483</v>
      </c>
      <c r="EB17" s="44">
        <f t="shared" si="22"/>
        <v>352106.79893252242</v>
      </c>
      <c r="EC17" s="44">
        <f t="shared" si="23"/>
        <v>185887.59893252223</v>
      </c>
      <c r="ED17" s="44">
        <f t="shared" si="89"/>
        <v>-389608.38590195507</v>
      </c>
      <c r="EE17" s="44">
        <f t="shared" si="24"/>
        <v>0</v>
      </c>
      <c r="EG17" s="22">
        <v>13</v>
      </c>
      <c r="EH17" s="44">
        <f t="shared" si="5"/>
        <v>58843.799999999996</v>
      </c>
      <c r="EI17" s="44">
        <f t="shared" si="6"/>
        <v>73103.482219984871</v>
      </c>
      <c r="EJ17" s="44">
        <f t="shared" si="7"/>
        <v>35803.149841836734</v>
      </c>
      <c r="EK17" s="44">
        <f t="shared" si="8"/>
        <v>54453.316030910799</v>
      </c>
      <c r="EL17" s="44">
        <f t="shared" si="25"/>
        <v>43263.216317466358</v>
      </c>
      <c r="EM17" s="44">
        <f t="shared" si="26"/>
        <v>50723.28279309599</v>
      </c>
      <c r="EN17" s="44">
        <f t="shared" si="27"/>
        <v>58183.349268725608</v>
      </c>
      <c r="EO17" s="44">
        <f t="shared" si="28"/>
        <v>65643.415744355239</v>
      </c>
      <c r="EP17" s="44">
        <f t="shared" si="9"/>
        <v>76985.420523726265</v>
      </c>
      <c r="EQ17" s="44">
        <f t="shared" si="29"/>
        <v>0</v>
      </c>
      <c r="ES17" s="44">
        <f t="shared" si="10"/>
        <v>752782.95000000007</v>
      </c>
      <c r="ET17" s="44">
        <f t="shared" si="113"/>
        <v>569552.16802169441</v>
      </c>
      <c r="EU17" s="44">
        <f t="shared" si="11"/>
        <v>662708.32807270403</v>
      </c>
      <c r="EV17" s="44">
        <f t="shared" si="114"/>
        <v>616130.24804719922</v>
      </c>
      <c r="EW17" s="44">
        <f t="shared" si="118"/>
        <v>644077.09606250224</v>
      </c>
      <c r="EX17" s="44">
        <f t="shared" si="31"/>
        <v>518453.06193955557</v>
      </c>
      <c r="EY17" s="44">
        <f t="shared" si="32"/>
        <v>446325.42887298146</v>
      </c>
      <c r="EZ17" s="44">
        <f t="shared" si="33"/>
        <v>266601.16866889992</v>
      </c>
      <c r="FA17" s="44">
        <f t="shared" si="120"/>
        <v>547364.91152359254</v>
      </c>
      <c r="FB17" s="44">
        <f t="shared" si="34"/>
        <v>0</v>
      </c>
      <c r="FD17" s="22">
        <f t="shared" si="48"/>
        <v>13</v>
      </c>
      <c r="FF17" s="22">
        <f t="shared" si="49"/>
        <v>13</v>
      </c>
      <c r="FG17" s="138">
        <f t="shared" si="50"/>
        <v>2037</v>
      </c>
      <c r="FH17" s="90">
        <f t="shared" si="35"/>
        <v>83446.200000000012</v>
      </c>
      <c r="FI17" s="90">
        <f t="shared" si="36"/>
        <v>0</v>
      </c>
      <c r="FJ17" s="90">
        <f t="shared" si="37"/>
        <v>83446.200000000012</v>
      </c>
      <c r="FK17" s="44">
        <f t="shared" si="51"/>
        <v>90527.881818148133</v>
      </c>
      <c r="FL17" s="90" cm="1">
        <f t="array" ref="FL17">IF($CQ$5&lt;$CP$5,_xlfn.XLOOKUP(FD17,$EG$5:$EG$54,$DN$5:$DN$54),IF(OR(AND($CQ$5&gt;$CP$5,$CQ$5&lt;$CO$5),OR($CQ$5&gt;=$CL$5)),_xlfn.XLOOKUP(FD17,$EG$5:$EG$54,$DM$5:DM$54),IF(AND($CQ$5&gt;$CO$5,$CQ$5&lt;$CN$5),_xlfn.XLOOKUP(FD17,$EG$5:$EG$54,$DO$5:$DO$54),IF(AND($CQ$5&gt;$CN$5,$CQ$5&lt;$CM$5),_xlfn.XLOOKUP(FD17,$EG$5:$EG$54,$DP$5:$DP$54),IF(AND($CQ$5&gt;$CM$5,$CQ$5&lt;$CL$5),_xlfn.XLOOKUP(FD17,$EG$5:$EG$54,$DQ$5:$DQ$54))))))</f>
        <v>68147.682391259252</v>
      </c>
      <c r="FM17" s="44">
        <f t="shared" si="52"/>
        <v>31556.96478692735</v>
      </c>
      <c r="FP17" s="22">
        <f t="shared" si="53"/>
        <v>13</v>
      </c>
      <c r="FR17" s="22">
        <f t="shared" si="54"/>
        <v>13</v>
      </c>
      <c r="FS17" s="138">
        <f t="shared" si="55"/>
        <v>2037</v>
      </c>
      <c r="FT17" s="90">
        <f t="shared" si="38"/>
        <v>58843.799999999996</v>
      </c>
      <c r="FU17" s="90">
        <f t="shared" si="39"/>
        <v>0</v>
      </c>
      <c r="FV17" s="90">
        <f t="shared" si="40"/>
        <v>58843.799999999996</v>
      </c>
      <c r="FW17" s="44">
        <f t="shared" si="56"/>
        <v>73103.482219984871</v>
      </c>
      <c r="FX17" s="90" cm="1">
        <f t="array" ref="FX17">IF($CQ$5&lt;$CP$5,_xlfn.XLOOKUP(FP17,$EG$5:$EG$54,$EK$5:$EK$54),IF(OR(AND($CQ$5&gt;$CP$5,$CQ$5&lt;$CO$5),OR($CQ$5&gt;=$CL$5)),_xlfn.XLOOKUP(FP17,$EG$5:$EG$54,$EJ$5:$EJ$54),IF(AND($CQ$5&gt;$CO$5,$CQ$5&lt;$CN$5),_xlfn.XLOOKUP(FP17,$EG$5:$EG$54,$EL$5:$EL$54),IF(AND($CQ$5&gt;$CN$5,$CQ$5&lt;$CM$5),_xlfn.XLOOKUP(FP17,$EG$5:$EG$54,$EM$5:$EM$54),_xlfn.XLOOKUP(FP17,$EG$5:$EG$54,$EN$5:EN$54,IF(AND($CQ$5&gt;$CM$5,$CQ$5&lt;$CL$5),_xlfn.XLOOKUP(FD16,$EG$5:$EG$54,$EY$5:$EY$54),""))))))</f>
        <v>50723.28279309599</v>
      </c>
      <c r="FY17" s="44">
        <f t="shared" si="57"/>
        <v>76985.420523726265</v>
      </c>
      <c r="GA17" s="209" t="s">
        <v>228</v>
      </c>
    </row>
    <row r="18" spans="1:183" x14ac:dyDescent="0.25">
      <c r="C18" s="48">
        <v>12</v>
      </c>
      <c r="D18" s="42"/>
      <c r="E18" s="43"/>
      <c r="F18" s="43"/>
      <c r="G18" s="43"/>
      <c r="H18" s="43"/>
      <c r="I18" s="44"/>
      <c r="J18" s="44"/>
      <c r="K18" s="44"/>
      <c r="L18" s="44"/>
      <c r="M18" s="44"/>
      <c r="N18" s="42"/>
      <c r="O18" s="43"/>
      <c r="P18" s="43"/>
      <c r="Q18" s="43"/>
      <c r="R18" s="43"/>
      <c r="S18" s="44"/>
      <c r="T18" s="44"/>
      <c r="U18" s="44"/>
      <c r="V18" s="44"/>
      <c r="W18" s="44"/>
      <c r="X18" s="43"/>
      <c r="Y18" s="43"/>
      <c r="Z18" s="43"/>
      <c r="AA18" s="43"/>
      <c r="AB18" s="43"/>
      <c r="AC18" s="104"/>
      <c r="AD18" s="106"/>
      <c r="AE18" s="104"/>
      <c r="AF18" s="104"/>
      <c r="AG18" s="104"/>
      <c r="AH18" s="44">
        <f t="shared" si="74"/>
        <v>167693.71087773194</v>
      </c>
      <c r="AI18" s="59">
        <v>5.8999999999999997E-2</v>
      </c>
      <c r="AJ18" s="44">
        <f t="shared" si="63"/>
        <v>37237.218448574269</v>
      </c>
      <c r="AK18" s="44">
        <f t="shared" si="90"/>
        <v>500682.80330938933</v>
      </c>
      <c r="AL18" s="44">
        <f t="shared" si="91"/>
        <v>130456.49242915766</v>
      </c>
      <c r="AM18" s="43">
        <f t="shared" si="75"/>
        <v>167693.71087773194</v>
      </c>
      <c r="AN18" s="58">
        <v>5.8999999999999997E-2</v>
      </c>
      <c r="AO18" s="43">
        <f t="shared" si="64"/>
        <v>37237.218448574269</v>
      </c>
      <c r="AP18" s="43">
        <f t="shared" si="92"/>
        <v>500682.80330938933</v>
      </c>
      <c r="AQ18" s="43">
        <f t="shared" si="93"/>
        <v>130456.49242915766</v>
      </c>
      <c r="AR18" s="44">
        <f t="shared" si="76"/>
        <v>299791.16547580995</v>
      </c>
      <c r="AS18" s="59">
        <v>0.05</v>
      </c>
      <c r="AT18" s="44">
        <f t="shared" si="65"/>
        <v>31556.96478692735</v>
      </c>
      <c r="AU18" s="44">
        <f t="shared" si="94"/>
        <v>362905.09504966449</v>
      </c>
      <c r="AV18" s="44">
        <f t="shared" si="95"/>
        <v>268234.20068888261</v>
      </c>
      <c r="AW18" s="43">
        <f t="shared" si="77"/>
        <v>189341.78872156428</v>
      </c>
      <c r="AX18" s="59">
        <f t="shared" si="78"/>
        <v>6.6666666666666666E-2</v>
      </c>
      <c r="AY18" s="43">
        <f t="shared" si="66"/>
        <v>42075.953049236465</v>
      </c>
      <c r="AZ18" s="43">
        <f t="shared" si="96"/>
        <v>483873.46006621927</v>
      </c>
      <c r="BA18" s="43">
        <f t="shared" si="97"/>
        <v>147265.83567232781</v>
      </c>
      <c r="BB18" s="45">
        <f t="shared" si="79"/>
        <v>889468.07040000032</v>
      </c>
      <c r="BC18" s="227">
        <f>VLOOKUP($CQ$6,$CM$109:$DP$120,13,TRUE)</f>
        <v>3.637E-2</v>
      </c>
      <c r="BD18" s="45">
        <f t="shared" si="67"/>
        <v>53242.188479999997</v>
      </c>
      <c r="BE18" s="45">
        <f t="shared" si="98"/>
        <v>627678.11807999993</v>
      </c>
      <c r="BF18" s="45">
        <f t="shared" si="99"/>
        <v>836225.88192000031</v>
      </c>
      <c r="BG18" s="46">
        <f t="shared" si="80"/>
        <v>1394442.0000000005</v>
      </c>
      <c r="BH18" s="60">
        <f>VLOOKUP($CQ$6,$CM$109:$DP$120,13,TRUE)</f>
        <v>3.637E-2</v>
      </c>
      <c r="BI18" s="46">
        <f t="shared" si="68"/>
        <v>83469.149999999994</v>
      </c>
      <c r="BJ18" s="46">
        <f t="shared" si="100"/>
        <v>984027.15</v>
      </c>
      <c r="BK18" s="46">
        <f t="shared" si="101"/>
        <v>1310972.8500000006</v>
      </c>
      <c r="BL18" s="46">
        <f t="shared" si="81"/>
        <v>0</v>
      </c>
      <c r="BM18" s="60">
        <f>VLOOKUP($CQ$6,$CM$109:$DP$120,13,TRUE)</f>
        <v>3.637E-2</v>
      </c>
      <c r="BN18" s="46">
        <f t="shared" si="69"/>
        <v>0</v>
      </c>
      <c r="BO18" s="46">
        <f t="shared" si="102"/>
        <v>0</v>
      </c>
      <c r="BP18" s="46">
        <f t="shared" si="103"/>
        <v>0</v>
      </c>
      <c r="BQ18" s="44">
        <f t="shared" si="82"/>
        <v>1009958.82161097</v>
      </c>
      <c r="BR18" s="100">
        <v>2.564E-2</v>
      </c>
      <c r="BS18" s="44">
        <f t="shared" si="45"/>
        <v>35803.149841836734</v>
      </c>
      <c r="BT18" s="44">
        <f t="shared" si="104"/>
        <v>422223.02721045911</v>
      </c>
      <c r="BU18" s="44">
        <f t="shared" si="105"/>
        <v>974155.67176913319</v>
      </c>
      <c r="BV18" s="44">
        <f t="shared" si="83"/>
        <v>1019649.6897818885</v>
      </c>
      <c r="BW18" s="100">
        <v>2.5000000000000001E-2</v>
      </c>
      <c r="BX18" s="44">
        <f t="shared" si="46"/>
        <v>34909.467474489793</v>
      </c>
      <c r="BY18" s="44">
        <f t="shared" si="106"/>
        <v>411638.47667219397</v>
      </c>
      <c r="BZ18" s="44">
        <f t="shared" si="107"/>
        <v>984740.22230739868</v>
      </c>
      <c r="CA18" s="44"/>
      <c r="CB18" s="43">
        <f t="shared" si="84"/>
        <v>1659904.65</v>
      </c>
      <c r="CC18" s="100">
        <v>2.564E-2</v>
      </c>
      <c r="CD18" s="43">
        <f t="shared" si="47"/>
        <v>58843.799999999996</v>
      </c>
      <c r="CE18" s="43">
        <f t="shared" si="108"/>
        <v>693939.15</v>
      </c>
      <c r="CF18" s="43">
        <f t="shared" si="109"/>
        <v>1601060.8499999999</v>
      </c>
      <c r="CG18" s="43">
        <f t="shared" si="85"/>
        <v>0</v>
      </c>
      <c r="CH18" s="100">
        <v>2.564E-2</v>
      </c>
      <c r="CI18" s="43">
        <f t="shared" si="70"/>
        <v>0</v>
      </c>
      <c r="CJ18" s="43">
        <f t="shared" si="110"/>
        <v>0</v>
      </c>
      <c r="CK18" s="43">
        <f t="shared" si="111"/>
        <v>0</v>
      </c>
      <c r="CN18" s="22">
        <v>7</v>
      </c>
      <c r="CO18" s="96">
        <f>X2</f>
        <v>2.942278911564622E-2</v>
      </c>
      <c r="CP18" s="22">
        <f>X3</f>
        <v>67525.301020408078</v>
      </c>
      <c r="CQ18"/>
      <c r="CR18">
        <f t="shared" si="117"/>
        <v>8</v>
      </c>
      <c r="CS18"/>
      <c r="CT18">
        <f>CT17*5*0.001</f>
        <v>0.11325600000000002</v>
      </c>
      <c r="CU18"/>
      <c r="CV18" s="71">
        <v>10.5</v>
      </c>
      <c r="CW18" s="72">
        <v>0.875</v>
      </c>
      <c r="CX18" s="67"/>
      <c r="CY18" s="67"/>
      <c r="CZ18" s="67"/>
      <c r="DA18" s="67"/>
      <c r="DB18"/>
      <c r="DC18" s="54"/>
      <c r="DD18" s="76">
        <v>10</v>
      </c>
      <c r="DE18" s="77">
        <f t="shared" si="121"/>
        <v>0</v>
      </c>
      <c r="DJ18" s="22">
        <v>14</v>
      </c>
      <c r="DK18" s="44">
        <f t="shared" si="12"/>
        <v>83469.149999999994</v>
      </c>
      <c r="DL18" s="44">
        <f t="shared" si="13"/>
        <v>90479.406928574259</v>
      </c>
      <c r="DM18" s="44">
        <f t="shared" si="1"/>
        <v>53242.188479999997</v>
      </c>
      <c r="DN18" s="44">
        <f t="shared" si="2"/>
        <v>71860.797704287135</v>
      </c>
      <c r="DO18" s="44">
        <f t="shared" si="14"/>
        <v>60689.632169714852</v>
      </c>
      <c r="DP18" s="44">
        <f t="shared" si="15"/>
        <v>68137.075859429708</v>
      </c>
      <c r="DQ18" s="44">
        <f t="shared" si="16"/>
        <v>75584.519549144563</v>
      </c>
      <c r="DR18" s="44">
        <f t="shared" si="17"/>
        <v>83031.963238859418</v>
      </c>
      <c r="DS18" s="44">
        <f t="shared" si="3"/>
        <v>31556.96478692735</v>
      </c>
      <c r="DT18" s="44">
        <f t="shared" si="18"/>
        <v>0</v>
      </c>
      <c r="DV18" s="44">
        <f t="shared" si="4"/>
        <v>1150942.5</v>
      </c>
      <c r="DW18" s="44">
        <f t="shared" si="87"/>
        <v>441851.56439756462</v>
      </c>
      <c r="DX18" s="44">
        <f t="shared" si="19"/>
        <v>497770.50600000005</v>
      </c>
      <c r="DY18" s="44">
        <f t="shared" si="88"/>
        <v>469811.03519878234</v>
      </c>
      <c r="DZ18" s="44">
        <f t="shared" si="112"/>
        <v>486586.71767951292</v>
      </c>
      <c r="EA18" s="44">
        <f t="shared" si="21"/>
        <v>395420.24765444454</v>
      </c>
      <c r="EB18" s="44">
        <f t="shared" si="22"/>
        <v>344245.11848166701</v>
      </c>
      <c r="EC18" s="44">
        <f t="shared" si="23"/>
        <v>178025.91848166706</v>
      </c>
      <c r="ED18" s="44">
        <f t="shared" si="89"/>
        <v>-441497.62111502781</v>
      </c>
      <c r="EE18" s="44">
        <f t="shared" si="24"/>
        <v>0</v>
      </c>
      <c r="EG18" s="22">
        <v>14</v>
      </c>
      <c r="EH18" s="44">
        <f t="shared" si="5"/>
        <v>58843.799999999996</v>
      </c>
      <c r="EI18" s="44">
        <f t="shared" si="6"/>
        <v>73040.368290411003</v>
      </c>
      <c r="EJ18" s="44">
        <f t="shared" si="7"/>
        <v>35803.149841836734</v>
      </c>
      <c r="EK18" s="44">
        <f t="shared" si="8"/>
        <v>54421.759066123865</v>
      </c>
      <c r="EL18" s="44">
        <f t="shared" si="25"/>
        <v>43250.593531551589</v>
      </c>
      <c r="EM18" s="44">
        <f t="shared" si="26"/>
        <v>50698.037221266444</v>
      </c>
      <c r="EN18" s="44">
        <f t="shared" si="27"/>
        <v>58145.480910981292</v>
      </c>
      <c r="EO18" s="44">
        <f t="shared" si="28"/>
        <v>65592.924600696148</v>
      </c>
      <c r="EP18" s="44">
        <f t="shared" si="9"/>
        <v>76985.420523726265</v>
      </c>
      <c r="EQ18" s="44">
        <f t="shared" si="29"/>
        <v>0</v>
      </c>
      <c r="ES18" s="44">
        <f t="shared" si="10"/>
        <v>811626.75000000012</v>
      </c>
      <c r="ET18" s="44">
        <f t="shared" si="113"/>
        <v>583748.73631210544</v>
      </c>
      <c r="EU18" s="44">
        <f t="shared" si="11"/>
        <v>639667.67791454063</v>
      </c>
      <c r="EV18" s="44">
        <f t="shared" si="114"/>
        <v>611708.20711332292</v>
      </c>
      <c r="EW18" s="44">
        <f t="shared" si="118"/>
        <v>628483.88959405373</v>
      </c>
      <c r="EX18" s="44">
        <f t="shared" si="31"/>
        <v>510307.29916082195</v>
      </c>
      <c r="EY18" s="44">
        <f t="shared" si="32"/>
        <v>445627.10978396295</v>
      </c>
      <c r="EZ18" s="44">
        <f t="shared" si="33"/>
        <v>265902.84957988118</v>
      </c>
      <c r="FA18" s="44">
        <f t="shared" si="120"/>
        <v>565506.53204731888</v>
      </c>
      <c r="FB18" s="44">
        <f t="shared" si="34"/>
        <v>0</v>
      </c>
      <c r="FD18" s="22">
        <f t="shared" si="48"/>
        <v>14</v>
      </c>
      <c r="FF18" s="22">
        <f t="shared" si="49"/>
        <v>14</v>
      </c>
      <c r="FG18" s="138">
        <f t="shared" si="50"/>
        <v>2038</v>
      </c>
      <c r="FH18" s="90">
        <f t="shared" si="35"/>
        <v>83469.149999999994</v>
      </c>
      <c r="FI18" s="90">
        <f t="shared" si="36"/>
        <v>0</v>
      </c>
      <c r="FJ18" s="90">
        <f t="shared" si="37"/>
        <v>83469.149999999994</v>
      </c>
      <c r="FK18" s="44">
        <f t="shared" si="51"/>
        <v>90479.406928574259</v>
      </c>
      <c r="FL18" s="90" cm="1">
        <f t="array" ref="FL18">IF($CQ$5&lt;$CP$5,_xlfn.XLOOKUP(FD18,$EG$5:$EG$54,$DN$5:$DN$54),IF(OR(AND($CQ$5&gt;$CP$5,$CQ$5&lt;$CO$5),OR($CQ$5&gt;=$CL$5)),_xlfn.XLOOKUP(FD18,$EG$5:$EG$54,$DM$5:DM$54),IF(AND($CQ$5&gt;$CO$5,$CQ$5&lt;$CN$5),_xlfn.XLOOKUP(FD18,$EG$5:$EG$54,$DO$5:$DO$54),IF(AND($CQ$5&gt;$CN$5,$CQ$5&lt;$CM$5),_xlfn.XLOOKUP(FD18,$EG$5:$EG$54,$DP$5:$DP$54),IF(AND($CQ$5&gt;$CM$5,$CQ$5&lt;$CL$5),_xlfn.XLOOKUP(FD18,$EG$5:$EG$54,$DQ$5:$DQ$54))))))</f>
        <v>68137.075859429708</v>
      </c>
      <c r="FM18" s="44">
        <f t="shared" si="52"/>
        <v>31556.96478692735</v>
      </c>
      <c r="FP18" s="22">
        <f t="shared" si="53"/>
        <v>14</v>
      </c>
      <c r="FR18" s="22">
        <f t="shared" si="54"/>
        <v>14</v>
      </c>
      <c r="FS18" s="138">
        <f t="shared" si="55"/>
        <v>2038</v>
      </c>
      <c r="FT18" s="90">
        <f t="shared" si="38"/>
        <v>58843.799999999996</v>
      </c>
      <c r="FU18" s="90">
        <f t="shared" si="39"/>
        <v>0</v>
      </c>
      <c r="FV18" s="90">
        <f t="shared" si="40"/>
        <v>58843.799999999996</v>
      </c>
      <c r="FW18" s="44">
        <f t="shared" si="56"/>
        <v>73040.368290411003</v>
      </c>
      <c r="FX18" s="90" cm="1">
        <f t="array" ref="FX18">IF($CQ$5&lt;$CP$5,_xlfn.XLOOKUP(FP18,$EG$5:$EG$54,$EK$5:$EK$54),IF(OR(AND($CQ$5&gt;$CP$5,$CQ$5&lt;$CO$5),OR($CQ$5&gt;=$CL$5)),_xlfn.XLOOKUP(FP18,$EG$5:$EG$54,$EJ$5:$EJ$54),IF(AND($CQ$5&gt;$CO$5,$CQ$5&lt;$CN$5),_xlfn.XLOOKUP(FP18,$EG$5:$EG$54,$EL$5:$EL$54),IF(AND($CQ$5&gt;$CN$5,$CQ$5&lt;$CM$5),_xlfn.XLOOKUP(FP18,$EG$5:$EG$54,$EM$5:$EM$54),_xlfn.XLOOKUP(FP18,$EG$5:$EG$54,$EN$5:EN$54,IF(AND($CQ$5&gt;$CM$5,$CQ$5&lt;$CL$5),_xlfn.XLOOKUP(FD17,$EG$5:$EG$54,$EY$5:$EY$54),""))))))</f>
        <v>50698.037221266444</v>
      </c>
      <c r="FY18" s="44">
        <f t="shared" si="57"/>
        <v>76985.420523726265</v>
      </c>
      <c r="GA18" s="209" t="s">
        <v>230</v>
      </c>
    </row>
    <row r="19" spans="1:183" x14ac:dyDescent="0.25">
      <c r="C19" s="48">
        <v>13</v>
      </c>
      <c r="D19" s="42"/>
      <c r="E19" s="43"/>
      <c r="F19" s="43"/>
      <c r="G19" s="43"/>
      <c r="H19" s="43"/>
      <c r="I19" s="44"/>
      <c r="J19" s="44"/>
      <c r="K19" s="44"/>
      <c r="L19" s="44"/>
      <c r="M19" s="44"/>
      <c r="N19" s="42"/>
      <c r="O19" s="43"/>
      <c r="P19" s="43"/>
      <c r="Q19" s="43"/>
      <c r="R19" s="43"/>
      <c r="S19" s="44"/>
      <c r="T19" s="44"/>
      <c r="U19" s="44"/>
      <c r="V19" s="44"/>
      <c r="W19" s="44"/>
      <c r="X19" s="43"/>
      <c r="Y19" s="43"/>
      <c r="Z19" s="43"/>
      <c r="AA19" s="43"/>
      <c r="AB19" s="43"/>
      <c r="AC19" s="104"/>
      <c r="AD19" s="104"/>
      <c r="AE19" s="104"/>
      <c r="AF19" s="104"/>
      <c r="AG19" s="104"/>
      <c r="AH19" s="44">
        <f t="shared" si="74"/>
        <v>130456.49242915766</v>
      </c>
      <c r="AI19" s="59">
        <v>5.91E-2</v>
      </c>
      <c r="AJ19" s="44">
        <f t="shared" si="63"/>
        <v>37300.33237814813</v>
      </c>
      <c r="AK19" s="44">
        <f t="shared" si="90"/>
        <v>537983.13568753749</v>
      </c>
      <c r="AL19" s="44">
        <f t="shared" si="91"/>
        <v>93156.16005100953</v>
      </c>
      <c r="AM19" s="43">
        <f t="shared" si="75"/>
        <v>130456.49242915766</v>
      </c>
      <c r="AN19" s="58">
        <v>5.91E-2</v>
      </c>
      <c r="AO19" s="43">
        <f t="shared" si="64"/>
        <v>37300.33237814813</v>
      </c>
      <c r="AP19" s="43">
        <f t="shared" si="92"/>
        <v>537983.13568753749</v>
      </c>
      <c r="AQ19" s="43">
        <f t="shared" si="93"/>
        <v>93156.16005100953</v>
      </c>
      <c r="AR19" s="44">
        <f t="shared" si="76"/>
        <v>268234.20068888261</v>
      </c>
      <c r="AS19" s="59">
        <v>0.05</v>
      </c>
      <c r="AT19" s="44">
        <f t="shared" si="65"/>
        <v>31556.96478692735</v>
      </c>
      <c r="AU19" s="44">
        <f t="shared" si="94"/>
        <v>394462.05983659183</v>
      </c>
      <c r="AV19" s="44">
        <f t="shared" si="95"/>
        <v>236677.23590195525</v>
      </c>
      <c r="AW19" s="43">
        <f t="shared" si="77"/>
        <v>147265.83567232781</v>
      </c>
      <c r="AX19" s="59">
        <f t="shared" si="78"/>
        <v>6.6666666666666666E-2</v>
      </c>
      <c r="AY19" s="43">
        <f t="shared" si="66"/>
        <v>42075.953049236465</v>
      </c>
      <c r="AZ19" s="43">
        <f t="shared" si="96"/>
        <v>525949.41311545577</v>
      </c>
      <c r="BA19" s="43">
        <f t="shared" si="97"/>
        <v>105189.88262309134</v>
      </c>
      <c r="BB19" s="45">
        <f t="shared" si="79"/>
        <v>836225.88192000031</v>
      </c>
      <c r="BC19" s="227">
        <f>VLOOKUP($CQ$6,$CM$109:$DP$120,14,TRUE)</f>
        <v>3.6360000000000003E-2</v>
      </c>
      <c r="BD19" s="45">
        <f t="shared" si="67"/>
        <v>53227.549440000003</v>
      </c>
      <c r="BE19" s="45">
        <f t="shared" si="98"/>
        <v>680905.6675199999</v>
      </c>
      <c r="BF19" s="45">
        <f t="shared" si="99"/>
        <v>782998.33248000033</v>
      </c>
      <c r="BG19" s="46">
        <f t="shared" si="80"/>
        <v>1310972.8500000006</v>
      </c>
      <c r="BH19" s="60">
        <f>VLOOKUP($CQ$6,$CM$109:$DP$120,14,TRUE)</f>
        <v>3.6360000000000003E-2</v>
      </c>
      <c r="BI19" s="46">
        <f t="shared" si="68"/>
        <v>83446.200000000012</v>
      </c>
      <c r="BJ19" s="46">
        <f t="shared" si="100"/>
        <v>1067473.3500000001</v>
      </c>
      <c r="BK19" s="46">
        <f t="shared" si="101"/>
        <v>1227526.6500000006</v>
      </c>
      <c r="BL19" s="46">
        <f t="shared" si="81"/>
        <v>0</v>
      </c>
      <c r="BM19" s="60">
        <f>VLOOKUP($CQ$6,$CM$109:$DP$120,14,TRUE)</f>
        <v>3.6360000000000003E-2</v>
      </c>
      <c r="BN19" s="46">
        <f t="shared" si="69"/>
        <v>0</v>
      </c>
      <c r="BO19" s="46">
        <f t="shared" si="102"/>
        <v>0</v>
      </c>
      <c r="BP19" s="46">
        <f t="shared" si="103"/>
        <v>0</v>
      </c>
      <c r="BQ19" s="44">
        <f t="shared" si="82"/>
        <v>974155.67176913319</v>
      </c>
      <c r="BR19" s="100">
        <v>2.564E-2</v>
      </c>
      <c r="BS19" s="44">
        <f t="shared" si="45"/>
        <v>35803.149841836734</v>
      </c>
      <c r="BT19" s="44">
        <f t="shared" si="104"/>
        <v>458026.17705229582</v>
      </c>
      <c r="BU19" s="44">
        <f t="shared" si="105"/>
        <v>938352.52192729642</v>
      </c>
      <c r="BV19" s="44">
        <f t="shared" si="83"/>
        <v>984740.22230739868</v>
      </c>
      <c r="BW19" s="100">
        <v>2.5000000000000001E-2</v>
      </c>
      <c r="BX19" s="44">
        <f t="shared" si="46"/>
        <v>34909.467474489793</v>
      </c>
      <c r="BY19" s="44">
        <f t="shared" si="106"/>
        <v>446547.94414668379</v>
      </c>
      <c r="BZ19" s="44">
        <f t="shared" si="107"/>
        <v>949830.75483290886</v>
      </c>
      <c r="CA19" s="44"/>
      <c r="CB19" s="43">
        <f t="shared" si="84"/>
        <v>1601060.8499999999</v>
      </c>
      <c r="CC19" s="100">
        <v>2.564E-2</v>
      </c>
      <c r="CD19" s="43">
        <f t="shared" si="47"/>
        <v>58843.799999999996</v>
      </c>
      <c r="CE19" s="43">
        <f t="shared" si="108"/>
        <v>752782.95000000007</v>
      </c>
      <c r="CF19" s="43">
        <f t="shared" si="109"/>
        <v>1542217.0499999998</v>
      </c>
      <c r="CG19" s="43">
        <f t="shared" si="85"/>
        <v>0</v>
      </c>
      <c r="CH19" s="100">
        <v>2.564E-2</v>
      </c>
      <c r="CI19" s="43">
        <f t="shared" si="70"/>
        <v>0</v>
      </c>
      <c r="CJ19" s="43">
        <f t="shared" si="110"/>
        <v>0</v>
      </c>
      <c r="CK19" s="43">
        <f t="shared" si="111"/>
        <v>0</v>
      </c>
      <c r="CN19" s="22">
        <v>15</v>
      </c>
      <c r="CO19" s="96">
        <f>AM2</f>
        <v>0.2750062290799769</v>
      </c>
      <c r="CP19" s="22">
        <f>AM3</f>
        <v>631139.29573854699</v>
      </c>
      <c r="CQ19"/>
      <c r="CR19">
        <f t="shared" si="117"/>
        <v>9</v>
      </c>
      <c r="CS19"/>
      <c r="CT19"/>
      <c r="CU19"/>
      <c r="CV19" s="79">
        <v>11.5</v>
      </c>
      <c r="CW19" s="80">
        <v>0.95833333333333337</v>
      </c>
      <c r="CX19" s="67"/>
      <c r="CY19" s="67"/>
      <c r="CZ19" s="67"/>
      <c r="DA19" s="67"/>
      <c r="DB19"/>
      <c r="DC19" s="54"/>
      <c r="DD19" s="76">
        <v>11</v>
      </c>
      <c r="DE19" s="77">
        <f t="shared" si="121"/>
        <v>0</v>
      </c>
      <c r="DJ19" s="22">
        <v>15</v>
      </c>
      <c r="DK19" s="44">
        <f t="shared" si="12"/>
        <v>83446.200000000012</v>
      </c>
      <c r="DL19" s="44">
        <f t="shared" si="13"/>
        <v>90527.881818148133</v>
      </c>
      <c r="DM19" s="44">
        <f t="shared" si="1"/>
        <v>53227.549440000003</v>
      </c>
      <c r="DN19" s="44">
        <f t="shared" si="2"/>
        <v>71877.715629074068</v>
      </c>
      <c r="DO19" s="44">
        <f t="shared" si="14"/>
        <v>60687.615915629627</v>
      </c>
      <c r="DP19" s="44">
        <f t="shared" si="15"/>
        <v>68147.682391259252</v>
      </c>
      <c r="DQ19" s="44">
        <f t="shared" si="16"/>
        <v>75607.748866888884</v>
      </c>
      <c r="DR19" s="44">
        <f t="shared" si="17"/>
        <v>83067.815342518501</v>
      </c>
      <c r="DS19" s="44">
        <f t="shared" si="3"/>
        <v>31556.96478692735</v>
      </c>
      <c r="DT19" s="44">
        <f t="shared" si="18"/>
        <v>0</v>
      </c>
      <c r="DV19" s="44">
        <f t="shared" si="4"/>
        <v>1234388.7</v>
      </c>
      <c r="DW19" s="44">
        <f t="shared" si="87"/>
        <v>448910.29621571302</v>
      </c>
      <c r="DX19" s="44">
        <f t="shared" si="19"/>
        <v>467528.90543999989</v>
      </c>
      <c r="DY19" s="44">
        <f t="shared" si="88"/>
        <v>458219.60082785645</v>
      </c>
      <c r="DZ19" s="44">
        <f t="shared" si="112"/>
        <v>463805.18359514279</v>
      </c>
      <c r="EA19" s="44">
        <f t="shared" si="21"/>
        <v>380098.78004570398</v>
      </c>
      <c r="EB19" s="44">
        <f t="shared" si="22"/>
        <v>336383.71734855603</v>
      </c>
      <c r="EC19" s="44">
        <f t="shared" si="23"/>
        <v>170164.51734855585</v>
      </c>
      <c r="ED19" s="44">
        <f t="shared" si="89"/>
        <v>-493409.80632810039</v>
      </c>
      <c r="EE19" s="44">
        <f t="shared" si="24"/>
        <v>0</v>
      </c>
      <c r="EG19" s="22">
        <v>15</v>
      </c>
      <c r="EH19" s="44">
        <f t="shared" si="5"/>
        <v>58843.799999999996</v>
      </c>
      <c r="EI19" s="44">
        <f t="shared" si="6"/>
        <v>73103.482219984871</v>
      </c>
      <c r="EJ19" s="44">
        <f t="shared" si="7"/>
        <v>35803.149841836734</v>
      </c>
      <c r="EK19" s="44">
        <f t="shared" si="8"/>
        <v>54453.316030910799</v>
      </c>
      <c r="EL19" s="44">
        <f t="shared" si="25"/>
        <v>43263.216317466358</v>
      </c>
      <c r="EM19" s="44">
        <f t="shared" si="26"/>
        <v>50723.28279309599</v>
      </c>
      <c r="EN19" s="44">
        <f t="shared" si="27"/>
        <v>58183.349268725608</v>
      </c>
      <c r="EO19" s="44">
        <f t="shared" si="28"/>
        <v>65643.415744355239</v>
      </c>
      <c r="EP19" s="44">
        <f t="shared" si="9"/>
        <v>76985.420523726265</v>
      </c>
      <c r="EQ19" s="44">
        <f t="shared" si="29"/>
        <v>0</v>
      </c>
      <c r="ES19" s="44">
        <f t="shared" si="10"/>
        <v>870470.55000000016</v>
      </c>
      <c r="ET19" s="44">
        <f t="shared" si="113"/>
        <v>598008.41853209015</v>
      </c>
      <c r="EU19" s="44">
        <f t="shared" si="11"/>
        <v>616627.02775637747</v>
      </c>
      <c r="EV19" s="44">
        <f t="shared" si="114"/>
        <v>607317.72314423381</v>
      </c>
      <c r="EW19" s="44">
        <f t="shared" si="118"/>
        <v>612903.30591151991</v>
      </c>
      <c r="EX19" s="44">
        <f t="shared" si="31"/>
        <v>502186.78195391817</v>
      </c>
      <c r="EY19" s="44">
        <f t="shared" si="32"/>
        <v>444966.65905268851</v>
      </c>
      <c r="EZ19" s="44">
        <f t="shared" si="33"/>
        <v>265242.39884860686</v>
      </c>
      <c r="FA19" s="44">
        <f t="shared" si="120"/>
        <v>583648.15257104521</v>
      </c>
      <c r="FB19" s="44">
        <f t="shared" si="34"/>
        <v>0</v>
      </c>
      <c r="FD19" s="22">
        <f t="shared" si="48"/>
        <v>15</v>
      </c>
      <c r="FF19" s="22">
        <f t="shared" si="49"/>
        <v>15</v>
      </c>
      <c r="FG19" s="138">
        <f t="shared" si="50"/>
        <v>2039</v>
      </c>
      <c r="FH19" s="90">
        <f t="shared" si="35"/>
        <v>83446.200000000012</v>
      </c>
      <c r="FI19" s="90">
        <f t="shared" si="36"/>
        <v>0</v>
      </c>
      <c r="FJ19" s="90">
        <f t="shared" si="37"/>
        <v>83446.200000000012</v>
      </c>
      <c r="FK19" s="44">
        <f t="shared" si="51"/>
        <v>90527.881818148133</v>
      </c>
      <c r="FL19" s="90" cm="1">
        <f t="array" ref="FL19">IF($CQ$5&lt;$CP$5,_xlfn.XLOOKUP(FD19,$EG$5:$EG$54,$DN$5:$DN$54),IF(OR(AND($CQ$5&gt;$CP$5,$CQ$5&lt;$CO$5),OR($CQ$5&gt;=$CL$5)),_xlfn.XLOOKUP(FD19,$EG$5:$EG$54,$DM$5:DM$54),IF(AND($CQ$5&gt;$CO$5,$CQ$5&lt;$CN$5),_xlfn.XLOOKUP(FD19,$EG$5:$EG$54,$DO$5:$DO$54),IF(AND($CQ$5&gt;$CN$5,$CQ$5&lt;$CM$5),_xlfn.XLOOKUP(FD19,$EG$5:$EG$54,$DP$5:$DP$54),IF(AND($CQ$5&gt;$CM$5,$CQ$5&lt;$CL$5),_xlfn.XLOOKUP(FD19,$EG$5:$EG$54,$DQ$5:$DQ$54))))))</f>
        <v>68147.682391259252</v>
      </c>
      <c r="FM19" s="44">
        <f t="shared" si="52"/>
        <v>31556.96478692735</v>
      </c>
      <c r="FP19" s="22">
        <f t="shared" si="53"/>
        <v>15</v>
      </c>
      <c r="FR19" s="22">
        <f t="shared" si="54"/>
        <v>15</v>
      </c>
      <c r="FS19" s="138">
        <f t="shared" si="55"/>
        <v>2039</v>
      </c>
      <c r="FT19" s="90">
        <f t="shared" si="38"/>
        <v>58843.799999999996</v>
      </c>
      <c r="FU19" s="90">
        <f t="shared" si="39"/>
        <v>0</v>
      </c>
      <c r="FV19" s="90">
        <f t="shared" si="40"/>
        <v>58843.799999999996</v>
      </c>
      <c r="FW19" s="44">
        <f t="shared" si="56"/>
        <v>73103.482219984871</v>
      </c>
      <c r="FX19" s="90" cm="1">
        <f t="array" ref="FX19">IF($CQ$5&lt;$CP$5,_xlfn.XLOOKUP(FP19,$EG$5:$EG$54,$EK$5:$EK$54),IF(OR(AND($CQ$5&gt;$CP$5,$CQ$5&lt;$CO$5),OR($CQ$5&gt;=$CL$5)),_xlfn.XLOOKUP(FP19,$EG$5:$EG$54,$EJ$5:$EJ$54),IF(AND($CQ$5&gt;$CO$5,$CQ$5&lt;$CN$5),_xlfn.XLOOKUP(FP19,$EG$5:$EG$54,$EL$5:$EL$54),IF(AND($CQ$5&gt;$CN$5,$CQ$5&lt;$CM$5),_xlfn.XLOOKUP(FP19,$EG$5:$EG$54,$EM$5:$EM$54),_xlfn.XLOOKUP(FP19,$EG$5:$EG$54,$EN$5:EN$54,IF(AND($CQ$5&gt;$CM$5,$CQ$5&lt;$CL$5),_xlfn.XLOOKUP(FD18,$EG$5:$EG$54,$EY$5:$EY$54),""))))))</f>
        <v>50723.28279309599</v>
      </c>
      <c r="FY19" s="44">
        <f t="shared" si="57"/>
        <v>76985.420523726265</v>
      </c>
    </row>
    <row r="20" spans="1:183" x14ac:dyDescent="0.25">
      <c r="C20" s="48">
        <v>14</v>
      </c>
      <c r="D20" s="42"/>
      <c r="E20" s="43"/>
      <c r="F20" s="43"/>
      <c r="G20" s="43"/>
      <c r="H20" s="43"/>
      <c r="I20" s="44"/>
      <c r="J20" s="44"/>
      <c r="K20" s="44"/>
      <c r="L20" s="44"/>
      <c r="M20" s="44"/>
      <c r="N20" s="42"/>
      <c r="O20" s="43"/>
      <c r="P20" s="43"/>
      <c r="Q20" s="43"/>
      <c r="R20" s="43"/>
      <c r="S20" s="44"/>
      <c r="T20" s="44"/>
      <c r="U20" s="44"/>
      <c r="V20" s="44"/>
      <c r="W20" s="44"/>
      <c r="X20" s="43"/>
      <c r="Y20" s="43"/>
      <c r="Z20" s="43"/>
      <c r="AA20" s="43"/>
      <c r="AB20" s="43"/>
      <c r="AC20" s="104"/>
      <c r="AD20" s="104"/>
      <c r="AE20" s="104"/>
      <c r="AF20" s="104"/>
      <c r="AG20" s="104"/>
      <c r="AH20" s="44">
        <f t="shared" si="74"/>
        <v>93156.16005100953</v>
      </c>
      <c r="AI20" s="59">
        <v>5.8999999999999997E-2</v>
      </c>
      <c r="AJ20" s="44">
        <f t="shared" si="63"/>
        <v>37237.218448574269</v>
      </c>
      <c r="AK20" s="44">
        <f t="shared" si="90"/>
        <v>575220.3541361118</v>
      </c>
      <c r="AL20" s="44">
        <f t="shared" si="91"/>
        <v>55918.941602435261</v>
      </c>
      <c r="AM20" s="43">
        <f t="shared" si="75"/>
        <v>93156.16005100953</v>
      </c>
      <c r="AN20" s="58">
        <v>5.8999999999999997E-2</v>
      </c>
      <c r="AO20" s="43">
        <f t="shared" si="64"/>
        <v>37237.218448574269</v>
      </c>
      <c r="AP20" s="43">
        <f t="shared" si="92"/>
        <v>575220.3541361118</v>
      </c>
      <c r="AQ20" s="43">
        <f t="shared" si="93"/>
        <v>55918.941602435261</v>
      </c>
      <c r="AR20" s="44">
        <f t="shared" si="76"/>
        <v>236677.23590195525</v>
      </c>
      <c r="AS20" s="59">
        <v>0.05</v>
      </c>
      <c r="AT20" s="44">
        <f t="shared" si="65"/>
        <v>31556.96478692735</v>
      </c>
      <c r="AU20" s="44">
        <f t="shared" si="94"/>
        <v>426019.02462351916</v>
      </c>
      <c r="AV20" s="44">
        <f t="shared" si="95"/>
        <v>205120.27111502789</v>
      </c>
      <c r="AW20" s="43">
        <f t="shared" si="77"/>
        <v>105189.88262309134</v>
      </c>
      <c r="AX20" s="59">
        <f t="shared" si="78"/>
        <v>6.6666666666666666E-2</v>
      </c>
      <c r="AY20" s="43">
        <f t="shared" si="66"/>
        <v>42075.953049236465</v>
      </c>
      <c r="AZ20" s="43">
        <f t="shared" si="96"/>
        <v>568025.36616469221</v>
      </c>
      <c r="BA20" s="43">
        <f t="shared" si="97"/>
        <v>63113.929573854875</v>
      </c>
      <c r="BB20" s="45">
        <f t="shared" si="79"/>
        <v>782998.33248000033</v>
      </c>
      <c r="BC20" s="227">
        <f>VLOOKUP($CQ$6,$CM$109:$DP$120,15,TRUE)</f>
        <v>3.637E-2</v>
      </c>
      <c r="BD20" s="45">
        <f t="shared" si="67"/>
        <v>53242.188479999997</v>
      </c>
      <c r="BE20" s="45">
        <f t="shared" si="98"/>
        <v>734147.85599999991</v>
      </c>
      <c r="BF20" s="45">
        <f t="shared" si="99"/>
        <v>729756.14400000032</v>
      </c>
      <c r="BG20" s="46">
        <f t="shared" si="80"/>
        <v>1227526.6500000006</v>
      </c>
      <c r="BH20" s="60">
        <f>VLOOKUP($CQ$6,$CM$109:$DP$120,15,TRUE)</f>
        <v>3.637E-2</v>
      </c>
      <c r="BI20" s="46">
        <f t="shared" si="68"/>
        <v>83469.149999999994</v>
      </c>
      <c r="BJ20" s="46">
        <f t="shared" si="100"/>
        <v>1150942.5</v>
      </c>
      <c r="BK20" s="46">
        <f t="shared" si="101"/>
        <v>1144057.5000000007</v>
      </c>
      <c r="BL20" s="46">
        <f t="shared" si="81"/>
        <v>0</v>
      </c>
      <c r="BM20" s="60">
        <f>VLOOKUP($CQ$6,$CM$109:$DP$120,15,TRUE)</f>
        <v>3.637E-2</v>
      </c>
      <c r="BN20" s="46">
        <f t="shared" si="69"/>
        <v>0</v>
      </c>
      <c r="BO20" s="46">
        <f t="shared" si="102"/>
        <v>0</v>
      </c>
      <c r="BP20" s="46">
        <f t="shared" si="103"/>
        <v>0</v>
      </c>
      <c r="BQ20" s="44">
        <f t="shared" si="82"/>
        <v>938352.52192729642</v>
      </c>
      <c r="BR20" s="100">
        <v>2.564E-2</v>
      </c>
      <c r="BS20" s="44">
        <f t="shared" si="45"/>
        <v>35803.149841836734</v>
      </c>
      <c r="BT20" s="44">
        <f t="shared" si="104"/>
        <v>493829.32689413254</v>
      </c>
      <c r="BU20" s="44">
        <f t="shared" si="105"/>
        <v>902549.37208545965</v>
      </c>
      <c r="BV20" s="44">
        <f t="shared" si="83"/>
        <v>949830.75483290886</v>
      </c>
      <c r="BW20" s="100">
        <v>2.5000000000000001E-2</v>
      </c>
      <c r="BX20" s="44">
        <f t="shared" si="46"/>
        <v>34909.467474489793</v>
      </c>
      <c r="BY20" s="44">
        <f t="shared" si="106"/>
        <v>481457.41162117361</v>
      </c>
      <c r="BZ20" s="44">
        <f t="shared" si="107"/>
        <v>914921.28735841904</v>
      </c>
      <c r="CA20" s="44"/>
      <c r="CB20" s="43">
        <f t="shared" si="84"/>
        <v>1542217.0499999998</v>
      </c>
      <c r="CC20" s="100">
        <v>2.564E-2</v>
      </c>
      <c r="CD20" s="43">
        <f t="shared" si="47"/>
        <v>58843.799999999996</v>
      </c>
      <c r="CE20" s="43">
        <f t="shared" si="108"/>
        <v>811626.75000000012</v>
      </c>
      <c r="CF20" s="43">
        <f t="shared" si="109"/>
        <v>1483373.2499999998</v>
      </c>
      <c r="CG20" s="43">
        <f t="shared" si="85"/>
        <v>0</v>
      </c>
      <c r="CH20" s="100">
        <v>2.564E-2</v>
      </c>
      <c r="CI20" s="43">
        <f t="shared" si="70"/>
        <v>0</v>
      </c>
      <c r="CJ20" s="43">
        <f t="shared" si="110"/>
        <v>0</v>
      </c>
      <c r="CK20" s="43">
        <f t="shared" si="111"/>
        <v>0</v>
      </c>
      <c r="CN20" s="22">
        <v>39</v>
      </c>
      <c r="CO20" s="96">
        <f>BQ2</f>
        <v>0.60844387755102036</v>
      </c>
      <c r="CP20" s="22">
        <f>BQ3</f>
        <v>1396378.6989795917</v>
      </c>
      <c r="CQ20"/>
      <c r="CR20">
        <f t="shared" si="117"/>
        <v>10</v>
      </c>
      <c r="CS20"/>
      <c r="CT20"/>
      <c r="CU20"/>
      <c r="CV20"/>
      <c r="CW20"/>
      <c r="CX20"/>
      <c r="CY20"/>
      <c r="CZ20"/>
      <c r="DA20"/>
      <c r="DB20"/>
      <c r="DC20" s="54"/>
      <c r="DD20" s="76">
        <v>12</v>
      </c>
      <c r="DE20" s="77">
        <f t="shared" si="121"/>
        <v>0</v>
      </c>
      <c r="DJ20" s="22">
        <v>16</v>
      </c>
      <c r="DK20" s="44">
        <f t="shared" si="12"/>
        <v>83469.149999999994</v>
      </c>
      <c r="DL20" s="44">
        <f t="shared" si="13"/>
        <v>71860.797704287135</v>
      </c>
      <c r="DM20" s="44">
        <f t="shared" si="1"/>
        <v>53242.188479999997</v>
      </c>
      <c r="DN20" s="44">
        <f t="shared" si="2"/>
        <v>62551.493092143566</v>
      </c>
      <c r="DO20" s="44">
        <f t="shared" si="14"/>
        <v>56965.910324857425</v>
      </c>
      <c r="DP20" s="44">
        <f t="shared" si="15"/>
        <v>60689.632169714852</v>
      </c>
      <c r="DQ20" s="44">
        <f t="shared" si="16"/>
        <v>64413.35401457228</v>
      </c>
      <c r="DR20" s="44">
        <f t="shared" si="17"/>
        <v>68137.075859429708</v>
      </c>
      <c r="DS20" s="44">
        <f t="shared" si="3"/>
        <v>31556.96478692735</v>
      </c>
      <c r="DT20" s="44">
        <f t="shared" si="18"/>
        <v>0</v>
      </c>
      <c r="DV20" s="44">
        <f t="shared" si="4"/>
        <v>1317857.8499999999</v>
      </c>
      <c r="DW20" s="44">
        <f t="shared" ref="DW20:DW32" si="122">SUM($G$12,$L$12,$AP$22,BE22,-BJ21)</f>
        <v>437324.89391999994</v>
      </c>
      <c r="DX20" s="44">
        <f t="shared" si="19"/>
        <v>437324.89391999994</v>
      </c>
      <c r="DY20" s="44">
        <f t="shared" ref="DY20:DY33" si="123">0.5*($D$3+$I$3+$AM$3+$G$12+$L$12+$AP$22)+BE22-BJ21</f>
        <v>437324.89391999994</v>
      </c>
      <c r="DZ20" s="44">
        <f>0.8*($D$3+$I$3+$AM$3)+0.2*($G$12+$L$12+$AP$22)+BE22-BJ21</f>
        <v>437324.89392000018</v>
      </c>
      <c r="EA20" s="44">
        <f t="shared" si="21"/>
        <v>357342.21221541869</v>
      </c>
      <c r="EB20" s="44">
        <f t="shared" si="22"/>
        <v>317350.8713631283</v>
      </c>
      <c r="EC20" s="44">
        <f t="shared" si="23"/>
        <v>151131.67136312812</v>
      </c>
      <c r="ED20" s="44">
        <f t="shared" si="89"/>
        <v>-545299.04154117301</v>
      </c>
      <c r="EE20" s="44">
        <f t="shared" si="24"/>
        <v>0</v>
      </c>
      <c r="EG20" s="22">
        <v>16</v>
      </c>
      <c r="EH20" s="44">
        <f t="shared" si="5"/>
        <v>58843.799999999996</v>
      </c>
      <c r="EI20" s="44">
        <f t="shared" si="6"/>
        <v>54421.759066123865</v>
      </c>
      <c r="EJ20" s="44">
        <f t="shared" si="7"/>
        <v>35803.149841836734</v>
      </c>
      <c r="EK20" s="44">
        <f t="shared" si="8"/>
        <v>45112.454453980303</v>
      </c>
      <c r="EL20" s="44">
        <f t="shared" si="25"/>
        <v>39526.871686694161</v>
      </c>
      <c r="EM20" s="44">
        <f t="shared" si="26"/>
        <v>43250.593531551589</v>
      </c>
      <c r="EN20" s="44">
        <f t="shared" si="27"/>
        <v>46974.315376409017</v>
      </c>
      <c r="EO20" s="44">
        <f t="shared" si="28"/>
        <v>50698.037221266444</v>
      </c>
      <c r="EP20" s="44">
        <f t="shared" si="9"/>
        <v>55947.443999108029</v>
      </c>
      <c r="EQ20" s="44">
        <f t="shared" si="29"/>
        <v>0</v>
      </c>
      <c r="ES20" s="44">
        <f t="shared" si="10"/>
        <v>929314.35000000021</v>
      </c>
      <c r="ET20" s="44">
        <f t="shared" ref="ET20:ET44" si="124">SUM(G$12,$L$12,$AA$14,$AP$22,BT22,-CE21)</f>
        <v>593586.37759821408</v>
      </c>
      <c r="EU20" s="44">
        <f t="shared" si="11"/>
        <v>593586.37759821408</v>
      </c>
      <c r="EV20" s="44">
        <f t="shared" ref="EV20:EV44" si="125">0.5*($D$3+$I$3+$X$3+$AM$3)+0.5*($G$12+$L$12+$AA$14+$AP$22)+BT22-CE21</f>
        <v>593586.37759821408</v>
      </c>
      <c r="EW20" s="44">
        <f>0.8*($D$3+$I$3+$X$3+$AM$3)+0.2*($G$12+$L$12+$AA$14+$AP$22)+BT22-CE21</f>
        <v>593586.37759821408</v>
      </c>
      <c r="EX20" s="44">
        <f t="shared" si="31"/>
        <v>486593.57548546942</v>
      </c>
      <c r="EY20" s="44">
        <f t="shared" si="32"/>
        <v>433097.17442909733</v>
      </c>
      <c r="EZ20" s="44">
        <f t="shared" si="33"/>
        <v>253372.91422501591</v>
      </c>
      <c r="FA20" s="44">
        <f t="shared" si="120"/>
        <v>580751.79657015309</v>
      </c>
      <c r="FB20" s="44">
        <f t="shared" si="34"/>
        <v>0</v>
      </c>
      <c r="FD20" s="22">
        <f t="shared" si="48"/>
        <v>16</v>
      </c>
      <c r="FF20" s="22">
        <f t="shared" si="49"/>
        <v>16</v>
      </c>
      <c r="FG20" s="138">
        <f t="shared" si="50"/>
        <v>2040</v>
      </c>
      <c r="FH20" s="90">
        <f t="shared" si="35"/>
        <v>83469.149999999994</v>
      </c>
      <c r="FI20" s="90">
        <f t="shared" si="36"/>
        <v>0</v>
      </c>
      <c r="FJ20" s="90">
        <f t="shared" si="37"/>
        <v>83469.149999999994</v>
      </c>
      <c r="FK20" s="44">
        <f t="shared" si="51"/>
        <v>71860.797704287135</v>
      </c>
      <c r="FL20" s="90" cm="1">
        <f t="array" ref="FL20">IF($CQ$5&lt;$CP$5,_xlfn.XLOOKUP(FD20,$EG$5:$EG$54,$DN$5:$DN$54),IF(OR(AND($CQ$5&gt;$CP$5,$CQ$5&lt;$CO$5),OR($CQ$5&gt;=$CL$5)),_xlfn.XLOOKUP(FD20,$EG$5:$EG$54,$DM$5:DM$54),IF(AND($CQ$5&gt;$CO$5,$CQ$5&lt;$CN$5),_xlfn.XLOOKUP(FD20,$EG$5:$EG$54,$DO$5:$DO$54),IF(AND($CQ$5&gt;$CN$5,$CQ$5&lt;$CM$5),_xlfn.XLOOKUP(FD20,$EG$5:$EG$54,$DP$5:$DP$54),IF(AND($CQ$5&gt;$CM$5,$CQ$5&lt;$CL$5),_xlfn.XLOOKUP(FD20,$EG$5:$EG$54,$DQ$5:$DQ$54))))))</f>
        <v>60689.632169714852</v>
      </c>
      <c r="FM20" s="44">
        <f t="shared" si="52"/>
        <v>31556.96478692735</v>
      </c>
      <c r="FP20" s="22">
        <f t="shared" si="53"/>
        <v>16</v>
      </c>
      <c r="FR20" s="22">
        <f t="shared" si="54"/>
        <v>16</v>
      </c>
      <c r="FS20" s="138">
        <f t="shared" si="55"/>
        <v>2040</v>
      </c>
      <c r="FT20" s="90">
        <f t="shared" si="38"/>
        <v>58843.799999999996</v>
      </c>
      <c r="FU20" s="90">
        <f t="shared" si="39"/>
        <v>0</v>
      </c>
      <c r="FV20" s="90">
        <f t="shared" si="40"/>
        <v>58843.799999999996</v>
      </c>
      <c r="FW20" s="44">
        <f t="shared" si="56"/>
        <v>54421.759066123865</v>
      </c>
      <c r="FX20" s="90" cm="1">
        <f t="array" ref="FX20">IF($CQ$5&lt;$CP$5,_xlfn.XLOOKUP(FP20,$EG$5:$EG$54,$EK$5:$EK$54),IF(OR(AND($CQ$5&gt;$CP$5,$CQ$5&lt;$CO$5),OR($CQ$5&gt;=$CL$5)),_xlfn.XLOOKUP(FP20,$EG$5:$EG$54,$EJ$5:$EJ$54),IF(AND($CQ$5&gt;$CO$5,$CQ$5&lt;$CN$5),_xlfn.XLOOKUP(FP20,$EG$5:$EG$54,$EL$5:$EL$54),IF(AND($CQ$5&gt;$CN$5,$CQ$5&lt;$CM$5),_xlfn.XLOOKUP(FP20,$EG$5:$EG$54,$EM$5:$EM$54),_xlfn.XLOOKUP(FP20,$EG$5:$EG$54,$EN$5:EN$54,IF(AND($CQ$5&gt;$CM$5,$CQ$5&lt;$CL$5),_xlfn.XLOOKUP(FD19,$EG$5:$EG$54,$EY$5:$EY$54),""))))))</f>
        <v>43250.593531551589</v>
      </c>
      <c r="FY20" s="44">
        <f t="shared" si="57"/>
        <v>55947.443999108029</v>
      </c>
    </row>
    <row r="21" spans="1:183" x14ac:dyDescent="0.25">
      <c r="C21" s="48">
        <v>15</v>
      </c>
      <c r="D21" s="42"/>
      <c r="E21" s="43"/>
      <c r="F21" s="43"/>
      <c r="G21" s="43"/>
      <c r="H21" s="43"/>
      <c r="I21" s="44"/>
      <c r="J21" s="44"/>
      <c r="K21" s="44"/>
      <c r="L21" s="44"/>
      <c r="M21" s="44"/>
      <c r="N21" s="42"/>
      <c r="O21" s="43"/>
      <c r="P21" s="43"/>
      <c r="Q21" s="43"/>
      <c r="R21" s="43"/>
      <c r="S21" s="44"/>
      <c r="T21" s="44"/>
      <c r="U21" s="44"/>
      <c r="V21" s="44"/>
      <c r="W21" s="44"/>
      <c r="X21" s="43"/>
      <c r="Y21" s="43"/>
      <c r="Z21" s="43"/>
      <c r="AA21" s="43"/>
      <c r="AB21" s="43"/>
      <c r="AC21" s="104"/>
      <c r="AD21" s="104"/>
      <c r="AE21" s="104"/>
      <c r="AF21" s="104"/>
      <c r="AG21" s="104"/>
      <c r="AH21" s="44">
        <f t="shared" si="74"/>
        <v>55918.941602435261</v>
      </c>
      <c r="AI21" s="59">
        <v>5.91E-2</v>
      </c>
      <c r="AJ21" s="44">
        <f t="shared" si="63"/>
        <v>37300.33237814813</v>
      </c>
      <c r="AK21" s="44">
        <f t="shared" si="90"/>
        <v>612520.6865142599</v>
      </c>
      <c r="AL21" s="44">
        <f t="shared" si="91"/>
        <v>18618.609224287131</v>
      </c>
      <c r="AM21" s="43">
        <f t="shared" si="75"/>
        <v>55918.941602435261</v>
      </c>
      <c r="AN21" s="58">
        <v>5.91E-2</v>
      </c>
      <c r="AO21" s="43">
        <f t="shared" si="64"/>
        <v>37300.33237814813</v>
      </c>
      <c r="AP21" s="43">
        <f t="shared" si="92"/>
        <v>612520.6865142599</v>
      </c>
      <c r="AQ21" s="43">
        <f t="shared" si="93"/>
        <v>18618.609224287131</v>
      </c>
      <c r="AR21" s="44">
        <f t="shared" si="76"/>
        <v>205120.27111502789</v>
      </c>
      <c r="AS21" s="59">
        <v>0.05</v>
      </c>
      <c r="AT21" s="44">
        <f t="shared" si="65"/>
        <v>31556.96478692735</v>
      </c>
      <c r="AU21" s="44">
        <f t="shared" si="94"/>
        <v>457575.98941044649</v>
      </c>
      <c r="AV21" s="44">
        <f t="shared" si="95"/>
        <v>173563.30632810053</v>
      </c>
      <c r="AW21" s="43">
        <f t="shared" si="77"/>
        <v>63113.929573854875</v>
      </c>
      <c r="AX21" s="59">
        <f>$CO$83</f>
        <v>6.6666666666666666E-2</v>
      </c>
      <c r="AY21" s="43">
        <f t="shared" si="66"/>
        <v>42075.953049236465</v>
      </c>
      <c r="AZ21" s="43">
        <f t="shared" si="96"/>
        <v>610101.31921392865</v>
      </c>
      <c r="BA21" s="43">
        <f t="shared" si="97"/>
        <v>21037.976524618411</v>
      </c>
      <c r="BB21" s="45">
        <f t="shared" si="79"/>
        <v>729756.14400000032</v>
      </c>
      <c r="BC21" s="227">
        <f>VLOOKUP($CQ$6,$CM$109:$DP$120,16,TRUE)</f>
        <v>3.6360000000000003E-2</v>
      </c>
      <c r="BD21" s="45">
        <f t="shared" si="67"/>
        <v>53227.549440000003</v>
      </c>
      <c r="BE21" s="45">
        <f t="shared" si="98"/>
        <v>787375.40543999989</v>
      </c>
      <c r="BF21" s="45">
        <f t="shared" si="99"/>
        <v>676528.59456000035</v>
      </c>
      <c r="BG21" s="46">
        <f t="shared" si="80"/>
        <v>1144057.5000000007</v>
      </c>
      <c r="BH21" s="60">
        <f>VLOOKUP($CQ$6,$CM$109:$DP$120,16,TRUE)</f>
        <v>3.6360000000000003E-2</v>
      </c>
      <c r="BI21" s="46">
        <f t="shared" si="68"/>
        <v>83446.200000000012</v>
      </c>
      <c r="BJ21" s="46">
        <f t="shared" si="100"/>
        <v>1234388.7</v>
      </c>
      <c r="BK21" s="46">
        <f t="shared" si="101"/>
        <v>1060611.3000000007</v>
      </c>
      <c r="BL21" s="46">
        <f t="shared" si="81"/>
        <v>0</v>
      </c>
      <c r="BM21" s="60">
        <f>VLOOKUP($CQ$6,$CM$109:$DP$120,16,TRUE)</f>
        <v>3.6360000000000003E-2</v>
      </c>
      <c r="BN21" s="46">
        <f t="shared" si="69"/>
        <v>0</v>
      </c>
      <c r="BO21" s="46">
        <f t="shared" si="102"/>
        <v>0</v>
      </c>
      <c r="BP21" s="46">
        <f t="shared" si="103"/>
        <v>0</v>
      </c>
      <c r="BQ21" s="44">
        <f t="shared" si="82"/>
        <v>902549.37208545965</v>
      </c>
      <c r="BR21" s="100">
        <v>2.564E-2</v>
      </c>
      <c r="BS21" s="44">
        <f t="shared" si="45"/>
        <v>35803.149841836734</v>
      </c>
      <c r="BT21" s="44">
        <f t="shared" si="104"/>
        <v>529632.47673596931</v>
      </c>
      <c r="BU21" s="44">
        <f t="shared" si="105"/>
        <v>866746.22224362288</v>
      </c>
      <c r="BV21" s="44">
        <f t="shared" si="83"/>
        <v>914921.28735841904</v>
      </c>
      <c r="BW21" s="100">
        <v>2.5000000000000001E-2</v>
      </c>
      <c r="BX21" s="44">
        <f t="shared" si="46"/>
        <v>34909.467474489793</v>
      </c>
      <c r="BY21" s="44">
        <f t="shared" si="106"/>
        <v>516366.87909566343</v>
      </c>
      <c r="BZ21" s="44">
        <f t="shared" si="107"/>
        <v>880011.81988392922</v>
      </c>
      <c r="CA21" s="44"/>
      <c r="CB21" s="43">
        <f t="shared" si="84"/>
        <v>1483373.2499999998</v>
      </c>
      <c r="CC21" s="100">
        <v>2.564E-2</v>
      </c>
      <c r="CD21" s="43">
        <f t="shared" si="47"/>
        <v>58843.799999999996</v>
      </c>
      <c r="CE21" s="43">
        <f t="shared" si="108"/>
        <v>870470.55000000016</v>
      </c>
      <c r="CF21" s="43">
        <f t="shared" si="109"/>
        <v>1424529.4499999997</v>
      </c>
      <c r="CG21" s="43">
        <f t="shared" si="85"/>
        <v>0</v>
      </c>
      <c r="CH21" s="100">
        <v>2.564E-2</v>
      </c>
      <c r="CI21" s="43">
        <f t="shared" si="70"/>
        <v>0</v>
      </c>
      <c r="CJ21" s="43">
        <f t="shared" si="110"/>
        <v>0</v>
      </c>
      <c r="CK21" s="43">
        <f t="shared" si="111"/>
        <v>0</v>
      </c>
      <c r="CO21" s="96">
        <f>SUM(CO16:CO20)</f>
        <v>1</v>
      </c>
      <c r="CP21" s="22">
        <f>SUM(CP16:CP20)</f>
        <v>2295000</v>
      </c>
      <c r="CR21">
        <f t="shared" si="117"/>
        <v>11</v>
      </c>
      <c r="CT21" t="s">
        <v>40</v>
      </c>
      <c r="CU21">
        <v>0</v>
      </c>
      <c r="DC21" s="54"/>
      <c r="DD21" s="76">
        <v>13</v>
      </c>
      <c r="DE21" s="77">
        <f t="shared" si="121"/>
        <v>0</v>
      </c>
      <c r="DJ21" s="22">
        <v>17</v>
      </c>
      <c r="DK21" s="44">
        <f t="shared" si="12"/>
        <v>83446.200000000012</v>
      </c>
      <c r="DL21" s="44">
        <f t="shared" si="13"/>
        <v>53227.549440000003</v>
      </c>
      <c r="DM21" s="44">
        <f t="shared" si="1"/>
        <v>53227.549440000003</v>
      </c>
      <c r="DN21" s="44">
        <f t="shared" si="2"/>
        <v>53227.549440000003</v>
      </c>
      <c r="DO21" s="44">
        <f t="shared" si="14"/>
        <v>53227.549440000003</v>
      </c>
      <c r="DP21" s="44">
        <f t="shared" si="15"/>
        <v>53227.549440000003</v>
      </c>
      <c r="DQ21" s="44">
        <f t="shared" si="16"/>
        <v>53227.549440000003</v>
      </c>
      <c r="DR21" s="44">
        <f t="shared" si="17"/>
        <v>53227.549440000003</v>
      </c>
      <c r="DS21" s="44">
        <f t="shared" si="3"/>
        <v>31556.96478692735</v>
      </c>
      <c r="DT21" s="44">
        <f t="shared" si="18"/>
        <v>0</v>
      </c>
      <c r="DV21" s="44">
        <f t="shared" si="4"/>
        <v>1401304.0499999998</v>
      </c>
      <c r="DW21" s="44">
        <f t="shared" si="122"/>
        <v>407083.29336000024</v>
      </c>
      <c r="DX21" s="44">
        <f t="shared" si="19"/>
        <v>407083.29336000024</v>
      </c>
      <c r="DY21" s="44">
        <f t="shared" si="123"/>
        <v>407083.29336000001</v>
      </c>
      <c r="DZ21" s="44">
        <f t="shared" ref="DZ21:DZ33" si="126">0.8*($D$3+$I$3+$AM$3)+0.2*($G$12+$L$12+$AP$22)+BE23-BJ22</f>
        <v>407083.29336000024</v>
      </c>
      <c r="EA21" s="44">
        <f t="shared" si="21"/>
        <v>74644.893360000104</v>
      </c>
      <c r="EB21" s="44">
        <f t="shared" si="22"/>
        <v>-91574.30663999985</v>
      </c>
      <c r="EC21" s="44">
        <f t="shared" si="23"/>
        <v>-257793.50664000004</v>
      </c>
      <c r="ED21" s="44">
        <f t="shared" si="89"/>
        <v>-597211.22675424558</v>
      </c>
      <c r="EE21" s="44">
        <f t="shared" si="24"/>
        <v>0</v>
      </c>
      <c r="EG21" s="22">
        <v>17</v>
      </c>
      <c r="EH21" s="44">
        <f t="shared" si="5"/>
        <v>58843.799999999996</v>
      </c>
      <c r="EI21" s="44">
        <f t="shared" si="6"/>
        <v>35803.149841836734</v>
      </c>
      <c r="EJ21" s="44">
        <f t="shared" si="7"/>
        <v>35803.149841836734</v>
      </c>
      <c r="EK21" s="44">
        <f t="shared" si="8"/>
        <v>35803.149841836734</v>
      </c>
      <c r="EL21" s="44">
        <f t="shared" si="25"/>
        <v>35803.149841836734</v>
      </c>
      <c r="EM21" s="44">
        <f t="shared" si="26"/>
        <v>35803.149841836734</v>
      </c>
      <c r="EN21" s="44">
        <f t="shared" si="27"/>
        <v>35803.149841836734</v>
      </c>
      <c r="EO21" s="44">
        <f t="shared" si="28"/>
        <v>35803.149841836734</v>
      </c>
      <c r="EP21" s="44">
        <f t="shared" si="9"/>
        <v>34909.467474489793</v>
      </c>
      <c r="EQ21" s="44">
        <f t="shared" si="29"/>
        <v>0</v>
      </c>
      <c r="ES21" s="44">
        <f t="shared" si="10"/>
        <v>988158.15000000026</v>
      </c>
      <c r="ET21" s="44">
        <f t="shared" si="124"/>
        <v>570545.72744005069</v>
      </c>
      <c r="EU21" s="44">
        <f t="shared" si="11"/>
        <v>570545.72744005069</v>
      </c>
      <c r="EV21" s="44">
        <f t="shared" si="125"/>
        <v>570545.72744005069</v>
      </c>
      <c r="EW21" s="44">
        <f t="shared" ref="EW21:EW44" si="127">0.8*($D$3+$I$3+$X$3+$AM$3)+0.2*($G$12+$L$12+$AA$14+$AP$22)+BT23-CE22</f>
        <v>570545.72744005092</v>
      </c>
      <c r="EX21" s="44">
        <f t="shared" si="31"/>
        <v>211097.20703188737</v>
      </c>
      <c r="EY21" s="44">
        <f t="shared" si="32"/>
        <v>31372.94682780595</v>
      </c>
      <c r="EZ21" s="44">
        <f t="shared" si="33"/>
        <v>-148351.31337627571</v>
      </c>
      <c r="FA21" s="44">
        <f t="shared" si="120"/>
        <v>-74321.831693904009</v>
      </c>
      <c r="FB21" s="44">
        <f t="shared" si="34"/>
        <v>0</v>
      </c>
      <c r="FD21" s="22">
        <f t="shared" si="48"/>
        <v>17</v>
      </c>
      <c r="FF21" s="22">
        <f t="shared" si="49"/>
        <v>17</v>
      </c>
      <c r="FG21" s="138">
        <f t="shared" si="50"/>
        <v>2041</v>
      </c>
      <c r="FH21" s="90">
        <f t="shared" si="35"/>
        <v>83446.200000000012</v>
      </c>
      <c r="FI21" s="90">
        <f t="shared" si="36"/>
        <v>0</v>
      </c>
      <c r="FJ21" s="90">
        <f t="shared" si="37"/>
        <v>83446.200000000012</v>
      </c>
      <c r="FK21" s="44">
        <f t="shared" si="51"/>
        <v>53227.549440000003</v>
      </c>
      <c r="FL21" s="90" cm="1">
        <f t="array" ref="FL21">IF($CQ$5&lt;$CP$5,_xlfn.XLOOKUP(FD21,$EG$5:$EG$54,$DN$5:$DN$54),IF(OR(AND($CQ$5&gt;$CP$5,$CQ$5&lt;$CO$5),OR($CQ$5&gt;=$CL$5)),_xlfn.XLOOKUP(FD21,$EG$5:$EG$54,$DM$5:DM$54),IF(AND($CQ$5&gt;$CO$5,$CQ$5&lt;$CN$5),_xlfn.XLOOKUP(FD21,$EG$5:$EG$54,$DO$5:$DO$54),IF(AND($CQ$5&gt;$CN$5,$CQ$5&lt;$CM$5),_xlfn.XLOOKUP(FD21,$EG$5:$EG$54,$DP$5:$DP$54),IF(AND($CQ$5&gt;$CM$5,$CQ$5&lt;$CL$5),_xlfn.XLOOKUP(FD21,$EG$5:$EG$54,$DQ$5:$DQ$54))))))</f>
        <v>53227.549440000003</v>
      </c>
      <c r="FM21" s="44">
        <f t="shared" si="52"/>
        <v>31556.96478692735</v>
      </c>
      <c r="FP21" s="22">
        <f t="shared" si="53"/>
        <v>17</v>
      </c>
      <c r="FR21" s="22">
        <f t="shared" si="54"/>
        <v>17</v>
      </c>
      <c r="FS21" s="138">
        <f t="shared" si="55"/>
        <v>2041</v>
      </c>
      <c r="FT21" s="90">
        <f t="shared" si="38"/>
        <v>58843.799999999996</v>
      </c>
      <c r="FU21" s="90">
        <f t="shared" si="39"/>
        <v>0</v>
      </c>
      <c r="FV21" s="90">
        <f t="shared" si="40"/>
        <v>58843.799999999996</v>
      </c>
      <c r="FW21" s="44">
        <f t="shared" si="56"/>
        <v>35803.149841836734</v>
      </c>
      <c r="FX21" s="90" cm="1">
        <f t="array" ref="FX21">IF($CQ$5&lt;$CP$5,_xlfn.XLOOKUP(FP21,$EG$5:$EG$54,$EK$5:$EK$54),IF(OR(AND($CQ$5&gt;$CP$5,$CQ$5&lt;$CO$5),OR($CQ$5&gt;=$CL$5)),_xlfn.XLOOKUP(FP21,$EG$5:$EG$54,$EJ$5:$EJ$54),IF(AND($CQ$5&gt;$CO$5,$CQ$5&lt;$CN$5),_xlfn.XLOOKUP(FP21,$EG$5:$EG$54,$EL$5:$EL$54),IF(AND($CQ$5&gt;$CN$5,$CQ$5&lt;$CM$5),_xlfn.XLOOKUP(FP21,$EG$5:$EG$54,$EM$5:$EM$54),_xlfn.XLOOKUP(FP21,$EG$5:$EG$54,$EN$5:EN$54,IF(AND($CQ$5&gt;$CM$5,$CQ$5&lt;$CL$5),_xlfn.XLOOKUP(FD20,$EG$5:$EG$54,$EY$5:$EY$54),""))))))</f>
        <v>35803.149841836734</v>
      </c>
      <c r="FY21" s="44">
        <f t="shared" si="57"/>
        <v>34909.467474489793</v>
      </c>
    </row>
    <row r="22" spans="1:183" x14ac:dyDescent="0.25">
      <c r="C22" s="48">
        <v>16</v>
      </c>
      <c r="D22" s="81"/>
      <c r="E22" s="82"/>
      <c r="F22" s="43"/>
      <c r="G22" s="43"/>
      <c r="H22" s="43"/>
      <c r="I22" s="83"/>
      <c r="J22" s="83"/>
      <c r="K22" s="44"/>
      <c r="L22" s="44"/>
      <c r="M22" s="44"/>
      <c r="N22" s="81"/>
      <c r="O22" s="82"/>
      <c r="P22" s="43"/>
      <c r="Q22" s="43"/>
      <c r="R22" s="43"/>
      <c r="S22" s="83"/>
      <c r="T22" s="83"/>
      <c r="U22" s="44"/>
      <c r="V22" s="44"/>
      <c r="W22" s="44"/>
      <c r="X22" s="43"/>
      <c r="Y22" s="43"/>
      <c r="Z22" s="43"/>
      <c r="AA22" s="43"/>
      <c r="AB22" s="43"/>
      <c r="AC22" s="104"/>
      <c r="AD22" s="104"/>
      <c r="AE22" s="104"/>
      <c r="AF22" s="104"/>
      <c r="AG22" s="104"/>
      <c r="AH22" s="44">
        <f t="shared" si="74"/>
        <v>18618.609224287131</v>
      </c>
      <c r="AI22" s="59">
        <v>2.9499999999999998E-2</v>
      </c>
      <c r="AJ22" s="44">
        <f t="shared" si="63"/>
        <v>18618.609224287135</v>
      </c>
      <c r="AK22" s="44">
        <f t="shared" si="90"/>
        <v>631139.29573854699</v>
      </c>
      <c r="AL22" s="44">
        <f t="shared" si="91"/>
        <v>0</v>
      </c>
      <c r="AM22" s="43">
        <f t="shared" si="75"/>
        <v>18618.609224287131</v>
      </c>
      <c r="AN22" s="58">
        <v>2.9499999999999998E-2</v>
      </c>
      <c r="AO22" s="43">
        <f t="shared" si="64"/>
        <v>18618.609224287135</v>
      </c>
      <c r="AP22" s="43">
        <f t="shared" si="92"/>
        <v>631139.29573854699</v>
      </c>
      <c r="AQ22" s="43">
        <f t="shared" si="93"/>
        <v>0</v>
      </c>
      <c r="AR22" s="44">
        <f t="shared" si="76"/>
        <v>173563.30632810053</v>
      </c>
      <c r="AS22" s="59">
        <v>0.05</v>
      </c>
      <c r="AT22" s="44">
        <f t="shared" si="65"/>
        <v>31556.96478692735</v>
      </c>
      <c r="AU22" s="44">
        <f t="shared" si="94"/>
        <v>489132.95419737382</v>
      </c>
      <c r="AV22" s="44">
        <f t="shared" si="95"/>
        <v>142006.34154117317</v>
      </c>
      <c r="AW22" s="43">
        <f t="shared" si="77"/>
        <v>21037.976524618411</v>
      </c>
      <c r="AX22" s="59">
        <f>AX7</f>
        <v>3.3333333333333333E-2</v>
      </c>
      <c r="AY22" s="43">
        <f t="shared" si="66"/>
        <v>21037.976524618232</v>
      </c>
      <c r="AZ22" s="43">
        <f t="shared" si="96"/>
        <v>631139.29573854688</v>
      </c>
      <c r="BA22" s="43">
        <f t="shared" si="97"/>
        <v>1.7826096154749393E-10</v>
      </c>
      <c r="BB22" s="45">
        <f t="shared" si="79"/>
        <v>676528.59456000035</v>
      </c>
      <c r="BC22" s="227">
        <f>VLOOKUP($CQ$6,$CM$109:$DP$120,17,TRUE)</f>
        <v>3.637E-2</v>
      </c>
      <c r="BD22" s="45">
        <f t="shared" si="67"/>
        <v>53242.188479999997</v>
      </c>
      <c r="BE22" s="45">
        <f t="shared" si="98"/>
        <v>840617.5939199999</v>
      </c>
      <c r="BF22" s="45">
        <f t="shared" si="99"/>
        <v>623286.40608000034</v>
      </c>
      <c r="BG22" s="46">
        <f t="shared" si="80"/>
        <v>1060611.3000000007</v>
      </c>
      <c r="BH22" s="60">
        <f>VLOOKUP($CQ$6,$CM$109:$DP$120,17,TRUE)</f>
        <v>3.637E-2</v>
      </c>
      <c r="BI22" s="46">
        <f t="shared" si="68"/>
        <v>83469.149999999994</v>
      </c>
      <c r="BJ22" s="46">
        <f t="shared" si="100"/>
        <v>1317857.8499999999</v>
      </c>
      <c r="BK22" s="46">
        <f t="shared" si="101"/>
        <v>977142.15000000072</v>
      </c>
      <c r="BL22" s="46">
        <f t="shared" si="81"/>
        <v>0</v>
      </c>
      <c r="BM22" s="60">
        <f>VLOOKUP($CQ$6,$CM$109:$DP$120,17,TRUE)</f>
        <v>3.637E-2</v>
      </c>
      <c r="BN22" s="46">
        <f t="shared" si="69"/>
        <v>0</v>
      </c>
      <c r="BO22" s="46">
        <f t="shared" si="102"/>
        <v>0</v>
      </c>
      <c r="BP22" s="46">
        <f t="shared" si="103"/>
        <v>0</v>
      </c>
      <c r="BQ22" s="44">
        <f t="shared" si="82"/>
        <v>866746.22224362288</v>
      </c>
      <c r="BR22" s="100">
        <v>2.564E-2</v>
      </c>
      <c r="BS22" s="44">
        <f t="shared" si="45"/>
        <v>35803.149841836734</v>
      </c>
      <c r="BT22" s="44">
        <f t="shared" si="104"/>
        <v>565435.62657780608</v>
      </c>
      <c r="BU22" s="44">
        <f t="shared" si="105"/>
        <v>830943.07240178611</v>
      </c>
      <c r="BV22" s="44">
        <f t="shared" si="83"/>
        <v>880011.81988392922</v>
      </c>
      <c r="BW22" s="100">
        <v>2.5000000000000001E-2</v>
      </c>
      <c r="BX22" s="44">
        <f t="shared" si="46"/>
        <v>34909.467474489793</v>
      </c>
      <c r="BY22" s="44">
        <f t="shared" si="106"/>
        <v>551276.34657015326</v>
      </c>
      <c r="BZ22" s="44">
        <f t="shared" si="107"/>
        <v>845102.35240943939</v>
      </c>
      <c r="CA22" s="44"/>
      <c r="CB22" s="43">
        <f t="shared" si="84"/>
        <v>1424529.4499999997</v>
      </c>
      <c r="CC22" s="100">
        <v>2.564E-2</v>
      </c>
      <c r="CD22" s="43">
        <f t="shared" si="47"/>
        <v>58843.799999999996</v>
      </c>
      <c r="CE22" s="43">
        <f t="shared" si="108"/>
        <v>929314.35000000021</v>
      </c>
      <c r="CF22" s="43">
        <f t="shared" si="109"/>
        <v>1365685.6499999997</v>
      </c>
      <c r="CG22" s="43">
        <f t="shared" si="85"/>
        <v>0</v>
      </c>
      <c r="CH22" s="100">
        <v>2.564E-2</v>
      </c>
      <c r="CI22" s="43">
        <f t="shared" si="70"/>
        <v>0</v>
      </c>
      <c r="CJ22" s="43">
        <f t="shared" si="110"/>
        <v>0</v>
      </c>
      <c r="CK22" s="43">
        <f t="shared" si="111"/>
        <v>0</v>
      </c>
      <c r="CN22" s="22">
        <v>5</v>
      </c>
      <c r="CO22" s="96">
        <f>CO16</f>
        <v>7.0000000000000007E-2</v>
      </c>
      <c r="CP22" s="22">
        <f>CP16</f>
        <v>160650.00000000003</v>
      </c>
      <c r="CR22">
        <f t="shared" si="117"/>
        <v>12</v>
      </c>
      <c r="CT22" t="s">
        <v>41</v>
      </c>
      <c r="CU22">
        <v>0.5</v>
      </c>
      <c r="DC22" s="54"/>
      <c r="DD22" s="76">
        <v>14</v>
      </c>
      <c r="DE22" s="77">
        <f t="shared" si="121"/>
        <v>0</v>
      </c>
      <c r="DJ22" s="22">
        <v>18</v>
      </c>
      <c r="DK22" s="44">
        <f t="shared" si="12"/>
        <v>83469.149999999994</v>
      </c>
      <c r="DL22" s="44">
        <f t="shared" si="13"/>
        <v>53242.188479999997</v>
      </c>
      <c r="DM22" s="44">
        <f t="shared" si="1"/>
        <v>53242.188479999997</v>
      </c>
      <c r="DN22" s="44">
        <f t="shared" si="2"/>
        <v>53242.188479999997</v>
      </c>
      <c r="DO22" s="44">
        <f t="shared" si="14"/>
        <v>53242.188479999997</v>
      </c>
      <c r="DP22" s="44">
        <f t="shared" si="15"/>
        <v>53242.188479999997</v>
      </c>
      <c r="DQ22" s="44">
        <f t="shared" si="16"/>
        <v>53242.188479999997</v>
      </c>
      <c r="DR22" s="44">
        <f t="shared" si="17"/>
        <v>53242.188479999997</v>
      </c>
      <c r="DS22" s="44">
        <f t="shared" si="3"/>
        <v>31556.96478692735</v>
      </c>
      <c r="DT22" s="44">
        <f t="shared" si="18"/>
        <v>0</v>
      </c>
      <c r="DV22" s="44">
        <f t="shared" si="4"/>
        <v>1484773.1999999997</v>
      </c>
      <c r="DW22" s="44">
        <f t="shared" si="122"/>
        <v>376879.2818400003</v>
      </c>
      <c r="DX22" s="44">
        <f t="shared" si="19"/>
        <v>376879.2818400003</v>
      </c>
      <c r="DY22" s="44">
        <f t="shared" si="123"/>
        <v>376879.28184000007</v>
      </c>
      <c r="DZ22" s="44">
        <f t="shared" si="126"/>
        <v>376879.2818400003</v>
      </c>
      <c r="EA22" s="44">
        <f t="shared" si="21"/>
        <v>44440.881840000162</v>
      </c>
      <c r="EB22" s="44">
        <f t="shared" si="22"/>
        <v>-121778.31815999979</v>
      </c>
      <c r="EC22" s="44">
        <f t="shared" si="23"/>
        <v>-287997.51815999998</v>
      </c>
      <c r="ED22" s="44">
        <f t="shared" si="89"/>
        <v>-649100.4619673182</v>
      </c>
      <c r="EE22" s="44">
        <f t="shared" si="24"/>
        <v>0</v>
      </c>
      <c r="EG22" s="22">
        <v>18</v>
      </c>
      <c r="EH22" s="44">
        <f t="shared" si="5"/>
        <v>58843.799999999996</v>
      </c>
      <c r="EI22" s="44">
        <f t="shared" si="6"/>
        <v>35803.149841836734</v>
      </c>
      <c r="EJ22" s="44">
        <f t="shared" si="7"/>
        <v>35803.149841836734</v>
      </c>
      <c r="EK22" s="44">
        <f t="shared" si="8"/>
        <v>35803.149841836734</v>
      </c>
      <c r="EL22" s="44">
        <f t="shared" si="25"/>
        <v>35803.149841836734</v>
      </c>
      <c r="EM22" s="44">
        <f t="shared" si="26"/>
        <v>35803.149841836734</v>
      </c>
      <c r="EN22" s="44">
        <f t="shared" si="27"/>
        <v>35803.149841836734</v>
      </c>
      <c r="EO22" s="44">
        <f t="shared" si="28"/>
        <v>35803.149841836734</v>
      </c>
      <c r="EP22" s="44">
        <f t="shared" si="9"/>
        <v>34909.467474489793</v>
      </c>
      <c r="EQ22" s="44">
        <f t="shared" si="29"/>
        <v>0</v>
      </c>
      <c r="ES22" s="44">
        <f t="shared" si="10"/>
        <v>1047001.9500000003</v>
      </c>
      <c r="ET22" s="44">
        <f t="shared" si="124"/>
        <v>547505.07728188753</v>
      </c>
      <c r="EU22" s="44">
        <f t="shared" si="11"/>
        <v>547505.07728188753</v>
      </c>
      <c r="EV22" s="44">
        <f t="shared" si="125"/>
        <v>547505.07728188753</v>
      </c>
      <c r="EW22" s="44">
        <f t="shared" si="127"/>
        <v>547505.07728188776</v>
      </c>
      <c r="EX22" s="44">
        <f t="shared" si="31"/>
        <v>188056.55687372421</v>
      </c>
      <c r="EY22" s="44">
        <f t="shared" si="32"/>
        <v>8332.2966696426738</v>
      </c>
      <c r="EZ22" s="44">
        <f t="shared" si="33"/>
        <v>-171391.96353443898</v>
      </c>
      <c r="FA22" s="44">
        <f t="shared" si="120"/>
        <v>-98256.164219414233</v>
      </c>
      <c r="FB22" s="44">
        <f t="shared" si="34"/>
        <v>0</v>
      </c>
      <c r="FD22" s="22">
        <f t="shared" si="48"/>
        <v>18</v>
      </c>
      <c r="FF22" s="22">
        <f t="shared" si="49"/>
        <v>18</v>
      </c>
      <c r="FG22" s="138">
        <f t="shared" si="50"/>
        <v>2042</v>
      </c>
      <c r="FH22" s="90">
        <f t="shared" si="35"/>
        <v>83469.149999999994</v>
      </c>
      <c r="FI22" s="90">
        <f t="shared" si="36"/>
        <v>0</v>
      </c>
      <c r="FJ22" s="90">
        <f t="shared" si="37"/>
        <v>83469.149999999994</v>
      </c>
      <c r="FK22" s="44">
        <f t="shared" si="51"/>
        <v>53242.188479999997</v>
      </c>
      <c r="FL22" s="90" cm="1">
        <f t="array" ref="FL22">IF($CQ$5&lt;$CP$5,_xlfn.XLOOKUP(FD22,$EG$5:$EG$54,$DN$5:$DN$54),IF(OR(AND($CQ$5&gt;$CP$5,$CQ$5&lt;$CO$5),OR($CQ$5&gt;=$CL$5)),_xlfn.XLOOKUP(FD22,$EG$5:$EG$54,$DM$5:DM$54),IF(AND($CQ$5&gt;$CO$5,$CQ$5&lt;$CN$5),_xlfn.XLOOKUP(FD22,$EG$5:$EG$54,$DO$5:$DO$54),IF(AND($CQ$5&gt;$CN$5,$CQ$5&lt;$CM$5),_xlfn.XLOOKUP(FD22,$EG$5:$EG$54,$DP$5:$DP$54),IF(AND($CQ$5&gt;$CM$5,$CQ$5&lt;$CL$5),_xlfn.XLOOKUP(FD22,$EG$5:$EG$54,$DQ$5:$DQ$54))))))</f>
        <v>53242.188479999997</v>
      </c>
      <c r="FM22" s="44">
        <f t="shared" si="52"/>
        <v>31556.96478692735</v>
      </c>
      <c r="FP22" s="22">
        <f t="shared" si="53"/>
        <v>18</v>
      </c>
      <c r="FR22" s="22">
        <f t="shared" si="54"/>
        <v>18</v>
      </c>
      <c r="FS22" s="138">
        <f t="shared" si="55"/>
        <v>2042</v>
      </c>
      <c r="FT22" s="90">
        <f t="shared" si="38"/>
        <v>58843.799999999996</v>
      </c>
      <c r="FU22" s="90">
        <f t="shared" si="39"/>
        <v>0</v>
      </c>
      <c r="FV22" s="90">
        <f t="shared" si="40"/>
        <v>58843.799999999996</v>
      </c>
      <c r="FW22" s="44">
        <f t="shared" si="56"/>
        <v>35803.149841836734</v>
      </c>
      <c r="FX22" s="90" cm="1">
        <f t="array" ref="FX22">IF($CQ$5&lt;$CP$5,_xlfn.XLOOKUP(FP22,$EG$5:$EG$54,$EK$5:$EK$54),IF(OR(AND($CQ$5&gt;$CP$5,$CQ$5&lt;$CO$5),OR($CQ$5&gt;=$CL$5)),_xlfn.XLOOKUP(FP22,$EG$5:$EG$54,$EJ$5:$EJ$54),IF(AND($CQ$5&gt;$CO$5,$CQ$5&lt;$CN$5),_xlfn.XLOOKUP(FP22,$EG$5:$EG$54,$EL$5:$EL$54),IF(AND($CQ$5&gt;$CN$5,$CQ$5&lt;$CM$5),_xlfn.XLOOKUP(FP22,$EG$5:$EG$54,$EM$5:$EM$54),_xlfn.XLOOKUP(FP22,$EG$5:$EG$54,$EN$5:EN$54,IF(AND($CQ$5&gt;$CM$5,$CQ$5&lt;$CL$5),_xlfn.XLOOKUP(FD21,$EG$5:$EG$54,$EY$5:$EY$54),""))))))</f>
        <v>35803.149841836734</v>
      </c>
      <c r="FY22" s="44">
        <f t="shared" si="57"/>
        <v>34909.467474489793</v>
      </c>
    </row>
    <row r="23" spans="1:183" x14ac:dyDescent="0.25">
      <c r="C23" s="48">
        <v>17</v>
      </c>
      <c r="D23" s="42"/>
      <c r="E23" s="43"/>
      <c r="F23" s="43"/>
      <c r="G23" s="43"/>
      <c r="H23" s="43"/>
      <c r="I23" s="44"/>
      <c r="J23" s="44"/>
      <c r="K23" s="44"/>
      <c r="L23" s="44"/>
      <c r="M23" s="44"/>
      <c r="N23" s="42"/>
      <c r="O23" s="43"/>
      <c r="P23" s="43"/>
      <c r="Q23" s="43"/>
      <c r="R23" s="43"/>
      <c r="S23" s="44"/>
      <c r="T23" s="44"/>
      <c r="U23" s="44"/>
      <c r="V23" s="44"/>
      <c r="W23" s="44"/>
      <c r="X23" s="43"/>
      <c r="Y23" s="43"/>
      <c r="Z23" s="43"/>
      <c r="AA23" s="43"/>
      <c r="AB23" s="43"/>
      <c r="AC23" s="104"/>
      <c r="AD23" s="104"/>
      <c r="AE23" s="104"/>
      <c r="AF23" s="104"/>
      <c r="AG23" s="104"/>
      <c r="AH23" s="44"/>
      <c r="AI23" s="51"/>
      <c r="AJ23" s="44"/>
      <c r="AK23" s="44"/>
      <c r="AL23" s="44"/>
      <c r="AM23" s="43"/>
      <c r="AN23" s="50"/>
      <c r="AO23" s="43"/>
      <c r="AP23" s="43"/>
      <c r="AQ23" s="43"/>
      <c r="AR23" s="44">
        <f t="shared" si="76"/>
        <v>142006.34154117317</v>
      </c>
      <c r="AS23" s="59">
        <v>0.05</v>
      </c>
      <c r="AT23" s="44">
        <f t="shared" si="65"/>
        <v>31556.96478692735</v>
      </c>
      <c r="AU23" s="44">
        <f t="shared" si="94"/>
        <v>520689.91898430116</v>
      </c>
      <c r="AV23" s="44">
        <f t="shared" si="95"/>
        <v>110449.37675424582</v>
      </c>
      <c r="AW23" s="43"/>
      <c r="AX23" s="50"/>
      <c r="AY23" s="43"/>
      <c r="AZ23" s="43"/>
      <c r="BA23" s="43"/>
      <c r="BB23" s="45">
        <f t="shared" si="79"/>
        <v>623286.40608000034</v>
      </c>
      <c r="BC23" s="227">
        <f>VLOOKUP($CQ$6,$CM$109:$DP$120,18,TRUE)</f>
        <v>3.6360000000000003E-2</v>
      </c>
      <c r="BD23" s="45">
        <f t="shared" si="67"/>
        <v>53227.549440000003</v>
      </c>
      <c r="BE23" s="45">
        <f t="shared" si="98"/>
        <v>893845.14335999987</v>
      </c>
      <c r="BF23" s="45">
        <f t="shared" si="99"/>
        <v>570058.85664000036</v>
      </c>
      <c r="BG23" s="46">
        <f t="shared" si="80"/>
        <v>977142.15000000072</v>
      </c>
      <c r="BH23" s="60">
        <f>VLOOKUP($CQ$6,$CM$109:$DP$120,18,TRUE)</f>
        <v>3.6360000000000003E-2</v>
      </c>
      <c r="BI23" s="46">
        <f t="shared" si="68"/>
        <v>83446.200000000012</v>
      </c>
      <c r="BJ23" s="46">
        <f t="shared" si="100"/>
        <v>1401304.0499999998</v>
      </c>
      <c r="BK23" s="46">
        <f t="shared" si="101"/>
        <v>893695.95000000065</v>
      </c>
      <c r="BL23" s="46">
        <f t="shared" si="81"/>
        <v>0</v>
      </c>
      <c r="BM23" s="60">
        <f>VLOOKUP($CQ$6,$CM$109:$DP$120,18,TRUE)</f>
        <v>3.6360000000000003E-2</v>
      </c>
      <c r="BN23" s="46">
        <f t="shared" si="69"/>
        <v>0</v>
      </c>
      <c r="BO23" s="46">
        <f t="shared" si="102"/>
        <v>0</v>
      </c>
      <c r="BP23" s="46">
        <f t="shared" si="103"/>
        <v>0</v>
      </c>
      <c r="BQ23" s="44">
        <f t="shared" si="82"/>
        <v>830943.07240178611</v>
      </c>
      <c r="BR23" s="100">
        <v>2.564E-2</v>
      </c>
      <c r="BS23" s="44">
        <f t="shared" si="45"/>
        <v>35803.149841836734</v>
      </c>
      <c r="BT23" s="44">
        <f t="shared" si="104"/>
        <v>601238.77641964285</v>
      </c>
      <c r="BU23" s="44">
        <f t="shared" si="105"/>
        <v>795139.92255994934</v>
      </c>
      <c r="BV23" s="44">
        <f t="shared" si="83"/>
        <v>845102.35240943939</v>
      </c>
      <c r="BW23" s="100">
        <v>2.5000000000000001E-2</v>
      </c>
      <c r="BX23" s="44">
        <f t="shared" si="46"/>
        <v>34909.467474489793</v>
      </c>
      <c r="BY23" s="44">
        <f t="shared" si="106"/>
        <v>586185.81404464308</v>
      </c>
      <c r="BZ23" s="44">
        <f t="shared" si="107"/>
        <v>810192.88493494957</v>
      </c>
      <c r="CA23" s="44"/>
      <c r="CB23" s="43">
        <f t="shared" si="84"/>
        <v>1365685.6499999997</v>
      </c>
      <c r="CC23" s="100">
        <v>2.564E-2</v>
      </c>
      <c r="CD23" s="43">
        <f t="shared" si="47"/>
        <v>58843.799999999996</v>
      </c>
      <c r="CE23" s="43">
        <f t="shared" si="108"/>
        <v>988158.15000000026</v>
      </c>
      <c r="CF23" s="43">
        <f t="shared" si="109"/>
        <v>1306841.8499999996</v>
      </c>
      <c r="CG23" s="43">
        <f t="shared" si="85"/>
        <v>0</v>
      </c>
      <c r="CH23" s="100">
        <v>2.564E-2</v>
      </c>
      <c r="CI23" s="43">
        <f t="shared" si="70"/>
        <v>0</v>
      </c>
      <c r="CJ23" s="43">
        <f t="shared" si="110"/>
        <v>0</v>
      </c>
      <c r="CK23" s="43">
        <f t="shared" si="111"/>
        <v>0</v>
      </c>
      <c r="CN23" s="22">
        <v>5</v>
      </c>
      <c r="CO23" s="96">
        <f>CO17</f>
        <v>1.7127104253356451E-2</v>
      </c>
      <c r="CP23" s="22">
        <f>CP17</f>
        <v>39306.704261453058</v>
      </c>
      <c r="CR23">
        <f t="shared" si="117"/>
        <v>13</v>
      </c>
      <c r="CT23" t="s">
        <v>42</v>
      </c>
      <c r="CU23">
        <v>0.01</v>
      </c>
      <c r="DD23" s="84">
        <v>15</v>
      </c>
      <c r="DE23" s="85">
        <f t="shared" si="121"/>
        <v>0</v>
      </c>
      <c r="DJ23" s="22">
        <v>19</v>
      </c>
      <c r="DK23" s="44">
        <f t="shared" si="12"/>
        <v>83446.200000000012</v>
      </c>
      <c r="DL23" s="44">
        <f t="shared" si="13"/>
        <v>53227.549440000003</v>
      </c>
      <c r="DM23" s="44">
        <f t="shared" si="1"/>
        <v>53227.549440000003</v>
      </c>
      <c r="DN23" s="44">
        <f t="shared" si="2"/>
        <v>53227.549440000003</v>
      </c>
      <c r="DO23" s="44">
        <f t="shared" si="14"/>
        <v>53227.549440000003</v>
      </c>
      <c r="DP23" s="44">
        <f t="shared" si="15"/>
        <v>53227.549440000003</v>
      </c>
      <c r="DQ23" s="44">
        <f t="shared" si="16"/>
        <v>53227.549440000003</v>
      </c>
      <c r="DR23" s="44">
        <f t="shared" si="17"/>
        <v>53227.549440000003</v>
      </c>
      <c r="DS23" s="44">
        <f t="shared" si="3"/>
        <v>31556.96478692735</v>
      </c>
      <c r="DT23" s="44">
        <f t="shared" si="18"/>
        <v>0</v>
      </c>
      <c r="DV23" s="44">
        <f t="shared" si="4"/>
        <v>1568219.3999999997</v>
      </c>
      <c r="DW23" s="44">
        <f t="shared" si="122"/>
        <v>346637.68128000014</v>
      </c>
      <c r="DX23" s="44">
        <f t="shared" si="19"/>
        <v>346637.68128000014</v>
      </c>
      <c r="DY23" s="44">
        <f t="shared" si="123"/>
        <v>346637.68128000014</v>
      </c>
      <c r="DZ23" s="44">
        <f t="shared" si="126"/>
        <v>346637.68128000037</v>
      </c>
      <c r="EA23" s="44">
        <f t="shared" si="21"/>
        <v>14199.281280000228</v>
      </c>
      <c r="EB23" s="44">
        <f t="shared" si="22"/>
        <v>-152019.91871999972</v>
      </c>
      <c r="EC23" s="44">
        <f t="shared" si="23"/>
        <v>-318239.11871999991</v>
      </c>
      <c r="ED23" s="44">
        <f t="shared" si="89"/>
        <v>-701012.64718039078</v>
      </c>
      <c r="EE23" s="44">
        <f t="shared" si="24"/>
        <v>0</v>
      </c>
      <c r="EG23" s="22">
        <v>19</v>
      </c>
      <c r="EH23" s="44">
        <f t="shared" si="5"/>
        <v>58843.799999999996</v>
      </c>
      <c r="EI23" s="44">
        <f t="shared" si="6"/>
        <v>35803.149841836734</v>
      </c>
      <c r="EJ23" s="44">
        <f t="shared" si="7"/>
        <v>35803.149841836734</v>
      </c>
      <c r="EK23" s="44">
        <f t="shared" si="8"/>
        <v>35803.149841836734</v>
      </c>
      <c r="EL23" s="44">
        <f t="shared" si="25"/>
        <v>35803.149841836734</v>
      </c>
      <c r="EM23" s="44">
        <f t="shared" si="26"/>
        <v>35803.149841836734</v>
      </c>
      <c r="EN23" s="44">
        <f t="shared" si="27"/>
        <v>35803.149841836734</v>
      </c>
      <c r="EO23" s="44">
        <f t="shared" si="28"/>
        <v>35803.149841836734</v>
      </c>
      <c r="EP23" s="44">
        <f t="shared" si="9"/>
        <v>34909.467474489793</v>
      </c>
      <c r="EQ23" s="44">
        <f t="shared" si="29"/>
        <v>0</v>
      </c>
      <c r="ES23" s="44">
        <f t="shared" si="10"/>
        <v>1105845.7500000002</v>
      </c>
      <c r="ET23" s="44">
        <f t="shared" si="124"/>
        <v>524464.42712372437</v>
      </c>
      <c r="EU23" s="44">
        <f t="shared" si="11"/>
        <v>524464.42712372437</v>
      </c>
      <c r="EV23" s="44">
        <f t="shared" si="125"/>
        <v>524464.42712372437</v>
      </c>
      <c r="EW23" s="44">
        <f t="shared" si="127"/>
        <v>524464.42712372437</v>
      </c>
      <c r="EX23" s="44">
        <f t="shared" si="31"/>
        <v>165015.90671556105</v>
      </c>
      <c r="EY23" s="44">
        <f t="shared" si="32"/>
        <v>-14708.353488520603</v>
      </c>
      <c r="EZ23" s="44">
        <f t="shared" si="33"/>
        <v>-194432.61369260226</v>
      </c>
      <c r="FA23" s="44">
        <f t="shared" si="120"/>
        <v>-122190.49674492446</v>
      </c>
      <c r="FB23" s="44">
        <f t="shared" si="34"/>
        <v>0</v>
      </c>
      <c r="FD23" s="22">
        <f t="shared" si="48"/>
        <v>19</v>
      </c>
      <c r="FF23" s="22">
        <f t="shared" si="49"/>
        <v>19</v>
      </c>
      <c r="FG23" s="138">
        <f t="shared" si="50"/>
        <v>2043</v>
      </c>
      <c r="FH23" s="90">
        <f t="shared" si="35"/>
        <v>83446.200000000012</v>
      </c>
      <c r="FI23" s="90">
        <f t="shared" si="36"/>
        <v>0</v>
      </c>
      <c r="FJ23" s="90">
        <f t="shared" si="37"/>
        <v>83446.200000000012</v>
      </c>
      <c r="FK23" s="44">
        <f t="shared" si="51"/>
        <v>53227.549440000003</v>
      </c>
      <c r="FL23" s="90" cm="1">
        <f t="array" ref="FL23">IF($CQ$5&lt;$CP$5,_xlfn.XLOOKUP(FD23,$EG$5:$EG$54,$DN$5:$DN$54),IF(OR(AND($CQ$5&gt;$CP$5,$CQ$5&lt;$CO$5),OR($CQ$5&gt;=$CL$5)),_xlfn.XLOOKUP(FD23,$EG$5:$EG$54,$DM$5:DM$54),IF(AND($CQ$5&gt;$CO$5,$CQ$5&lt;$CN$5),_xlfn.XLOOKUP(FD23,$EG$5:$EG$54,$DO$5:$DO$54),IF(AND($CQ$5&gt;$CN$5,$CQ$5&lt;$CM$5),_xlfn.XLOOKUP(FD23,$EG$5:$EG$54,$DP$5:$DP$54),IF(AND($CQ$5&gt;$CM$5,$CQ$5&lt;$CL$5),_xlfn.XLOOKUP(FD23,$EG$5:$EG$54,$DQ$5:$DQ$54))))))</f>
        <v>53227.549440000003</v>
      </c>
      <c r="FM23" s="44">
        <f t="shared" si="52"/>
        <v>31556.96478692735</v>
      </c>
      <c r="FP23" s="22">
        <f t="shared" si="53"/>
        <v>19</v>
      </c>
      <c r="FR23" s="22">
        <f t="shared" si="54"/>
        <v>19</v>
      </c>
      <c r="FS23" s="138">
        <f t="shared" si="55"/>
        <v>2043</v>
      </c>
      <c r="FT23" s="90">
        <f t="shared" si="38"/>
        <v>58843.799999999996</v>
      </c>
      <c r="FU23" s="90">
        <f t="shared" si="39"/>
        <v>0</v>
      </c>
      <c r="FV23" s="90">
        <f t="shared" si="40"/>
        <v>58843.799999999996</v>
      </c>
      <c r="FW23" s="44">
        <f t="shared" si="56"/>
        <v>35803.149841836734</v>
      </c>
      <c r="FX23" s="90" cm="1">
        <f t="array" ref="FX23">IF($CQ$5&lt;$CP$5,_xlfn.XLOOKUP(FP23,$EG$5:$EG$54,$EK$5:$EK$54),IF(OR(AND($CQ$5&gt;$CP$5,$CQ$5&lt;$CO$5),OR($CQ$5&gt;=$CL$5)),_xlfn.XLOOKUP(FP23,$EG$5:$EG$54,$EJ$5:$EJ$54),IF(AND($CQ$5&gt;$CO$5,$CQ$5&lt;$CN$5),_xlfn.XLOOKUP(FP23,$EG$5:$EG$54,$EL$5:$EL$54),IF(AND($CQ$5&gt;$CN$5,$CQ$5&lt;$CM$5),_xlfn.XLOOKUP(FP23,$EG$5:$EG$54,$EM$5:$EM$54),_xlfn.XLOOKUP(FP23,$EG$5:$EG$54,$EN$5:EN$54,IF(AND($CQ$5&gt;$CM$5,$CQ$5&lt;$CL$5),_xlfn.XLOOKUP(FD22,$EG$5:$EG$54,$EY$5:$EY$54),""))))))</f>
        <v>35803.149841836734</v>
      </c>
      <c r="FY23" s="44">
        <f t="shared" si="57"/>
        <v>34909.467474489793</v>
      </c>
    </row>
    <row r="24" spans="1:183" x14ac:dyDescent="0.25">
      <c r="A24" s="21"/>
      <c r="B24" s="21"/>
      <c r="C24" s="48">
        <v>18</v>
      </c>
      <c r="D24" s="42"/>
      <c r="E24" s="43"/>
      <c r="F24" s="43"/>
      <c r="G24" s="43"/>
      <c r="H24" s="43"/>
      <c r="I24" s="44"/>
      <c r="J24" s="44"/>
      <c r="K24" s="44"/>
      <c r="L24" s="44"/>
      <c r="M24" s="44"/>
      <c r="N24" s="42"/>
      <c r="O24" s="43"/>
      <c r="P24" s="43"/>
      <c r="Q24" s="43"/>
      <c r="R24" s="43"/>
      <c r="S24" s="44"/>
      <c r="T24" s="44"/>
      <c r="U24" s="44"/>
      <c r="V24" s="44"/>
      <c r="W24" s="44"/>
      <c r="X24" s="43"/>
      <c r="Y24" s="43"/>
      <c r="Z24" s="43"/>
      <c r="AA24" s="43"/>
      <c r="AB24" s="43"/>
      <c r="AC24" s="104"/>
      <c r="AD24" s="104"/>
      <c r="AE24" s="104"/>
      <c r="AF24" s="104"/>
      <c r="AG24" s="104"/>
      <c r="AH24" s="44"/>
      <c r="AI24" s="44"/>
      <c r="AJ24" s="44"/>
      <c r="AK24" s="44"/>
      <c r="AL24" s="44"/>
      <c r="AM24" s="43"/>
      <c r="AN24" s="43"/>
      <c r="AO24" s="43"/>
      <c r="AP24" s="43"/>
      <c r="AQ24" s="43"/>
      <c r="AR24" s="44">
        <f t="shared" si="76"/>
        <v>110449.37675424582</v>
      </c>
      <c r="AS24" s="59">
        <v>0.05</v>
      </c>
      <c r="AT24" s="44">
        <f t="shared" si="65"/>
        <v>31556.96478692735</v>
      </c>
      <c r="AU24" s="44">
        <f t="shared" si="94"/>
        <v>552246.88377122849</v>
      </c>
      <c r="AV24" s="44">
        <f t="shared" si="95"/>
        <v>78892.411967318476</v>
      </c>
      <c r="AW24" s="43"/>
      <c r="AX24" s="43"/>
      <c r="AY24" s="43"/>
      <c r="AZ24" s="43"/>
      <c r="BA24" s="43"/>
      <c r="BB24" s="45">
        <f t="shared" si="79"/>
        <v>570058.85664000036</v>
      </c>
      <c r="BC24" s="227">
        <f>VLOOKUP($CQ$6,$CM$109:$DP$120,19,TRUE)</f>
        <v>3.637E-2</v>
      </c>
      <c r="BD24" s="45">
        <f t="shared" si="67"/>
        <v>53242.188479999997</v>
      </c>
      <c r="BE24" s="45">
        <f t="shared" si="98"/>
        <v>947087.33183999988</v>
      </c>
      <c r="BF24" s="45">
        <f t="shared" si="99"/>
        <v>516816.66816000035</v>
      </c>
      <c r="BG24" s="46">
        <f t="shared" si="80"/>
        <v>893695.95000000065</v>
      </c>
      <c r="BH24" s="60">
        <f>VLOOKUP($CQ$6,$CM$109:$DP$120,19,TRUE)</f>
        <v>3.637E-2</v>
      </c>
      <c r="BI24" s="46">
        <f t="shared" si="68"/>
        <v>83469.149999999994</v>
      </c>
      <c r="BJ24" s="46">
        <f t="shared" si="100"/>
        <v>1484773.1999999997</v>
      </c>
      <c r="BK24" s="46">
        <f t="shared" si="101"/>
        <v>810226.80000000063</v>
      </c>
      <c r="BL24" s="46">
        <f t="shared" si="81"/>
        <v>0</v>
      </c>
      <c r="BM24" s="60">
        <f>VLOOKUP($CQ$6,$CM$109:$DP$120,19,TRUE)</f>
        <v>3.637E-2</v>
      </c>
      <c r="BN24" s="46">
        <f t="shared" si="69"/>
        <v>0</v>
      </c>
      <c r="BO24" s="46">
        <f t="shared" si="102"/>
        <v>0</v>
      </c>
      <c r="BP24" s="46">
        <f t="shared" si="103"/>
        <v>0</v>
      </c>
      <c r="BQ24" s="44">
        <f t="shared" si="82"/>
        <v>795139.92255994934</v>
      </c>
      <c r="BR24" s="100">
        <v>2.564E-2</v>
      </c>
      <c r="BS24" s="44">
        <f t="shared" si="45"/>
        <v>35803.149841836734</v>
      </c>
      <c r="BT24" s="44">
        <f t="shared" si="104"/>
        <v>637041.92626147962</v>
      </c>
      <c r="BU24" s="44">
        <f t="shared" si="105"/>
        <v>759336.77271811257</v>
      </c>
      <c r="BV24" s="44">
        <f t="shared" si="83"/>
        <v>810192.88493494957</v>
      </c>
      <c r="BW24" s="100">
        <v>2.5000000000000001E-2</v>
      </c>
      <c r="BX24" s="44">
        <f t="shared" si="46"/>
        <v>34909.467474489793</v>
      </c>
      <c r="BY24" s="44">
        <f t="shared" si="106"/>
        <v>621095.2815191329</v>
      </c>
      <c r="BZ24" s="44">
        <f t="shared" si="107"/>
        <v>775283.41746045975</v>
      </c>
      <c r="CA24" s="44"/>
      <c r="CB24" s="43">
        <f t="shared" si="84"/>
        <v>1306841.8499999996</v>
      </c>
      <c r="CC24" s="100">
        <v>2.564E-2</v>
      </c>
      <c r="CD24" s="43">
        <f t="shared" si="47"/>
        <v>58843.799999999996</v>
      </c>
      <c r="CE24" s="43">
        <f t="shared" si="108"/>
        <v>1047001.9500000003</v>
      </c>
      <c r="CF24" s="43">
        <f t="shared" si="109"/>
        <v>1247998.0499999996</v>
      </c>
      <c r="CG24" s="43">
        <f t="shared" si="85"/>
        <v>0</v>
      </c>
      <c r="CH24" s="100">
        <v>2.564E-2</v>
      </c>
      <c r="CI24" s="43">
        <f t="shared" si="70"/>
        <v>0</v>
      </c>
      <c r="CJ24" s="43">
        <f t="shared" si="110"/>
        <v>0</v>
      </c>
      <c r="CK24" s="43">
        <f t="shared" si="111"/>
        <v>0</v>
      </c>
      <c r="CN24" s="22">
        <v>15</v>
      </c>
      <c r="CO24" s="96">
        <f>CO19</f>
        <v>0.2750062290799769</v>
      </c>
      <c r="CP24" s="22">
        <f>CP19</f>
        <v>631139.29573854699</v>
      </c>
      <c r="CR24">
        <f t="shared" si="117"/>
        <v>14</v>
      </c>
      <c r="CT24" t="s">
        <v>43</v>
      </c>
      <c r="CU24" t="s">
        <v>44</v>
      </c>
      <c r="DJ24" s="22">
        <v>20</v>
      </c>
      <c r="DK24" s="44">
        <f t="shared" si="12"/>
        <v>83469.149999999994</v>
      </c>
      <c r="DL24" s="44">
        <f t="shared" si="13"/>
        <v>53242.188479999997</v>
      </c>
      <c r="DM24" s="44">
        <f t="shared" si="1"/>
        <v>53242.188479999997</v>
      </c>
      <c r="DN24" s="44">
        <f t="shared" si="2"/>
        <v>53242.188479999997</v>
      </c>
      <c r="DO24" s="44">
        <f t="shared" si="14"/>
        <v>53242.188479999997</v>
      </c>
      <c r="DP24" s="44">
        <f t="shared" si="15"/>
        <v>53242.188479999997</v>
      </c>
      <c r="DQ24" s="44">
        <f t="shared" si="16"/>
        <v>53242.188479999997</v>
      </c>
      <c r="DR24" s="44">
        <f t="shared" si="17"/>
        <v>53242.188479999997</v>
      </c>
      <c r="DS24" s="44">
        <f t="shared" si="3"/>
        <v>31556.96478692735</v>
      </c>
      <c r="DT24" s="44">
        <f t="shared" si="18"/>
        <v>0</v>
      </c>
      <c r="DV24" s="44">
        <f t="shared" si="4"/>
        <v>1651688.5499999996</v>
      </c>
      <c r="DW24" s="44">
        <f t="shared" si="122"/>
        <v>316433.66976000019</v>
      </c>
      <c r="DX24" s="44">
        <f t="shared" si="19"/>
        <v>316433.66976000019</v>
      </c>
      <c r="DY24" s="44">
        <f t="shared" si="123"/>
        <v>316433.66976000019</v>
      </c>
      <c r="DZ24" s="44">
        <f t="shared" si="126"/>
        <v>316433.66976000043</v>
      </c>
      <c r="EA24" s="44">
        <f t="shared" si="21"/>
        <v>-16004.730239999713</v>
      </c>
      <c r="EB24" s="44">
        <f t="shared" si="22"/>
        <v>-182223.93023999967</v>
      </c>
      <c r="EC24" s="44">
        <f t="shared" si="23"/>
        <v>-348443.13023999985</v>
      </c>
      <c r="ED24" s="44">
        <f t="shared" ref="ED24:ED34" si="128">SUM($Q$12,$V$12,$AU$26,BO26,-BJ25)</f>
        <v>-752901.8823934634</v>
      </c>
      <c r="EE24" s="44">
        <f t="shared" si="24"/>
        <v>0</v>
      </c>
      <c r="EG24" s="22">
        <v>20</v>
      </c>
      <c r="EH24" s="44">
        <f t="shared" si="5"/>
        <v>58843.799999999996</v>
      </c>
      <c r="EI24" s="44">
        <f t="shared" si="6"/>
        <v>35803.149841836734</v>
      </c>
      <c r="EJ24" s="44">
        <f t="shared" si="7"/>
        <v>35803.149841836734</v>
      </c>
      <c r="EK24" s="44">
        <f t="shared" si="8"/>
        <v>35803.149841836734</v>
      </c>
      <c r="EL24" s="44">
        <f t="shared" si="25"/>
        <v>35803.149841836734</v>
      </c>
      <c r="EM24" s="44">
        <f t="shared" si="26"/>
        <v>35803.149841836734</v>
      </c>
      <c r="EN24" s="44">
        <f t="shared" si="27"/>
        <v>35803.149841836734</v>
      </c>
      <c r="EO24" s="44">
        <f t="shared" si="28"/>
        <v>35803.149841836734</v>
      </c>
      <c r="EP24" s="44">
        <f t="shared" si="9"/>
        <v>34909.467474489793</v>
      </c>
      <c r="EQ24" s="44">
        <f t="shared" si="29"/>
        <v>0</v>
      </c>
      <c r="ES24" s="44">
        <f t="shared" si="10"/>
        <v>1164689.5500000003</v>
      </c>
      <c r="ET24" s="44">
        <f t="shared" si="124"/>
        <v>501423.77696556109</v>
      </c>
      <c r="EU24" s="44">
        <f t="shared" si="11"/>
        <v>501423.77696556109</v>
      </c>
      <c r="EV24" s="44">
        <f t="shared" si="125"/>
        <v>501423.77696556109</v>
      </c>
      <c r="EW24" s="44">
        <f t="shared" si="127"/>
        <v>501423.77696556109</v>
      </c>
      <c r="EX24" s="44">
        <f t="shared" si="31"/>
        <v>141975.25655739778</v>
      </c>
      <c r="EY24" s="44">
        <f t="shared" si="32"/>
        <v>-37749.003646683646</v>
      </c>
      <c r="EZ24" s="44">
        <f t="shared" si="33"/>
        <v>-217473.26385076542</v>
      </c>
      <c r="FA24" s="44">
        <f t="shared" si="120"/>
        <v>-146124.82927043457</v>
      </c>
      <c r="FB24" s="44">
        <f t="shared" si="34"/>
        <v>0</v>
      </c>
      <c r="FD24" s="22">
        <f t="shared" si="48"/>
        <v>20</v>
      </c>
      <c r="FF24" s="22">
        <f t="shared" si="49"/>
        <v>20</v>
      </c>
      <c r="FG24" s="138">
        <f t="shared" si="50"/>
        <v>2044</v>
      </c>
      <c r="FH24" s="90">
        <f t="shared" si="35"/>
        <v>83469.149999999994</v>
      </c>
      <c r="FI24" s="90">
        <f t="shared" si="36"/>
        <v>0</v>
      </c>
      <c r="FJ24" s="90">
        <f t="shared" si="37"/>
        <v>83469.149999999994</v>
      </c>
      <c r="FK24" s="44">
        <f t="shared" si="51"/>
        <v>53242.188479999997</v>
      </c>
      <c r="FL24" s="90" cm="1">
        <f t="array" ref="FL24">IF($CQ$5&lt;$CP$5,_xlfn.XLOOKUP(FD24,$EG$5:$EG$54,$DN$5:$DN$54),IF(OR(AND($CQ$5&gt;$CP$5,$CQ$5&lt;$CO$5),OR($CQ$5&gt;=$CL$5)),_xlfn.XLOOKUP(FD24,$EG$5:$EG$54,$DM$5:DM$54),IF(AND($CQ$5&gt;$CO$5,$CQ$5&lt;$CN$5),_xlfn.XLOOKUP(FD24,$EG$5:$EG$54,$DO$5:$DO$54),IF(AND($CQ$5&gt;$CN$5,$CQ$5&lt;$CM$5),_xlfn.XLOOKUP(FD24,$EG$5:$EG$54,$DP$5:$DP$54),IF(AND($CQ$5&gt;$CM$5,$CQ$5&lt;$CL$5),_xlfn.XLOOKUP(FD24,$EG$5:$EG$54,$DQ$5:$DQ$54))))))</f>
        <v>53242.188479999997</v>
      </c>
      <c r="FM24" s="44">
        <f t="shared" si="52"/>
        <v>31556.96478692735</v>
      </c>
      <c r="FP24" s="22">
        <f t="shared" si="53"/>
        <v>20</v>
      </c>
      <c r="FR24" s="22">
        <f t="shared" si="54"/>
        <v>20</v>
      </c>
      <c r="FS24" s="138">
        <f t="shared" si="55"/>
        <v>2044</v>
      </c>
      <c r="FT24" s="90">
        <f t="shared" si="38"/>
        <v>58843.799999999996</v>
      </c>
      <c r="FU24" s="90">
        <f t="shared" si="39"/>
        <v>0</v>
      </c>
      <c r="FV24" s="90">
        <f t="shared" si="40"/>
        <v>58843.799999999996</v>
      </c>
      <c r="FW24" s="44">
        <f t="shared" si="56"/>
        <v>35803.149841836734</v>
      </c>
      <c r="FX24" s="90" cm="1">
        <f t="array" ref="FX24">IF($CQ$5&lt;$CP$5,_xlfn.XLOOKUP(FP24,$EG$5:$EG$54,$EK$5:$EK$54),IF(OR(AND($CQ$5&gt;$CP$5,$CQ$5&lt;$CO$5),OR($CQ$5&gt;=$CL$5)),_xlfn.XLOOKUP(FP24,$EG$5:$EG$54,$EJ$5:$EJ$54),IF(AND($CQ$5&gt;$CO$5,$CQ$5&lt;$CN$5),_xlfn.XLOOKUP(FP24,$EG$5:$EG$54,$EL$5:$EL$54),IF(AND($CQ$5&gt;$CN$5,$CQ$5&lt;$CM$5),_xlfn.XLOOKUP(FP24,$EG$5:$EG$54,$EM$5:$EM$54),_xlfn.XLOOKUP(FP24,$EG$5:$EG$54,$EN$5:EN$54,IF(AND($CQ$5&gt;$CM$5,$CQ$5&lt;$CL$5),_xlfn.XLOOKUP(FD23,$EG$5:$EG$54,$EY$5:$EY$54),""))))))</f>
        <v>35803.149841836734</v>
      </c>
      <c r="FY24" s="44">
        <f t="shared" si="57"/>
        <v>34909.467474489793</v>
      </c>
    </row>
    <row r="25" spans="1:183" x14ac:dyDescent="0.25">
      <c r="A25" s="36"/>
      <c r="B25" s="36"/>
      <c r="C25" s="48">
        <v>19</v>
      </c>
      <c r="D25" s="42"/>
      <c r="E25" s="43"/>
      <c r="F25" s="43"/>
      <c r="G25" s="43"/>
      <c r="H25" s="43"/>
      <c r="I25" s="44"/>
      <c r="J25" s="44"/>
      <c r="K25" s="44"/>
      <c r="L25" s="44"/>
      <c r="M25" s="44"/>
      <c r="N25" s="42"/>
      <c r="O25" s="43"/>
      <c r="P25" s="43"/>
      <c r="Q25" s="43"/>
      <c r="R25" s="43"/>
      <c r="S25" s="44"/>
      <c r="T25" s="44"/>
      <c r="U25" s="44"/>
      <c r="V25" s="44"/>
      <c r="W25" s="44"/>
      <c r="X25" s="43"/>
      <c r="Y25" s="43"/>
      <c r="Z25" s="43"/>
      <c r="AA25" s="43"/>
      <c r="AB25" s="43"/>
      <c r="AC25" s="104"/>
      <c r="AD25" s="104"/>
      <c r="AE25" s="104"/>
      <c r="AF25" s="104"/>
      <c r="AG25" s="104"/>
      <c r="AH25" s="44"/>
      <c r="AI25" s="44"/>
      <c r="AJ25" s="44"/>
      <c r="AK25" s="44"/>
      <c r="AL25" s="44"/>
      <c r="AM25" s="43"/>
      <c r="AN25" s="43"/>
      <c r="AO25" s="43"/>
      <c r="AP25" s="43"/>
      <c r="AQ25" s="43"/>
      <c r="AR25" s="44">
        <f t="shared" si="76"/>
        <v>78892.411967318476</v>
      </c>
      <c r="AS25" s="59">
        <v>0.05</v>
      </c>
      <c r="AT25" s="44">
        <f t="shared" si="65"/>
        <v>31556.96478692735</v>
      </c>
      <c r="AU25" s="44">
        <f t="shared" si="94"/>
        <v>583803.84855815582</v>
      </c>
      <c r="AV25" s="44">
        <f t="shared" si="95"/>
        <v>47335.447180391129</v>
      </c>
      <c r="AW25" s="43"/>
      <c r="AX25" s="43"/>
      <c r="AY25" s="43"/>
      <c r="AZ25" s="43"/>
      <c r="BA25" s="43"/>
      <c r="BB25" s="45">
        <f t="shared" si="79"/>
        <v>516816.66816000035</v>
      </c>
      <c r="BC25" s="227">
        <f>VLOOKUP($CQ$6,$CM$109:$DP$120,20,TRUE)</f>
        <v>3.6360000000000003E-2</v>
      </c>
      <c r="BD25" s="45">
        <f t="shared" si="67"/>
        <v>53227.549440000003</v>
      </c>
      <c r="BE25" s="45">
        <f t="shared" si="98"/>
        <v>1000314.8812799999</v>
      </c>
      <c r="BF25" s="45">
        <f t="shared" si="99"/>
        <v>463589.11872000038</v>
      </c>
      <c r="BG25" s="46">
        <f t="shared" si="80"/>
        <v>810226.80000000063</v>
      </c>
      <c r="BH25" s="60">
        <f>VLOOKUP($CQ$6,$CM$109:$DP$120,20,TRUE)</f>
        <v>3.6360000000000003E-2</v>
      </c>
      <c r="BI25" s="46">
        <f t="shared" si="68"/>
        <v>83446.200000000012</v>
      </c>
      <c r="BJ25" s="46">
        <f t="shared" si="100"/>
        <v>1568219.3999999997</v>
      </c>
      <c r="BK25" s="46">
        <f t="shared" si="101"/>
        <v>726780.60000000056</v>
      </c>
      <c r="BL25" s="46">
        <f t="shared" si="81"/>
        <v>0</v>
      </c>
      <c r="BM25" s="60">
        <f>VLOOKUP($CQ$6,$CM$109:$DP$120,20,TRUE)</f>
        <v>3.6360000000000003E-2</v>
      </c>
      <c r="BN25" s="46">
        <f t="shared" si="69"/>
        <v>0</v>
      </c>
      <c r="BO25" s="46">
        <f t="shared" si="102"/>
        <v>0</v>
      </c>
      <c r="BP25" s="46">
        <f t="shared" si="103"/>
        <v>0</v>
      </c>
      <c r="BQ25" s="44">
        <f t="shared" si="82"/>
        <v>759336.77271811257</v>
      </c>
      <c r="BR25" s="100">
        <v>2.564E-2</v>
      </c>
      <c r="BS25" s="44">
        <f t="shared" si="45"/>
        <v>35803.149841836734</v>
      </c>
      <c r="BT25" s="44">
        <f t="shared" si="104"/>
        <v>672845.07610331639</v>
      </c>
      <c r="BU25" s="44">
        <f t="shared" si="105"/>
        <v>723533.6228762758</v>
      </c>
      <c r="BV25" s="44">
        <f t="shared" si="83"/>
        <v>775283.41746045975</v>
      </c>
      <c r="BW25" s="100">
        <v>2.5000000000000001E-2</v>
      </c>
      <c r="BX25" s="44">
        <f t="shared" si="46"/>
        <v>34909.467474489793</v>
      </c>
      <c r="BY25" s="44">
        <f t="shared" si="106"/>
        <v>656004.74899362272</v>
      </c>
      <c r="BZ25" s="44">
        <f t="shared" si="107"/>
        <v>740373.94998596993</v>
      </c>
      <c r="CA25" s="44"/>
      <c r="CB25" s="43">
        <f t="shared" si="84"/>
        <v>1247998.0499999996</v>
      </c>
      <c r="CC25" s="100">
        <v>2.564E-2</v>
      </c>
      <c r="CD25" s="43">
        <f t="shared" si="47"/>
        <v>58843.799999999996</v>
      </c>
      <c r="CE25" s="43">
        <f t="shared" si="108"/>
        <v>1105845.7500000002</v>
      </c>
      <c r="CF25" s="43">
        <f t="shared" si="109"/>
        <v>1189154.2499999995</v>
      </c>
      <c r="CG25" s="43">
        <f t="shared" si="85"/>
        <v>0</v>
      </c>
      <c r="CH25" s="100">
        <v>2.564E-2</v>
      </c>
      <c r="CI25" s="43">
        <f t="shared" si="70"/>
        <v>0</v>
      </c>
      <c r="CJ25" s="43">
        <f t="shared" si="110"/>
        <v>0</v>
      </c>
      <c r="CK25" s="43">
        <f t="shared" si="111"/>
        <v>0</v>
      </c>
      <c r="CN25" s="22">
        <v>27</v>
      </c>
      <c r="CO25" s="96">
        <f>BB2</f>
        <v>0.63786666666666669</v>
      </c>
      <c r="CP25" s="22">
        <f>BB3</f>
        <v>1463904</v>
      </c>
      <c r="CR25">
        <f t="shared" si="117"/>
        <v>15</v>
      </c>
      <c r="CT25"/>
      <c r="CU25" s="1">
        <f>CT17-CU21</f>
        <v>22.651200000000003</v>
      </c>
      <c r="DJ25" s="22">
        <v>21</v>
      </c>
      <c r="DK25" s="44">
        <f t="shared" si="12"/>
        <v>83446.200000000012</v>
      </c>
      <c r="DL25" s="44">
        <f t="shared" si="13"/>
        <v>53227.549440000003</v>
      </c>
      <c r="DM25" s="44">
        <f t="shared" si="1"/>
        <v>53227.549440000003</v>
      </c>
      <c r="DN25" s="44">
        <f t="shared" si="2"/>
        <v>53227.549440000003</v>
      </c>
      <c r="DO25" s="44">
        <f t="shared" si="14"/>
        <v>53227.549440000003</v>
      </c>
      <c r="DP25" s="44">
        <f t="shared" si="15"/>
        <v>53227.549440000003</v>
      </c>
      <c r="DQ25" s="44">
        <f t="shared" si="16"/>
        <v>53227.549440000003</v>
      </c>
      <c r="DR25" s="44">
        <f t="shared" si="17"/>
        <v>53227.549440000003</v>
      </c>
      <c r="DS25" s="44">
        <f t="shared" si="3"/>
        <v>15778.482393463675</v>
      </c>
      <c r="DT25" s="44">
        <f t="shared" si="18"/>
        <v>0</v>
      </c>
      <c r="DV25" s="44">
        <f t="shared" si="4"/>
        <v>1735134.7499999995</v>
      </c>
      <c r="DW25" s="44">
        <f t="shared" si="122"/>
        <v>286192.06920000049</v>
      </c>
      <c r="DX25" s="44">
        <f t="shared" si="19"/>
        <v>286192.06920000049</v>
      </c>
      <c r="DY25" s="44">
        <f t="shared" si="123"/>
        <v>286192.06920000026</v>
      </c>
      <c r="DZ25" s="44">
        <f t="shared" si="126"/>
        <v>286192.06920000049</v>
      </c>
      <c r="EA25" s="44">
        <f t="shared" si="21"/>
        <v>-46246.330799999647</v>
      </c>
      <c r="EB25" s="44">
        <f t="shared" si="22"/>
        <v>-212465.5307999996</v>
      </c>
      <c r="EC25" s="44">
        <f t="shared" si="23"/>
        <v>-378684.73079999979</v>
      </c>
      <c r="ED25" s="44">
        <f t="shared" si="128"/>
        <v>-836371.03239346331</v>
      </c>
      <c r="EE25" s="44">
        <f t="shared" si="24"/>
        <v>0</v>
      </c>
      <c r="EG25" s="22">
        <v>21</v>
      </c>
      <c r="EH25" s="44">
        <f t="shared" si="5"/>
        <v>58843.799999999996</v>
      </c>
      <c r="EI25" s="44">
        <f t="shared" si="6"/>
        <v>35803.149841836734</v>
      </c>
      <c r="EJ25" s="44">
        <f t="shared" si="7"/>
        <v>35803.149841836734</v>
      </c>
      <c r="EK25" s="44">
        <f t="shared" si="8"/>
        <v>35803.149841836734</v>
      </c>
      <c r="EL25" s="44">
        <f t="shared" si="25"/>
        <v>35803.149841836734</v>
      </c>
      <c r="EM25" s="44">
        <f t="shared" si="26"/>
        <v>35803.149841836734</v>
      </c>
      <c r="EN25" s="44">
        <f t="shared" si="27"/>
        <v>35803.149841836734</v>
      </c>
      <c r="EO25" s="44">
        <f t="shared" si="28"/>
        <v>35803.149841836734</v>
      </c>
      <c r="EP25" s="44">
        <f t="shared" si="9"/>
        <v>34909.467474489793</v>
      </c>
      <c r="EQ25" s="44">
        <f t="shared" si="29"/>
        <v>0</v>
      </c>
      <c r="ES25" s="44">
        <f t="shared" si="10"/>
        <v>1223533.3500000003</v>
      </c>
      <c r="ET25" s="44">
        <f t="shared" si="124"/>
        <v>478383.1268073977</v>
      </c>
      <c r="EU25" s="44">
        <f t="shared" si="11"/>
        <v>478383.1268073977</v>
      </c>
      <c r="EV25" s="44">
        <f t="shared" si="125"/>
        <v>478383.1268073977</v>
      </c>
      <c r="EW25" s="44">
        <f t="shared" si="127"/>
        <v>478383.12680739793</v>
      </c>
      <c r="EX25" s="44">
        <f t="shared" si="31"/>
        <v>118934.60639923438</v>
      </c>
      <c r="EY25" s="44">
        <f t="shared" si="32"/>
        <v>-60789.653804847039</v>
      </c>
      <c r="EZ25" s="44">
        <f t="shared" si="33"/>
        <v>-240513.9140089287</v>
      </c>
      <c r="FA25" s="44">
        <f t="shared" ref="FA25:FA44" si="129">SUM($Q$12,$V$12,$AF$17,$AZ$27,BY27,-CE26)</f>
        <v>-170059.16179594479</v>
      </c>
      <c r="FB25" s="44">
        <f t="shared" si="34"/>
        <v>0</v>
      </c>
      <c r="FD25" s="22">
        <f t="shared" si="48"/>
        <v>21</v>
      </c>
      <c r="FF25" s="22">
        <f t="shared" si="49"/>
        <v>21</v>
      </c>
      <c r="FG25" s="138">
        <f t="shared" si="50"/>
        <v>2045</v>
      </c>
      <c r="FH25" s="90">
        <f t="shared" si="35"/>
        <v>83446.200000000012</v>
      </c>
      <c r="FI25" s="90">
        <f t="shared" si="36"/>
        <v>0</v>
      </c>
      <c r="FJ25" s="90">
        <f t="shared" si="37"/>
        <v>83446.200000000012</v>
      </c>
      <c r="FK25" s="44">
        <f t="shared" si="51"/>
        <v>53227.549440000003</v>
      </c>
      <c r="FL25" s="90" cm="1">
        <f t="array" ref="FL25">IF($CQ$5&lt;$CP$5,_xlfn.XLOOKUP(FD25,$EG$5:$EG$54,$DN$5:$DN$54),IF(OR(AND($CQ$5&gt;$CP$5,$CQ$5&lt;$CO$5),OR($CQ$5&gt;=$CL$5)),_xlfn.XLOOKUP(FD25,$EG$5:$EG$54,$DM$5:DM$54),IF(AND($CQ$5&gt;$CO$5,$CQ$5&lt;$CN$5),_xlfn.XLOOKUP(FD25,$EG$5:$EG$54,$DO$5:$DO$54),IF(AND($CQ$5&gt;$CN$5,$CQ$5&lt;$CM$5),_xlfn.XLOOKUP(FD25,$EG$5:$EG$54,$DP$5:$DP$54),IF(AND($CQ$5&gt;$CM$5,$CQ$5&lt;$CL$5),_xlfn.XLOOKUP(FD25,$EG$5:$EG$54,$DQ$5:$DQ$54))))))</f>
        <v>53227.549440000003</v>
      </c>
      <c r="FM25" s="44">
        <f t="shared" si="52"/>
        <v>15778.482393463675</v>
      </c>
      <c r="FP25" s="22">
        <f t="shared" si="53"/>
        <v>21</v>
      </c>
      <c r="FR25" s="22">
        <f t="shared" si="54"/>
        <v>21</v>
      </c>
      <c r="FS25" s="138">
        <f t="shared" si="55"/>
        <v>2045</v>
      </c>
      <c r="FT25" s="90">
        <f t="shared" si="38"/>
        <v>58843.799999999996</v>
      </c>
      <c r="FU25" s="90">
        <f t="shared" si="39"/>
        <v>0</v>
      </c>
      <c r="FV25" s="90">
        <f t="shared" si="40"/>
        <v>58843.799999999996</v>
      </c>
      <c r="FW25" s="44">
        <f t="shared" si="56"/>
        <v>35803.149841836734</v>
      </c>
      <c r="FX25" s="90" cm="1">
        <f t="array" ref="FX25">IF($CQ$5&lt;$CP$5,_xlfn.XLOOKUP(FP25,$EG$5:$EG$54,$EK$5:$EK$54),IF(OR(AND($CQ$5&gt;$CP$5,$CQ$5&lt;$CO$5),OR($CQ$5&gt;=$CL$5)),_xlfn.XLOOKUP(FP25,$EG$5:$EG$54,$EJ$5:$EJ$54),IF(AND($CQ$5&gt;$CO$5,$CQ$5&lt;$CN$5),_xlfn.XLOOKUP(FP25,$EG$5:$EG$54,$EL$5:$EL$54),IF(AND($CQ$5&gt;$CN$5,$CQ$5&lt;$CM$5),_xlfn.XLOOKUP(FP25,$EG$5:$EG$54,$EM$5:$EM$54),_xlfn.XLOOKUP(FP25,$EG$5:$EG$54,$EN$5:EN$54,IF(AND($CQ$5&gt;$CM$5,$CQ$5&lt;$CL$5),_xlfn.XLOOKUP(FD24,$EG$5:$EG$54,$EY$5:$EY$54),""))))))</f>
        <v>35803.149841836734</v>
      </c>
      <c r="FY25" s="44">
        <f t="shared" si="57"/>
        <v>34909.467474489793</v>
      </c>
    </row>
    <row r="26" spans="1:183" x14ac:dyDescent="0.25">
      <c r="C26" s="48">
        <v>20</v>
      </c>
      <c r="D26" s="42"/>
      <c r="E26" s="43"/>
      <c r="F26" s="43"/>
      <c r="G26" s="43"/>
      <c r="H26" s="43"/>
      <c r="I26" s="44"/>
      <c r="J26" s="44"/>
      <c r="K26" s="44"/>
      <c r="L26" s="44"/>
      <c r="M26" s="44"/>
      <c r="N26" s="42"/>
      <c r="O26" s="43"/>
      <c r="P26" s="43"/>
      <c r="Q26" s="43"/>
      <c r="R26" s="43"/>
      <c r="S26" s="44"/>
      <c r="T26" s="44"/>
      <c r="U26" s="44"/>
      <c r="V26" s="44"/>
      <c r="W26" s="44"/>
      <c r="X26" s="43"/>
      <c r="Y26" s="43"/>
      <c r="Z26" s="43"/>
      <c r="AA26" s="43"/>
      <c r="AB26" s="43"/>
      <c r="AC26" s="104"/>
      <c r="AD26" s="104"/>
      <c r="AE26" s="104"/>
      <c r="AF26" s="104"/>
      <c r="AG26" s="104"/>
      <c r="AH26" s="44"/>
      <c r="AI26" s="44"/>
      <c r="AJ26" s="44"/>
      <c r="AK26" s="44"/>
      <c r="AL26" s="44"/>
      <c r="AM26" s="43"/>
      <c r="AN26" s="43"/>
      <c r="AO26" s="43"/>
      <c r="AP26" s="43"/>
      <c r="AQ26" s="43"/>
      <c r="AR26" s="44">
        <f t="shared" si="76"/>
        <v>47335.447180391129</v>
      </c>
      <c r="AS26" s="59">
        <v>0.05</v>
      </c>
      <c r="AT26" s="44">
        <f t="shared" si="65"/>
        <v>31556.96478692735</v>
      </c>
      <c r="AU26" s="44">
        <f t="shared" si="94"/>
        <v>615360.81334508315</v>
      </c>
      <c r="AV26" s="44">
        <f t="shared" si="95"/>
        <v>15778.482393463779</v>
      </c>
      <c r="AW26" s="43"/>
      <c r="AX26" s="43"/>
      <c r="AY26" s="43"/>
      <c r="AZ26" s="43"/>
      <c r="BA26" s="43"/>
      <c r="BB26" s="45">
        <f t="shared" si="79"/>
        <v>463589.11872000038</v>
      </c>
      <c r="BC26" s="227">
        <f>VLOOKUP($CQ$6,$CM$109:$DP$120,21,TRUE)</f>
        <v>3.637E-2</v>
      </c>
      <c r="BD26" s="45">
        <f t="shared" si="67"/>
        <v>53242.188479999997</v>
      </c>
      <c r="BE26" s="45">
        <f t="shared" si="98"/>
        <v>1053557.0697599999</v>
      </c>
      <c r="BF26" s="45">
        <f t="shared" si="99"/>
        <v>410346.93024000037</v>
      </c>
      <c r="BG26" s="46">
        <f t="shared" si="80"/>
        <v>726780.60000000056</v>
      </c>
      <c r="BH26" s="60">
        <f>VLOOKUP($CQ$6,$CM$109:$DP$120,21,TRUE)</f>
        <v>3.637E-2</v>
      </c>
      <c r="BI26" s="46">
        <f t="shared" si="68"/>
        <v>83469.149999999994</v>
      </c>
      <c r="BJ26" s="46">
        <f t="shared" si="100"/>
        <v>1651688.5499999996</v>
      </c>
      <c r="BK26" s="46">
        <f t="shared" si="101"/>
        <v>643311.45000000054</v>
      </c>
      <c r="BL26" s="46">
        <f t="shared" si="81"/>
        <v>0</v>
      </c>
      <c r="BM26" s="60">
        <f>VLOOKUP($CQ$6,$CM$109:$DP$120,21,TRUE)</f>
        <v>3.637E-2</v>
      </c>
      <c r="BN26" s="46">
        <f t="shared" si="69"/>
        <v>0</v>
      </c>
      <c r="BO26" s="46">
        <f t="shared" si="102"/>
        <v>0</v>
      </c>
      <c r="BP26" s="46">
        <f t="shared" si="103"/>
        <v>0</v>
      </c>
      <c r="BQ26" s="44">
        <f t="shared" si="82"/>
        <v>723533.6228762758</v>
      </c>
      <c r="BR26" s="100">
        <v>2.564E-2</v>
      </c>
      <c r="BS26" s="44">
        <f t="shared" si="45"/>
        <v>35803.149841836734</v>
      </c>
      <c r="BT26" s="44">
        <f t="shared" si="104"/>
        <v>708648.22594515316</v>
      </c>
      <c r="BU26" s="44">
        <f t="shared" si="105"/>
        <v>687730.47303443903</v>
      </c>
      <c r="BV26" s="44">
        <f t="shared" si="83"/>
        <v>740373.94998596993</v>
      </c>
      <c r="BW26" s="100">
        <v>2.5000000000000001E-2</v>
      </c>
      <c r="BX26" s="44">
        <f t="shared" si="46"/>
        <v>34909.467474489793</v>
      </c>
      <c r="BY26" s="44">
        <f t="shared" si="106"/>
        <v>690914.21646811254</v>
      </c>
      <c r="BZ26" s="44">
        <f t="shared" si="107"/>
        <v>705464.48251148011</v>
      </c>
      <c r="CA26" s="44"/>
      <c r="CB26" s="43">
        <f t="shared" si="84"/>
        <v>1189154.2499999995</v>
      </c>
      <c r="CC26" s="100">
        <v>2.564E-2</v>
      </c>
      <c r="CD26" s="43">
        <f t="shared" si="47"/>
        <v>58843.799999999996</v>
      </c>
      <c r="CE26" s="43">
        <f t="shared" si="108"/>
        <v>1164689.5500000003</v>
      </c>
      <c r="CF26" s="43">
        <f t="shared" si="109"/>
        <v>1130310.4499999995</v>
      </c>
      <c r="CG26" s="43">
        <f t="shared" si="85"/>
        <v>0</v>
      </c>
      <c r="CH26" s="100">
        <v>2.564E-2</v>
      </c>
      <c r="CI26" s="43">
        <f t="shared" si="70"/>
        <v>0</v>
      </c>
      <c r="CJ26" s="43">
        <f t="shared" si="110"/>
        <v>0</v>
      </c>
      <c r="CK26" s="43">
        <f t="shared" si="111"/>
        <v>0</v>
      </c>
      <c r="CO26" s="96">
        <f>SUM(CO22:CO25)</f>
        <v>1</v>
      </c>
      <c r="CP26" s="22">
        <f>SUM(CP22:CP25)</f>
        <v>2295000</v>
      </c>
      <c r="CR26">
        <f t="shared" si="117"/>
        <v>16</v>
      </c>
      <c r="CT26"/>
      <c r="CU26" s="18">
        <f>CU25*0.001</f>
        <v>2.2651200000000003E-2</v>
      </c>
      <c r="DJ26" s="22">
        <v>22</v>
      </c>
      <c r="DK26" s="44">
        <f t="shared" si="12"/>
        <v>83469.149999999994</v>
      </c>
      <c r="DL26" s="44">
        <f t="shared" si="13"/>
        <v>53242.188479999997</v>
      </c>
      <c r="DM26" s="44">
        <f t="shared" si="1"/>
        <v>53242.188479999997</v>
      </c>
      <c r="DN26" s="44">
        <f t="shared" si="2"/>
        <v>53242.188479999997</v>
      </c>
      <c r="DO26" s="44">
        <f t="shared" si="14"/>
        <v>53242.188479999997</v>
      </c>
      <c r="DP26" s="44">
        <f t="shared" si="15"/>
        <v>53242.188479999997</v>
      </c>
      <c r="DQ26" s="44">
        <f t="shared" si="16"/>
        <v>53242.188479999997</v>
      </c>
      <c r="DR26" s="44">
        <f t="shared" si="17"/>
        <v>53242.188479999997</v>
      </c>
      <c r="DS26" s="44">
        <f t="shared" si="3"/>
        <v>0</v>
      </c>
      <c r="DT26" s="44">
        <f t="shared" si="18"/>
        <v>0</v>
      </c>
      <c r="DV26" s="44">
        <f t="shared" si="4"/>
        <v>1818603.8999999994</v>
      </c>
      <c r="DW26" s="44">
        <f t="shared" si="122"/>
        <v>255988.05768000055</v>
      </c>
      <c r="DX26" s="44">
        <f t="shared" si="19"/>
        <v>255988.05768000055</v>
      </c>
      <c r="DY26" s="44">
        <f t="shared" si="123"/>
        <v>255988.05768000032</v>
      </c>
      <c r="DZ26" s="44">
        <f t="shared" si="126"/>
        <v>255988.05768000055</v>
      </c>
      <c r="EA26" s="44">
        <f t="shared" si="21"/>
        <v>-76450.342319999589</v>
      </c>
      <c r="EB26" s="44">
        <f t="shared" si="22"/>
        <v>-242669.54231999954</v>
      </c>
      <c r="EC26" s="44">
        <f t="shared" si="23"/>
        <v>-408888.74231999973</v>
      </c>
      <c r="ED26" s="44">
        <f t="shared" si="128"/>
        <v>-919817.23239346326</v>
      </c>
      <c r="EE26" s="44">
        <f t="shared" si="24"/>
        <v>0</v>
      </c>
      <c r="EG26" s="22">
        <v>22</v>
      </c>
      <c r="EH26" s="44">
        <f t="shared" si="5"/>
        <v>58843.799999999996</v>
      </c>
      <c r="EI26" s="44">
        <f t="shared" si="6"/>
        <v>35803.149841836734</v>
      </c>
      <c r="EJ26" s="44">
        <f t="shared" si="7"/>
        <v>35803.149841836734</v>
      </c>
      <c r="EK26" s="44">
        <f t="shared" si="8"/>
        <v>35803.149841836734</v>
      </c>
      <c r="EL26" s="44">
        <f t="shared" si="25"/>
        <v>35803.149841836734</v>
      </c>
      <c r="EM26" s="44">
        <f t="shared" si="26"/>
        <v>35803.149841836734</v>
      </c>
      <c r="EN26" s="44">
        <f t="shared" si="27"/>
        <v>35803.149841836734</v>
      </c>
      <c r="EO26" s="44">
        <f t="shared" si="28"/>
        <v>35803.149841836734</v>
      </c>
      <c r="EP26" s="44">
        <f t="shared" si="9"/>
        <v>34909.467474489793</v>
      </c>
      <c r="EQ26" s="44">
        <f t="shared" si="29"/>
        <v>0</v>
      </c>
      <c r="ES26" s="44">
        <f t="shared" si="10"/>
        <v>1282377.1500000004</v>
      </c>
      <c r="ET26" s="44">
        <f t="shared" si="124"/>
        <v>455342.47664923454</v>
      </c>
      <c r="EU26" s="44">
        <f t="shared" si="11"/>
        <v>455342.47664923454</v>
      </c>
      <c r="EV26" s="44">
        <f t="shared" si="125"/>
        <v>455342.47664923454</v>
      </c>
      <c r="EW26" s="44">
        <f t="shared" si="127"/>
        <v>455342.47664923477</v>
      </c>
      <c r="EX26" s="44">
        <f t="shared" si="31"/>
        <v>95893.956241071224</v>
      </c>
      <c r="EY26" s="44">
        <f t="shared" si="32"/>
        <v>-83830.303963010432</v>
      </c>
      <c r="EZ26" s="44">
        <f t="shared" si="33"/>
        <v>-263554.56416709197</v>
      </c>
      <c r="FA26" s="44">
        <f t="shared" si="129"/>
        <v>-193993.49432145501</v>
      </c>
      <c r="FB26" s="44">
        <f t="shared" si="34"/>
        <v>0</v>
      </c>
      <c r="FD26" s="22">
        <f t="shared" si="48"/>
        <v>22</v>
      </c>
      <c r="FF26" s="22">
        <f t="shared" si="49"/>
        <v>22</v>
      </c>
      <c r="FG26" s="138">
        <f t="shared" si="50"/>
        <v>2046</v>
      </c>
      <c r="FH26" s="90">
        <f t="shared" si="35"/>
        <v>83469.149999999994</v>
      </c>
      <c r="FI26" s="90">
        <f t="shared" si="36"/>
        <v>0</v>
      </c>
      <c r="FJ26" s="90">
        <f t="shared" si="37"/>
        <v>83469.149999999994</v>
      </c>
      <c r="FK26" s="44">
        <f t="shared" si="51"/>
        <v>53242.188479999997</v>
      </c>
      <c r="FL26" s="90" cm="1">
        <f t="array" ref="FL26">IF($CQ$5&lt;$CP$5,_xlfn.XLOOKUP(FD26,$EG$5:$EG$54,$DN$5:$DN$54),IF(OR(AND($CQ$5&gt;$CP$5,$CQ$5&lt;$CO$5),OR($CQ$5&gt;=$CL$5)),_xlfn.XLOOKUP(FD26,$EG$5:$EG$54,$DM$5:DM$54),IF(AND($CQ$5&gt;$CO$5,$CQ$5&lt;$CN$5),_xlfn.XLOOKUP(FD26,$EG$5:$EG$54,$DO$5:$DO$54),IF(AND($CQ$5&gt;$CN$5,$CQ$5&lt;$CM$5),_xlfn.XLOOKUP(FD26,$EG$5:$EG$54,$DP$5:$DP$54),IF(AND($CQ$5&gt;$CM$5,$CQ$5&lt;$CL$5),_xlfn.XLOOKUP(FD26,$EG$5:$EG$54,$DQ$5:$DQ$54))))))</f>
        <v>53242.188479999997</v>
      </c>
      <c r="FM26" s="44">
        <f t="shared" si="52"/>
        <v>0</v>
      </c>
      <c r="FP26" s="22">
        <f t="shared" si="53"/>
        <v>22</v>
      </c>
      <c r="FR26" s="22">
        <f t="shared" si="54"/>
        <v>22</v>
      </c>
      <c r="FS26" s="138">
        <f t="shared" si="55"/>
        <v>2046</v>
      </c>
      <c r="FT26" s="90">
        <f t="shared" si="38"/>
        <v>58843.799999999996</v>
      </c>
      <c r="FU26" s="90">
        <f t="shared" si="39"/>
        <v>0</v>
      </c>
      <c r="FV26" s="90">
        <f t="shared" si="40"/>
        <v>58843.799999999996</v>
      </c>
      <c r="FW26" s="44">
        <f t="shared" si="56"/>
        <v>35803.149841836734</v>
      </c>
      <c r="FX26" s="90" cm="1">
        <f t="array" ref="FX26">IF($CQ$5&lt;$CP$5,_xlfn.XLOOKUP(FP26,$EG$5:$EG$54,$EK$5:$EK$54),IF(OR(AND($CQ$5&gt;$CP$5,$CQ$5&lt;$CO$5),OR($CQ$5&gt;=$CL$5)),_xlfn.XLOOKUP(FP26,$EG$5:$EG$54,$EJ$5:$EJ$54),IF(AND($CQ$5&gt;$CO$5,$CQ$5&lt;$CN$5),_xlfn.XLOOKUP(FP26,$EG$5:$EG$54,$EL$5:$EL$54),IF(AND($CQ$5&gt;$CN$5,$CQ$5&lt;$CM$5),_xlfn.XLOOKUP(FP26,$EG$5:$EG$54,$EM$5:$EM$54),_xlfn.XLOOKUP(FP26,$EG$5:$EG$54,$EN$5:EN$54,IF(AND($CQ$5&gt;$CM$5,$CQ$5&lt;$CL$5),_xlfn.XLOOKUP(FD25,$EG$5:$EG$54,$EY$5:$EY$54),""))))))</f>
        <v>35803.149841836734</v>
      </c>
      <c r="FY26" s="44">
        <f t="shared" si="57"/>
        <v>34909.467474489793</v>
      </c>
    </row>
    <row r="27" spans="1:183" x14ac:dyDescent="0.25">
      <c r="C27" s="48">
        <v>21</v>
      </c>
      <c r="D27" s="86"/>
      <c r="E27" s="87"/>
      <c r="F27" s="87"/>
      <c r="G27" s="87"/>
      <c r="H27" s="87"/>
      <c r="I27" s="4"/>
      <c r="J27" s="4"/>
      <c r="K27" s="4"/>
      <c r="L27" s="4"/>
      <c r="M27" s="4"/>
      <c r="N27" s="86"/>
      <c r="O27" s="87"/>
      <c r="P27" s="87"/>
      <c r="Q27" s="87"/>
      <c r="R27" s="87"/>
      <c r="S27" s="4"/>
      <c r="T27" s="4"/>
      <c r="U27" s="4"/>
      <c r="V27" s="4"/>
      <c r="W27" s="4"/>
      <c r="X27" s="43"/>
      <c r="Y27" s="43"/>
      <c r="Z27" s="43"/>
      <c r="AA27" s="43"/>
      <c r="AB27" s="43"/>
      <c r="AC27" s="104"/>
      <c r="AD27" s="104"/>
      <c r="AE27" s="104"/>
      <c r="AF27" s="104"/>
      <c r="AG27" s="104"/>
      <c r="AH27" s="44"/>
      <c r="AI27" s="44"/>
      <c r="AJ27" s="44"/>
      <c r="AK27" s="44"/>
      <c r="AL27" s="44"/>
      <c r="AM27" s="43"/>
      <c r="AN27" s="43"/>
      <c r="AO27" s="43"/>
      <c r="AP27" s="43"/>
      <c r="AQ27" s="43"/>
      <c r="AR27" s="44">
        <f t="shared" si="76"/>
        <v>15778.482393463779</v>
      </c>
      <c r="AS27" s="59">
        <v>2.5000000000000001E-2</v>
      </c>
      <c r="AT27" s="44">
        <f t="shared" si="65"/>
        <v>15778.482393463675</v>
      </c>
      <c r="AU27" s="44">
        <f t="shared" si="94"/>
        <v>631139.29573854688</v>
      </c>
      <c r="AV27" s="44">
        <f t="shared" si="95"/>
        <v>1.0368239600211382E-10</v>
      </c>
      <c r="AW27" s="43"/>
      <c r="AX27" s="43"/>
      <c r="AY27" s="43"/>
      <c r="AZ27" s="43"/>
      <c r="BA27" s="43"/>
      <c r="BB27" s="45">
        <f t="shared" si="79"/>
        <v>410346.93024000037</v>
      </c>
      <c r="BC27" s="227">
        <f>VLOOKUP($CQ$6,$CM$109:$DP$120,22,TRUE)</f>
        <v>3.6360000000000003E-2</v>
      </c>
      <c r="BD27" s="45">
        <f t="shared" si="67"/>
        <v>53227.549440000003</v>
      </c>
      <c r="BE27" s="45">
        <f t="shared" si="98"/>
        <v>1106784.6191999998</v>
      </c>
      <c r="BF27" s="45">
        <f t="shared" si="99"/>
        <v>357119.38080000039</v>
      </c>
      <c r="BG27" s="46">
        <f t="shared" si="80"/>
        <v>643311.45000000054</v>
      </c>
      <c r="BH27" s="60">
        <f>VLOOKUP($CQ$6,$CM$109:$DP$120,22,TRUE)</f>
        <v>3.6360000000000003E-2</v>
      </c>
      <c r="BI27" s="46">
        <f t="shared" si="68"/>
        <v>83446.200000000012</v>
      </c>
      <c r="BJ27" s="46">
        <f t="shared" si="100"/>
        <v>1735134.7499999995</v>
      </c>
      <c r="BK27" s="46">
        <f t="shared" si="101"/>
        <v>559865.25000000047</v>
      </c>
      <c r="BL27" s="46">
        <f t="shared" si="81"/>
        <v>0</v>
      </c>
      <c r="BM27" s="60">
        <f>VLOOKUP($CQ$6,$CM$109:$DP$120,22,TRUE)</f>
        <v>3.6360000000000003E-2</v>
      </c>
      <c r="BN27" s="46">
        <f t="shared" si="69"/>
        <v>0</v>
      </c>
      <c r="BO27" s="46">
        <f t="shared" si="102"/>
        <v>0</v>
      </c>
      <c r="BP27" s="46">
        <f t="shared" si="103"/>
        <v>0</v>
      </c>
      <c r="BQ27" s="44">
        <f t="shared" si="82"/>
        <v>687730.47303443903</v>
      </c>
      <c r="BR27" s="100">
        <v>2.564E-2</v>
      </c>
      <c r="BS27" s="44">
        <f t="shared" si="45"/>
        <v>35803.149841836734</v>
      </c>
      <c r="BT27" s="44">
        <f t="shared" si="104"/>
        <v>744451.37578698993</v>
      </c>
      <c r="BU27" s="44">
        <f t="shared" si="105"/>
        <v>651927.32319260226</v>
      </c>
      <c r="BV27" s="44">
        <f t="shared" si="83"/>
        <v>705464.48251148011</v>
      </c>
      <c r="BW27" s="100">
        <v>2.5000000000000001E-2</v>
      </c>
      <c r="BX27" s="44">
        <f t="shared" si="46"/>
        <v>34909.467474489793</v>
      </c>
      <c r="BY27" s="44">
        <f t="shared" si="106"/>
        <v>725823.68394260237</v>
      </c>
      <c r="BZ27" s="44">
        <f t="shared" si="107"/>
        <v>670555.01503699028</v>
      </c>
      <c r="CA27" s="44"/>
      <c r="CB27" s="43">
        <f t="shared" si="84"/>
        <v>1130310.4499999995</v>
      </c>
      <c r="CC27" s="100">
        <v>2.564E-2</v>
      </c>
      <c r="CD27" s="43">
        <f t="shared" si="47"/>
        <v>58843.799999999996</v>
      </c>
      <c r="CE27" s="43">
        <f t="shared" si="108"/>
        <v>1223533.3500000003</v>
      </c>
      <c r="CF27" s="43">
        <f t="shared" si="109"/>
        <v>1071466.6499999994</v>
      </c>
      <c r="CG27" s="43">
        <f t="shared" si="85"/>
        <v>0</v>
      </c>
      <c r="CH27" s="100">
        <v>2.564E-2</v>
      </c>
      <c r="CI27" s="43">
        <f t="shared" si="70"/>
        <v>0</v>
      </c>
      <c r="CJ27" s="43">
        <f t="shared" si="110"/>
        <v>0</v>
      </c>
      <c r="CK27" s="43">
        <f t="shared" si="111"/>
        <v>0</v>
      </c>
      <c r="CR27">
        <f t="shared" si="117"/>
        <v>17</v>
      </c>
      <c r="CT27"/>
      <c r="CU27" s="1">
        <f>CU26*-CU23</f>
        <v>-2.2651200000000003E-4</v>
      </c>
      <c r="DJ27" s="22">
        <v>23</v>
      </c>
      <c r="DK27" s="44">
        <f t="shared" si="12"/>
        <v>83446.200000000012</v>
      </c>
      <c r="DL27" s="44">
        <f t="shared" si="13"/>
        <v>53227.549440000003</v>
      </c>
      <c r="DM27" s="44">
        <f t="shared" si="1"/>
        <v>53227.549440000003</v>
      </c>
      <c r="DN27" s="44">
        <f t="shared" si="2"/>
        <v>53227.549440000003</v>
      </c>
      <c r="DO27" s="44">
        <f t="shared" si="14"/>
        <v>53227.549440000003</v>
      </c>
      <c r="DP27" s="44">
        <f t="shared" si="15"/>
        <v>53227.549440000003</v>
      </c>
      <c r="DQ27" s="44">
        <f t="shared" si="16"/>
        <v>53227.549440000003</v>
      </c>
      <c r="DR27" s="44">
        <f t="shared" si="17"/>
        <v>53227.549440000003</v>
      </c>
      <c r="DS27" s="44">
        <f t="shared" si="3"/>
        <v>0</v>
      </c>
      <c r="DT27" s="44">
        <f t="shared" si="18"/>
        <v>0</v>
      </c>
      <c r="DV27" s="44">
        <f t="shared" si="4"/>
        <v>1902050.0999999994</v>
      </c>
      <c r="DW27" s="44">
        <f t="shared" si="122"/>
        <v>225746.45712000038</v>
      </c>
      <c r="DX27" s="44">
        <f t="shared" si="19"/>
        <v>225746.45712000038</v>
      </c>
      <c r="DY27" s="44">
        <f t="shared" si="123"/>
        <v>225746.45712000038</v>
      </c>
      <c r="DZ27" s="44">
        <f t="shared" si="126"/>
        <v>225746.45712000062</v>
      </c>
      <c r="EA27" s="44">
        <f t="shared" si="21"/>
        <v>-106691.94287999952</v>
      </c>
      <c r="EB27" s="44">
        <f t="shared" si="22"/>
        <v>-272911.14287999948</v>
      </c>
      <c r="EC27" s="44">
        <f t="shared" si="23"/>
        <v>-439130.34287999966</v>
      </c>
      <c r="ED27" s="44">
        <f t="shared" si="128"/>
        <v>-1003286.3823934632</v>
      </c>
      <c r="EE27" s="44">
        <f t="shared" si="24"/>
        <v>0</v>
      </c>
      <c r="EG27" s="22">
        <v>23</v>
      </c>
      <c r="EH27" s="44">
        <f t="shared" si="5"/>
        <v>58843.799999999996</v>
      </c>
      <c r="EI27" s="44">
        <f t="shared" si="6"/>
        <v>35803.149841836734</v>
      </c>
      <c r="EJ27" s="44">
        <f t="shared" si="7"/>
        <v>35803.149841836734</v>
      </c>
      <c r="EK27" s="44">
        <f t="shared" si="8"/>
        <v>35803.149841836734</v>
      </c>
      <c r="EL27" s="44">
        <f t="shared" si="25"/>
        <v>35803.149841836734</v>
      </c>
      <c r="EM27" s="44">
        <f t="shared" si="26"/>
        <v>35803.149841836734</v>
      </c>
      <c r="EN27" s="44">
        <f t="shared" si="27"/>
        <v>35803.149841836734</v>
      </c>
      <c r="EO27" s="44">
        <f t="shared" si="28"/>
        <v>35803.149841836734</v>
      </c>
      <c r="EP27" s="44">
        <f t="shared" si="9"/>
        <v>34909.467474489793</v>
      </c>
      <c r="EQ27" s="44">
        <f t="shared" si="29"/>
        <v>0</v>
      </c>
      <c r="ES27" s="44">
        <f t="shared" si="10"/>
        <v>1341220.9500000004</v>
      </c>
      <c r="ET27" s="44">
        <f t="shared" si="124"/>
        <v>432301.82649107138</v>
      </c>
      <c r="EU27" s="44">
        <f t="shared" si="11"/>
        <v>432301.82649107138</v>
      </c>
      <c r="EV27" s="44">
        <f t="shared" si="125"/>
        <v>432301.82649107138</v>
      </c>
      <c r="EW27" s="44">
        <f t="shared" si="127"/>
        <v>432301.82649107138</v>
      </c>
      <c r="EX27" s="44">
        <f t="shared" si="31"/>
        <v>72853.306082908064</v>
      </c>
      <c r="EY27" s="44">
        <f t="shared" si="32"/>
        <v>-106870.95412117359</v>
      </c>
      <c r="EZ27" s="44">
        <f t="shared" si="33"/>
        <v>-286595.21432525525</v>
      </c>
      <c r="FA27" s="44">
        <f t="shared" si="129"/>
        <v>-217927.82684696512</v>
      </c>
      <c r="FB27" s="44">
        <f t="shared" si="34"/>
        <v>0</v>
      </c>
      <c r="FD27" s="22">
        <f t="shared" si="48"/>
        <v>23</v>
      </c>
      <c r="FF27" s="22">
        <f t="shared" si="49"/>
        <v>23</v>
      </c>
      <c r="FG27" s="138">
        <f t="shared" si="50"/>
        <v>2047</v>
      </c>
      <c r="FH27" s="90">
        <f t="shared" si="35"/>
        <v>83446.200000000012</v>
      </c>
      <c r="FI27" s="90">
        <f t="shared" si="36"/>
        <v>0</v>
      </c>
      <c r="FJ27" s="90">
        <f t="shared" si="37"/>
        <v>83446.200000000012</v>
      </c>
      <c r="FK27" s="44">
        <f t="shared" si="51"/>
        <v>53227.549440000003</v>
      </c>
      <c r="FL27" s="90" cm="1">
        <f t="array" ref="FL27">IF($CQ$5&lt;$CP$5,_xlfn.XLOOKUP(FD27,$EG$5:$EG$54,$DN$5:$DN$54),IF(OR(AND($CQ$5&gt;$CP$5,$CQ$5&lt;$CO$5),OR($CQ$5&gt;=$CL$5)),_xlfn.XLOOKUP(FD27,$EG$5:$EG$54,$DM$5:DM$54),IF(AND($CQ$5&gt;$CO$5,$CQ$5&lt;$CN$5),_xlfn.XLOOKUP(FD27,$EG$5:$EG$54,$DO$5:$DO$54),IF(AND($CQ$5&gt;$CN$5,$CQ$5&lt;$CM$5),_xlfn.XLOOKUP(FD27,$EG$5:$EG$54,$DP$5:$DP$54),IF(AND($CQ$5&gt;$CM$5,$CQ$5&lt;$CL$5),_xlfn.XLOOKUP(FD27,$EG$5:$EG$54,$DQ$5:$DQ$54))))))</f>
        <v>53227.549440000003</v>
      </c>
      <c r="FM27" s="44">
        <f t="shared" si="52"/>
        <v>0</v>
      </c>
      <c r="FP27" s="22">
        <f t="shared" si="53"/>
        <v>23</v>
      </c>
      <c r="FR27" s="22">
        <f t="shared" si="54"/>
        <v>23</v>
      </c>
      <c r="FS27" s="138">
        <f t="shared" si="55"/>
        <v>2047</v>
      </c>
      <c r="FT27" s="90">
        <f t="shared" si="38"/>
        <v>58843.799999999996</v>
      </c>
      <c r="FU27" s="90">
        <f t="shared" si="39"/>
        <v>0</v>
      </c>
      <c r="FV27" s="90">
        <f t="shared" si="40"/>
        <v>58843.799999999996</v>
      </c>
      <c r="FW27" s="44">
        <f t="shared" si="56"/>
        <v>35803.149841836734</v>
      </c>
      <c r="FX27" s="90" cm="1">
        <f t="array" ref="FX27">IF($CQ$5&lt;$CP$5,_xlfn.XLOOKUP(FP27,$EG$5:$EG$54,$EK$5:$EK$54),IF(OR(AND($CQ$5&gt;$CP$5,$CQ$5&lt;$CO$5),OR($CQ$5&gt;=$CL$5)),_xlfn.XLOOKUP(FP27,$EG$5:$EG$54,$EJ$5:$EJ$54),IF(AND($CQ$5&gt;$CO$5,$CQ$5&lt;$CN$5),_xlfn.XLOOKUP(FP27,$EG$5:$EG$54,$EL$5:$EL$54),IF(AND($CQ$5&gt;$CN$5,$CQ$5&lt;$CM$5),_xlfn.XLOOKUP(FP27,$EG$5:$EG$54,$EM$5:$EM$54),_xlfn.XLOOKUP(FP27,$EG$5:$EG$54,$EN$5:EN$54,IF(AND($CQ$5&gt;$CM$5,$CQ$5&lt;$CL$5),_xlfn.XLOOKUP(FD26,$EG$5:$EG$54,$EY$5:$EY$54),""))))))</f>
        <v>35803.149841836734</v>
      </c>
      <c r="FY27" s="44">
        <f t="shared" si="57"/>
        <v>34909.467474489793</v>
      </c>
    </row>
    <row r="28" spans="1:183" x14ac:dyDescent="0.25">
      <c r="C28" s="48">
        <v>22</v>
      </c>
      <c r="D28" s="86"/>
      <c r="E28" s="87"/>
      <c r="F28" s="87"/>
      <c r="G28" s="87"/>
      <c r="H28" s="87"/>
      <c r="I28" s="4"/>
      <c r="J28" s="4"/>
      <c r="K28" s="4"/>
      <c r="L28" s="4"/>
      <c r="M28" s="4"/>
      <c r="N28" s="86"/>
      <c r="O28" s="87"/>
      <c r="P28" s="87"/>
      <c r="Q28" s="87"/>
      <c r="R28" s="87"/>
      <c r="S28" s="4"/>
      <c r="T28" s="4"/>
      <c r="U28" s="4"/>
      <c r="V28" s="4"/>
      <c r="W28" s="4"/>
      <c r="X28" s="43"/>
      <c r="Y28" s="43"/>
      <c r="Z28" s="43"/>
      <c r="AA28" s="43"/>
      <c r="AB28" s="43"/>
      <c r="AC28" s="104"/>
      <c r="AD28" s="104"/>
      <c r="AE28" s="104"/>
      <c r="AF28" s="104"/>
      <c r="AG28" s="104"/>
      <c r="AH28" s="44"/>
      <c r="AI28" s="44"/>
      <c r="AJ28" s="44"/>
      <c r="AK28" s="44"/>
      <c r="AL28" s="44"/>
      <c r="AM28" s="43"/>
      <c r="AN28" s="43"/>
      <c r="AO28" s="43"/>
      <c r="AP28" s="43"/>
      <c r="AQ28" s="43"/>
      <c r="AR28" s="44">
        <f t="shared" si="76"/>
        <v>1.0368239600211382E-10</v>
      </c>
      <c r="AS28" s="44"/>
      <c r="AT28" s="44"/>
      <c r="AU28" s="44"/>
      <c r="AV28" s="44"/>
      <c r="AW28" s="43"/>
      <c r="AX28" s="43"/>
      <c r="AY28" s="43"/>
      <c r="AZ28" s="43"/>
      <c r="BA28" s="43"/>
      <c r="BB28" s="45">
        <f t="shared" si="79"/>
        <v>357119.38080000039</v>
      </c>
      <c r="BC28" s="227">
        <f>VLOOKUP($CQ$6,$CM$109:$DP$120,23,TRUE)</f>
        <v>3.637E-2</v>
      </c>
      <c r="BD28" s="45">
        <f t="shared" si="67"/>
        <v>53242.188479999997</v>
      </c>
      <c r="BE28" s="45">
        <f t="shared" si="98"/>
        <v>1160026.8076799999</v>
      </c>
      <c r="BF28" s="45">
        <f t="shared" si="99"/>
        <v>303877.19232000038</v>
      </c>
      <c r="BG28" s="46">
        <f t="shared" si="80"/>
        <v>559865.25000000047</v>
      </c>
      <c r="BH28" s="60">
        <f>VLOOKUP($CQ$6,$CM$109:$DP$120,23,TRUE)</f>
        <v>3.637E-2</v>
      </c>
      <c r="BI28" s="46">
        <f t="shared" si="68"/>
        <v>83469.149999999994</v>
      </c>
      <c r="BJ28" s="46">
        <f t="shared" si="100"/>
        <v>1818603.8999999994</v>
      </c>
      <c r="BK28" s="46">
        <f t="shared" si="101"/>
        <v>476396.10000000044</v>
      </c>
      <c r="BL28" s="46">
        <f t="shared" si="81"/>
        <v>0</v>
      </c>
      <c r="BM28" s="60">
        <f>VLOOKUP($CQ$6,$CM$109:$DP$120,23,TRUE)</f>
        <v>3.637E-2</v>
      </c>
      <c r="BN28" s="46">
        <f t="shared" si="69"/>
        <v>0</v>
      </c>
      <c r="BO28" s="46">
        <f t="shared" si="102"/>
        <v>0</v>
      </c>
      <c r="BP28" s="46">
        <f t="shared" si="103"/>
        <v>0</v>
      </c>
      <c r="BQ28" s="44">
        <f t="shared" si="82"/>
        <v>651927.32319260226</v>
      </c>
      <c r="BR28" s="100">
        <v>2.564E-2</v>
      </c>
      <c r="BS28" s="44">
        <f t="shared" si="45"/>
        <v>35803.149841836734</v>
      </c>
      <c r="BT28" s="44">
        <f t="shared" si="104"/>
        <v>780254.5256288267</v>
      </c>
      <c r="BU28" s="44">
        <f t="shared" si="105"/>
        <v>616124.17335076549</v>
      </c>
      <c r="BV28" s="44">
        <f t="shared" si="83"/>
        <v>670555.01503699028</v>
      </c>
      <c r="BW28" s="100">
        <v>2.5000000000000001E-2</v>
      </c>
      <c r="BX28" s="44">
        <f t="shared" si="46"/>
        <v>34909.467474489793</v>
      </c>
      <c r="BY28" s="44">
        <f t="shared" si="106"/>
        <v>760733.15141709219</v>
      </c>
      <c r="BZ28" s="44">
        <f t="shared" si="107"/>
        <v>635645.54756250046</v>
      </c>
      <c r="CA28" s="44"/>
      <c r="CB28" s="43">
        <f t="shared" si="84"/>
        <v>1071466.6499999994</v>
      </c>
      <c r="CC28" s="100">
        <v>2.564E-2</v>
      </c>
      <c r="CD28" s="43">
        <f t="shared" si="47"/>
        <v>58843.799999999996</v>
      </c>
      <c r="CE28" s="43">
        <f t="shared" si="108"/>
        <v>1282377.1500000004</v>
      </c>
      <c r="CF28" s="43">
        <f t="shared" si="109"/>
        <v>1012622.8499999994</v>
      </c>
      <c r="CG28" s="43">
        <f t="shared" si="85"/>
        <v>0</v>
      </c>
      <c r="CH28" s="100">
        <v>2.564E-2</v>
      </c>
      <c r="CI28" s="43">
        <f t="shared" si="70"/>
        <v>0</v>
      </c>
      <c r="CJ28" s="43">
        <f t="shared" si="110"/>
        <v>0</v>
      </c>
      <c r="CK28" s="43">
        <f t="shared" si="111"/>
        <v>0</v>
      </c>
      <c r="CR28">
        <f t="shared" si="117"/>
        <v>18</v>
      </c>
      <c r="CT28"/>
      <c r="CU28" s="19">
        <f>2.71828183^(CU27)</f>
        <v>0.99977351365177791</v>
      </c>
      <c r="DJ28" s="22">
        <v>24</v>
      </c>
      <c r="DK28" s="44">
        <f t="shared" si="12"/>
        <v>83469.149999999994</v>
      </c>
      <c r="DL28" s="44">
        <f t="shared" si="13"/>
        <v>53242.188479999997</v>
      </c>
      <c r="DM28" s="44">
        <f t="shared" si="1"/>
        <v>53242.188479999997</v>
      </c>
      <c r="DN28" s="44">
        <f t="shared" si="2"/>
        <v>53242.188479999997</v>
      </c>
      <c r="DO28" s="44">
        <f t="shared" si="14"/>
        <v>53242.188479999997</v>
      </c>
      <c r="DP28" s="44">
        <f t="shared" si="15"/>
        <v>53242.188479999997</v>
      </c>
      <c r="DQ28" s="44">
        <f t="shared" si="16"/>
        <v>53242.188479999997</v>
      </c>
      <c r="DR28" s="44">
        <f t="shared" si="17"/>
        <v>53242.188479999997</v>
      </c>
      <c r="DS28" s="44">
        <f t="shared" si="3"/>
        <v>0</v>
      </c>
      <c r="DT28" s="44">
        <f t="shared" si="18"/>
        <v>0</v>
      </c>
      <c r="DV28" s="44">
        <f t="shared" si="4"/>
        <v>1985519.2499999993</v>
      </c>
      <c r="DW28" s="44">
        <f t="shared" si="122"/>
        <v>195542.44560000044</v>
      </c>
      <c r="DX28" s="44">
        <f t="shared" si="19"/>
        <v>195542.44560000044</v>
      </c>
      <c r="DY28" s="44">
        <f t="shared" si="123"/>
        <v>195542.44560000044</v>
      </c>
      <c r="DZ28" s="44">
        <f t="shared" si="126"/>
        <v>195542.44560000044</v>
      </c>
      <c r="EA28" s="44">
        <f t="shared" si="21"/>
        <v>-136895.95439999946</v>
      </c>
      <c r="EB28" s="44">
        <f t="shared" si="22"/>
        <v>-303115.15439999942</v>
      </c>
      <c r="EC28" s="44">
        <f t="shared" si="23"/>
        <v>-469334.3543999996</v>
      </c>
      <c r="ED28" s="44">
        <f t="shared" si="128"/>
        <v>-1086732.5823934632</v>
      </c>
      <c r="EE28" s="44">
        <f t="shared" si="24"/>
        <v>0</v>
      </c>
      <c r="EG28" s="22">
        <v>24</v>
      </c>
      <c r="EH28" s="44">
        <f t="shared" si="5"/>
        <v>58843.799999999996</v>
      </c>
      <c r="EI28" s="44">
        <f t="shared" si="6"/>
        <v>35803.149841836734</v>
      </c>
      <c r="EJ28" s="44">
        <f t="shared" si="7"/>
        <v>35803.149841836734</v>
      </c>
      <c r="EK28" s="44">
        <f t="shared" si="8"/>
        <v>35803.149841836734</v>
      </c>
      <c r="EL28" s="44">
        <f t="shared" si="25"/>
        <v>35803.149841836734</v>
      </c>
      <c r="EM28" s="44">
        <f t="shared" si="26"/>
        <v>35803.149841836734</v>
      </c>
      <c r="EN28" s="44">
        <f t="shared" si="27"/>
        <v>35803.149841836734</v>
      </c>
      <c r="EO28" s="44">
        <f t="shared" si="28"/>
        <v>35803.149841836734</v>
      </c>
      <c r="EP28" s="44">
        <f t="shared" si="9"/>
        <v>34909.467474489793</v>
      </c>
      <c r="EQ28" s="44">
        <f t="shared" si="29"/>
        <v>0</v>
      </c>
      <c r="ES28" s="44">
        <f t="shared" si="10"/>
        <v>1400064.7500000005</v>
      </c>
      <c r="ET28" s="44">
        <f t="shared" si="124"/>
        <v>409261.17633290798</v>
      </c>
      <c r="EU28" s="44">
        <f t="shared" si="11"/>
        <v>409261.17633290798</v>
      </c>
      <c r="EV28" s="44">
        <f t="shared" si="125"/>
        <v>409261.17633290798</v>
      </c>
      <c r="EW28" s="44">
        <f t="shared" si="127"/>
        <v>409261.17633290798</v>
      </c>
      <c r="EX28" s="44">
        <f t="shared" si="31"/>
        <v>49812.655924744671</v>
      </c>
      <c r="EY28" s="44">
        <f t="shared" si="32"/>
        <v>-129911.60427933675</v>
      </c>
      <c r="EZ28" s="44">
        <f t="shared" si="33"/>
        <v>-309635.86448341853</v>
      </c>
      <c r="FA28" s="44">
        <f t="shared" si="129"/>
        <v>-241862.15937247546</v>
      </c>
      <c r="FB28" s="44">
        <f t="shared" si="34"/>
        <v>0</v>
      </c>
      <c r="FD28" s="22">
        <f t="shared" si="48"/>
        <v>24</v>
      </c>
      <c r="FF28" s="22">
        <f t="shared" si="49"/>
        <v>24</v>
      </c>
      <c r="FG28" s="138">
        <f t="shared" si="50"/>
        <v>2048</v>
      </c>
      <c r="FH28" s="90">
        <f t="shared" si="35"/>
        <v>83469.149999999994</v>
      </c>
      <c r="FI28" s="90">
        <f t="shared" si="36"/>
        <v>0</v>
      </c>
      <c r="FJ28" s="90">
        <f t="shared" si="37"/>
        <v>83469.149999999994</v>
      </c>
      <c r="FK28" s="44">
        <f t="shared" si="51"/>
        <v>53242.188479999997</v>
      </c>
      <c r="FL28" s="90" cm="1">
        <f t="array" ref="FL28">IF($CQ$5&lt;$CP$5,_xlfn.XLOOKUP(FD28,$EG$5:$EG$54,$DN$5:$DN$54),IF(OR(AND($CQ$5&gt;$CP$5,$CQ$5&lt;$CO$5),OR($CQ$5&gt;=$CL$5)),_xlfn.XLOOKUP(FD28,$EG$5:$EG$54,$DM$5:DM$54),IF(AND($CQ$5&gt;$CO$5,$CQ$5&lt;$CN$5),_xlfn.XLOOKUP(FD28,$EG$5:$EG$54,$DO$5:$DO$54),IF(AND($CQ$5&gt;$CN$5,$CQ$5&lt;$CM$5),_xlfn.XLOOKUP(FD28,$EG$5:$EG$54,$DP$5:$DP$54),IF(AND($CQ$5&gt;$CM$5,$CQ$5&lt;$CL$5),_xlfn.XLOOKUP(FD28,$EG$5:$EG$54,$DQ$5:$DQ$54))))))</f>
        <v>53242.188479999997</v>
      </c>
      <c r="FM28" s="44">
        <f t="shared" si="52"/>
        <v>0</v>
      </c>
      <c r="FP28" s="22">
        <f t="shared" si="53"/>
        <v>24</v>
      </c>
      <c r="FR28" s="22">
        <f t="shared" si="54"/>
        <v>24</v>
      </c>
      <c r="FS28" s="138">
        <f t="shared" si="55"/>
        <v>2048</v>
      </c>
      <c r="FT28" s="90">
        <f t="shared" si="38"/>
        <v>58843.799999999996</v>
      </c>
      <c r="FU28" s="90">
        <f t="shared" si="39"/>
        <v>0</v>
      </c>
      <c r="FV28" s="90">
        <f t="shared" si="40"/>
        <v>58843.799999999996</v>
      </c>
      <c r="FW28" s="44">
        <f t="shared" si="56"/>
        <v>35803.149841836734</v>
      </c>
      <c r="FX28" s="90" cm="1">
        <f t="array" ref="FX28">IF($CQ$5&lt;$CP$5,_xlfn.XLOOKUP(FP28,$EG$5:$EG$54,$EK$5:$EK$54),IF(OR(AND($CQ$5&gt;$CP$5,$CQ$5&lt;$CO$5),OR($CQ$5&gt;=$CL$5)),_xlfn.XLOOKUP(FP28,$EG$5:$EG$54,$EJ$5:$EJ$54),IF(AND($CQ$5&gt;$CO$5,$CQ$5&lt;$CN$5),_xlfn.XLOOKUP(FP28,$EG$5:$EG$54,$EL$5:$EL$54),IF(AND($CQ$5&gt;$CN$5,$CQ$5&lt;$CM$5),_xlfn.XLOOKUP(FP28,$EG$5:$EG$54,$EM$5:$EM$54),_xlfn.XLOOKUP(FP28,$EG$5:$EG$54,$EN$5:EN$54,IF(AND($CQ$5&gt;$CM$5,$CQ$5&lt;$CL$5),_xlfn.XLOOKUP(FD27,$EG$5:$EG$54,$EY$5:$EY$54),""))))))</f>
        <v>35803.149841836734</v>
      </c>
      <c r="FY28" s="44">
        <f t="shared" si="57"/>
        <v>34909.467474489793</v>
      </c>
    </row>
    <row r="29" spans="1:183" x14ac:dyDescent="0.25">
      <c r="A29"/>
      <c r="B29"/>
      <c r="C29" s="48">
        <v>23</v>
      </c>
      <c r="D29" s="86"/>
      <c r="E29" s="87"/>
      <c r="F29" s="87"/>
      <c r="G29" s="87"/>
      <c r="H29" s="87"/>
      <c r="I29" s="4"/>
      <c r="J29" s="78"/>
      <c r="K29" s="78"/>
      <c r="L29" s="78"/>
      <c r="M29" s="78"/>
      <c r="N29" s="86"/>
      <c r="O29" s="87"/>
      <c r="P29" s="87"/>
      <c r="Q29" s="87"/>
      <c r="R29" s="87"/>
      <c r="S29" s="4"/>
      <c r="T29" s="78"/>
      <c r="U29" s="78"/>
      <c r="V29" s="78"/>
      <c r="W29" s="78"/>
      <c r="X29" s="43"/>
      <c r="Y29" s="43"/>
      <c r="Z29" s="43"/>
      <c r="AA29" s="43"/>
      <c r="AB29" s="43"/>
      <c r="AC29" s="104"/>
      <c r="AD29" s="104"/>
      <c r="AE29" s="104"/>
      <c r="AF29" s="104"/>
      <c r="AG29" s="104"/>
      <c r="AH29" s="44"/>
      <c r="AI29" s="44"/>
      <c r="AJ29" s="44"/>
      <c r="AK29" s="44"/>
      <c r="AL29" s="44"/>
      <c r="AM29" s="43"/>
      <c r="AN29" s="43"/>
      <c r="AO29" s="43"/>
      <c r="AP29" s="43"/>
      <c r="AQ29" s="43"/>
      <c r="AR29" s="44">
        <f t="shared" si="76"/>
        <v>0</v>
      </c>
      <c r="AS29" s="44"/>
      <c r="AT29" s="44"/>
      <c r="AU29" s="44"/>
      <c r="AV29" s="44"/>
      <c r="AW29" s="43"/>
      <c r="AX29" s="43"/>
      <c r="AY29" s="43"/>
      <c r="AZ29" s="43"/>
      <c r="BA29" s="43"/>
      <c r="BB29" s="45">
        <f t="shared" si="79"/>
        <v>303877.19232000038</v>
      </c>
      <c r="BC29" s="227">
        <f>VLOOKUP($CQ$6,$CM$109:$DP$120,24,TRUE)</f>
        <v>3.6360000000000003E-2</v>
      </c>
      <c r="BD29" s="45">
        <f t="shared" si="67"/>
        <v>53227.549440000003</v>
      </c>
      <c r="BE29" s="45">
        <f t="shared" si="98"/>
        <v>1213254.3571199998</v>
      </c>
      <c r="BF29" s="45">
        <f t="shared" si="99"/>
        <v>250649.64288000038</v>
      </c>
      <c r="BG29" s="46">
        <f t="shared" si="80"/>
        <v>476396.10000000044</v>
      </c>
      <c r="BH29" s="60">
        <f>VLOOKUP($CQ$6,$CM$109:$DP$120,24,TRUE)</f>
        <v>3.6360000000000003E-2</v>
      </c>
      <c r="BI29" s="46">
        <f t="shared" si="68"/>
        <v>83446.200000000012</v>
      </c>
      <c r="BJ29" s="46">
        <f t="shared" si="100"/>
        <v>1902050.0999999994</v>
      </c>
      <c r="BK29" s="46">
        <f t="shared" si="101"/>
        <v>392949.90000000043</v>
      </c>
      <c r="BL29" s="46">
        <f t="shared" si="81"/>
        <v>0</v>
      </c>
      <c r="BM29" s="60">
        <f>VLOOKUP($CQ$6,$CM$109:$DP$120,24,TRUE)</f>
        <v>3.6360000000000003E-2</v>
      </c>
      <c r="BN29" s="46">
        <f t="shared" si="69"/>
        <v>0</v>
      </c>
      <c r="BO29" s="46">
        <f t="shared" si="102"/>
        <v>0</v>
      </c>
      <c r="BP29" s="46">
        <f t="shared" si="103"/>
        <v>0</v>
      </c>
      <c r="BQ29" s="44">
        <f t="shared" si="82"/>
        <v>616124.17335076549</v>
      </c>
      <c r="BR29" s="100">
        <v>2.564E-2</v>
      </c>
      <c r="BS29" s="44">
        <f t="shared" si="45"/>
        <v>35803.149841836734</v>
      </c>
      <c r="BT29" s="44">
        <f t="shared" si="104"/>
        <v>816057.67547066347</v>
      </c>
      <c r="BU29" s="44">
        <f t="shared" si="105"/>
        <v>580321.02350892872</v>
      </c>
      <c r="BV29" s="44">
        <f t="shared" si="83"/>
        <v>635645.54756250046</v>
      </c>
      <c r="BW29" s="100">
        <v>2.5000000000000001E-2</v>
      </c>
      <c r="BX29" s="44">
        <f t="shared" si="46"/>
        <v>34909.467474489793</v>
      </c>
      <c r="BY29" s="44">
        <f t="shared" si="106"/>
        <v>795642.61889158201</v>
      </c>
      <c r="BZ29" s="44">
        <f t="shared" si="107"/>
        <v>600736.08008801064</v>
      </c>
      <c r="CA29" s="44"/>
      <c r="CB29" s="43">
        <f t="shared" si="84"/>
        <v>1012622.8499999994</v>
      </c>
      <c r="CC29" s="100">
        <v>2.564E-2</v>
      </c>
      <c r="CD29" s="43">
        <f t="shared" si="47"/>
        <v>58843.799999999996</v>
      </c>
      <c r="CE29" s="43">
        <f t="shared" si="108"/>
        <v>1341220.9500000004</v>
      </c>
      <c r="CF29" s="43">
        <f t="shared" si="109"/>
        <v>953779.04999999935</v>
      </c>
      <c r="CG29" s="43">
        <f t="shared" si="85"/>
        <v>0</v>
      </c>
      <c r="CH29" s="100">
        <v>2.564E-2</v>
      </c>
      <c r="CI29" s="43">
        <f t="shared" si="70"/>
        <v>0</v>
      </c>
      <c r="CJ29" s="43">
        <f t="shared" si="110"/>
        <v>0</v>
      </c>
      <c r="CK29" s="43">
        <f t="shared" si="111"/>
        <v>0</v>
      </c>
      <c r="CR29">
        <f t="shared" si="117"/>
        <v>19</v>
      </c>
      <c r="CT29"/>
      <c r="CU29">
        <f>1+CU28</f>
        <v>1.9997735136517778</v>
      </c>
      <c r="DJ29" s="22">
        <v>25</v>
      </c>
      <c r="DK29" s="44">
        <f t="shared" si="12"/>
        <v>83446.200000000012</v>
      </c>
      <c r="DL29" s="44">
        <f t="shared" si="13"/>
        <v>53227.549440000003</v>
      </c>
      <c r="DM29" s="44">
        <f t="shared" si="1"/>
        <v>53227.549440000003</v>
      </c>
      <c r="DN29" s="44">
        <f t="shared" si="2"/>
        <v>53227.549440000003</v>
      </c>
      <c r="DO29" s="44">
        <f t="shared" si="14"/>
        <v>53227.549440000003</v>
      </c>
      <c r="DP29" s="44">
        <f t="shared" si="15"/>
        <v>53227.549440000003</v>
      </c>
      <c r="DQ29" s="44">
        <f t="shared" si="16"/>
        <v>53227.549440000003</v>
      </c>
      <c r="DR29" s="44">
        <f t="shared" si="17"/>
        <v>53227.549440000003</v>
      </c>
      <c r="DS29" s="44">
        <f t="shared" si="3"/>
        <v>0</v>
      </c>
      <c r="DT29" s="44">
        <f t="shared" si="18"/>
        <v>0</v>
      </c>
      <c r="DV29" s="44">
        <f t="shared" si="4"/>
        <v>2068965.4499999993</v>
      </c>
      <c r="DW29" s="44">
        <f t="shared" si="122"/>
        <v>165300.84504000074</v>
      </c>
      <c r="DX29" s="44">
        <f t="shared" si="19"/>
        <v>165300.84504000074</v>
      </c>
      <c r="DY29" s="44">
        <f t="shared" si="123"/>
        <v>165300.84504000074</v>
      </c>
      <c r="DZ29" s="44">
        <f t="shared" si="126"/>
        <v>165300.84504000074</v>
      </c>
      <c r="EA29" s="44">
        <f t="shared" si="21"/>
        <v>-167137.5549599994</v>
      </c>
      <c r="EB29" s="44">
        <f t="shared" si="22"/>
        <v>-333356.75495999935</v>
      </c>
      <c r="EC29" s="44">
        <f t="shared" si="23"/>
        <v>-499575.95495999954</v>
      </c>
      <c r="ED29" s="44">
        <f t="shared" si="128"/>
        <v>-1170201.7323934631</v>
      </c>
      <c r="EE29" s="44">
        <f t="shared" si="24"/>
        <v>0</v>
      </c>
      <c r="EG29" s="22">
        <v>25</v>
      </c>
      <c r="EH29" s="44">
        <f t="shared" si="5"/>
        <v>58843.799999999996</v>
      </c>
      <c r="EI29" s="44">
        <f t="shared" si="6"/>
        <v>35803.149841836734</v>
      </c>
      <c r="EJ29" s="44">
        <f t="shared" si="7"/>
        <v>35803.149841836734</v>
      </c>
      <c r="EK29" s="44">
        <f t="shared" si="8"/>
        <v>35803.149841836734</v>
      </c>
      <c r="EL29" s="44">
        <f t="shared" si="25"/>
        <v>35803.149841836734</v>
      </c>
      <c r="EM29" s="44">
        <f t="shared" si="26"/>
        <v>35803.149841836734</v>
      </c>
      <c r="EN29" s="44">
        <f t="shared" si="27"/>
        <v>35803.149841836734</v>
      </c>
      <c r="EO29" s="44">
        <f t="shared" si="28"/>
        <v>35803.149841836734</v>
      </c>
      <c r="EP29" s="44">
        <f t="shared" si="9"/>
        <v>34909.467474489793</v>
      </c>
      <c r="EQ29" s="44">
        <f t="shared" si="29"/>
        <v>0</v>
      </c>
      <c r="ES29" s="44">
        <f t="shared" si="10"/>
        <v>1458908.5500000005</v>
      </c>
      <c r="ET29" s="44">
        <f t="shared" si="124"/>
        <v>386220.52617474459</v>
      </c>
      <c r="EU29" s="44">
        <f t="shared" si="11"/>
        <v>386220.52617474459</v>
      </c>
      <c r="EV29" s="44">
        <f t="shared" si="125"/>
        <v>386220.52617474459</v>
      </c>
      <c r="EW29" s="44">
        <f t="shared" si="127"/>
        <v>386220.52617474482</v>
      </c>
      <c r="EX29" s="44">
        <f t="shared" si="31"/>
        <v>26772.005766581278</v>
      </c>
      <c r="EY29" s="44">
        <f t="shared" si="32"/>
        <v>-152952.25443750015</v>
      </c>
      <c r="EZ29" s="44">
        <f t="shared" si="33"/>
        <v>-332676.5146415818</v>
      </c>
      <c r="FA29" s="44">
        <f t="shared" si="129"/>
        <v>-265796.4918979858</v>
      </c>
      <c r="FB29" s="44">
        <f t="shared" si="34"/>
        <v>0</v>
      </c>
      <c r="FD29" s="22">
        <f t="shared" si="48"/>
        <v>25</v>
      </c>
      <c r="FF29" s="22">
        <f t="shared" si="49"/>
        <v>25</v>
      </c>
      <c r="FG29" s="138">
        <f t="shared" si="50"/>
        <v>2049</v>
      </c>
      <c r="FH29" s="90">
        <f t="shared" si="35"/>
        <v>83446.200000000012</v>
      </c>
      <c r="FI29" s="90">
        <f t="shared" si="36"/>
        <v>0</v>
      </c>
      <c r="FJ29" s="90">
        <f t="shared" si="37"/>
        <v>83446.200000000012</v>
      </c>
      <c r="FK29" s="44">
        <f t="shared" si="51"/>
        <v>53227.549440000003</v>
      </c>
      <c r="FL29" s="90" cm="1">
        <f t="array" ref="FL29">IF($CQ$5&lt;$CP$5,_xlfn.XLOOKUP(FD29,$EG$5:$EG$54,$DN$5:$DN$54),IF(OR(AND($CQ$5&gt;$CP$5,$CQ$5&lt;$CO$5),OR($CQ$5&gt;=$CL$5)),_xlfn.XLOOKUP(FD29,$EG$5:$EG$54,$DM$5:DM$54),IF(AND($CQ$5&gt;$CO$5,$CQ$5&lt;$CN$5),_xlfn.XLOOKUP(FD29,$EG$5:$EG$54,$DO$5:$DO$54),IF(AND($CQ$5&gt;$CN$5,$CQ$5&lt;$CM$5),_xlfn.XLOOKUP(FD29,$EG$5:$EG$54,$DP$5:$DP$54),IF(AND($CQ$5&gt;$CM$5,$CQ$5&lt;$CL$5),_xlfn.XLOOKUP(FD29,$EG$5:$EG$54,$DQ$5:$DQ$54))))))</f>
        <v>53227.549440000003</v>
      </c>
      <c r="FM29" s="44">
        <f t="shared" si="52"/>
        <v>0</v>
      </c>
      <c r="FP29" s="22">
        <f t="shared" si="53"/>
        <v>25</v>
      </c>
      <c r="FR29" s="22">
        <f t="shared" si="54"/>
        <v>25</v>
      </c>
      <c r="FS29" s="138">
        <f t="shared" si="55"/>
        <v>2049</v>
      </c>
      <c r="FT29" s="90">
        <f t="shared" si="38"/>
        <v>58843.799999999996</v>
      </c>
      <c r="FU29" s="90">
        <f t="shared" si="39"/>
        <v>0</v>
      </c>
      <c r="FV29" s="90">
        <f t="shared" si="40"/>
        <v>58843.799999999996</v>
      </c>
      <c r="FW29" s="44">
        <f t="shared" si="56"/>
        <v>35803.149841836734</v>
      </c>
      <c r="FX29" s="90" cm="1">
        <f t="array" ref="FX29">IF($CQ$5&lt;$CP$5,_xlfn.XLOOKUP(FP29,$EG$5:$EG$54,$EK$5:$EK$54),IF(OR(AND($CQ$5&gt;$CP$5,$CQ$5&lt;$CO$5),OR($CQ$5&gt;=$CL$5)),_xlfn.XLOOKUP(FP29,$EG$5:$EG$54,$EJ$5:$EJ$54),IF(AND($CQ$5&gt;$CO$5,$CQ$5&lt;$CN$5),_xlfn.XLOOKUP(FP29,$EG$5:$EG$54,$EL$5:$EL$54),IF(AND($CQ$5&gt;$CN$5,$CQ$5&lt;$CM$5),_xlfn.XLOOKUP(FP29,$EG$5:$EG$54,$EM$5:$EM$54),_xlfn.XLOOKUP(FP29,$EG$5:$EG$54,$EN$5:EN$54,IF(AND($CQ$5&gt;$CM$5,$CQ$5&lt;$CL$5),_xlfn.XLOOKUP(FD28,$EG$5:$EG$54,$EY$5:$EY$54),""))))))</f>
        <v>35803.149841836734</v>
      </c>
      <c r="FY29" s="44">
        <f t="shared" si="57"/>
        <v>34909.467474489793</v>
      </c>
    </row>
    <row r="30" spans="1:183" x14ac:dyDescent="0.25">
      <c r="A30"/>
      <c r="B30"/>
      <c r="C30" s="48">
        <v>24</v>
      </c>
      <c r="D30" s="88"/>
      <c r="E30" s="87"/>
      <c r="F30" s="87"/>
      <c r="G30" s="87"/>
      <c r="H30" s="87"/>
      <c r="I30" s="89"/>
      <c r="J30" s="4"/>
      <c r="K30" s="4"/>
      <c r="L30" s="4"/>
      <c r="M30" s="4"/>
      <c r="N30" s="88"/>
      <c r="O30" s="87"/>
      <c r="P30" s="87"/>
      <c r="Q30" s="87"/>
      <c r="R30" s="87"/>
      <c r="S30" s="89"/>
      <c r="T30" s="4"/>
      <c r="U30" s="4"/>
      <c r="V30" s="4"/>
      <c r="W30" s="4"/>
      <c r="X30" s="43"/>
      <c r="Y30" s="43"/>
      <c r="Z30" s="43"/>
      <c r="AA30" s="43"/>
      <c r="AB30" s="43"/>
      <c r="AC30" s="104"/>
      <c r="AD30" s="104"/>
      <c r="AE30" s="104"/>
      <c r="AF30" s="104"/>
      <c r="AG30" s="104"/>
      <c r="AH30" s="44"/>
      <c r="AI30" s="44"/>
      <c r="AJ30" s="44"/>
      <c r="AK30" s="44"/>
      <c r="AL30" s="44"/>
      <c r="AM30" s="43"/>
      <c r="AN30" s="43"/>
      <c r="AO30" s="43"/>
      <c r="AP30" s="43"/>
      <c r="AQ30" s="43"/>
      <c r="AR30" s="44">
        <f t="shared" si="76"/>
        <v>0</v>
      </c>
      <c r="AS30" s="44"/>
      <c r="AT30" s="44"/>
      <c r="AU30" s="44"/>
      <c r="AV30" s="44"/>
      <c r="AW30" s="43"/>
      <c r="AX30" s="43"/>
      <c r="AY30" s="43"/>
      <c r="AZ30" s="43"/>
      <c r="BA30" s="43"/>
      <c r="BB30" s="45">
        <f t="shared" si="79"/>
        <v>250649.64288000038</v>
      </c>
      <c r="BC30" s="227">
        <f>VLOOKUP($CQ$6,$CM$109:$DP$120,25,TRUE)</f>
        <v>3.637E-2</v>
      </c>
      <c r="BD30" s="45">
        <f t="shared" si="67"/>
        <v>53242.188479999997</v>
      </c>
      <c r="BE30" s="45">
        <f t="shared" si="98"/>
        <v>1266496.5455999998</v>
      </c>
      <c r="BF30" s="45">
        <f t="shared" si="99"/>
        <v>197407.4544000004</v>
      </c>
      <c r="BG30" s="46">
        <f t="shared" si="80"/>
        <v>392949.90000000043</v>
      </c>
      <c r="BH30" s="60">
        <f>VLOOKUP($CQ$6,$CM$109:$DP$120,25,TRUE)</f>
        <v>3.637E-2</v>
      </c>
      <c r="BI30" s="46">
        <f t="shared" si="68"/>
        <v>83469.149999999994</v>
      </c>
      <c r="BJ30" s="46">
        <f t="shared" si="100"/>
        <v>1985519.2499999993</v>
      </c>
      <c r="BK30" s="46">
        <f t="shared" si="101"/>
        <v>309480.75000000047</v>
      </c>
      <c r="BL30" s="46">
        <f t="shared" si="81"/>
        <v>0</v>
      </c>
      <c r="BM30" s="60">
        <f>VLOOKUP($CQ$6,$CM$109:$DP$120,25,TRUE)</f>
        <v>3.637E-2</v>
      </c>
      <c r="BN30" s="46">
        <f t="shared" si="69"/>
        <v>0</v>
      </c>
      <c r="BO30" s="46">
        <f t="shared" si="102"/>
        <v>0</v>
      </c>
      <c r="BP30" s="46">
        <f t="shared" si="103"/>
        <v>0</v>
      </c>
      <c r="BQ30" s="44">
        <f t="shared" si="82"/>
        <v>580321.02350892872</v>
      </c>
      <c r="BR30" s="100">
        <v>2.564E-2</v>
      </c>
      <c r="BS30" s="44">
        <f t="shared" si="45"/>
        <v>35803.149841836734</v>
      </c>
      <c r="BT30" s="44">
        <f t="shared" si="104"/>
        <v>851860.82531250024</v>
      </c>
      <c r="BU30" s="44">
        <f t="shared" si="105"/>
        <v>544517.87366709195</v>
      </c>
      <c r="BV30" s="44">
        <f t="shared" si="83"/>
        <v>600736.08008801064</v>
      </c>
      <c r="BW30" s="100">
        <v>2.5000000000000001E-2</v>
      </c>
      <c r="BX30" s="44">
        <f t="shared" si="46"/>
        <v>34909.467474489793</v>
      </c>
      <c r="BY30" s="44">
        <f t="shared" si="106"/>
        <v>830552.08636607183</v>
      </c>
      <c r="BZ30" s="44">
        <f t="shared" si="107"/>
        <v>565826.61261352082</v>
      </c>
      <c r="CA30" s="44"/>
      <c r="CB30" s="43">
        <f t="shared" si="84"/>
        <v>953779.04999999935</v>
      </c>
      <c r="CC30" s="100">
        <v>2.564E-2</v>
      </c>
      <c r="CD30" s="43">
        <f t="shared" si="47"/>
        <v>58843.799999999996</v>
      </c>
      <c r="CE30" s="43">
        <f t="shared" si="108"/>
        <v>1400064.7500000005</v>
      </c>
      <c r="CF30" s="43">
        <f t="shared" si="109"/>
        <v>894935.2499999993</v>
      </c>
      <c r="CG30" s="43">
        <f t="shared" si="85"/>
        <v>0</v>
      </c>
      <c r="CH30" s="100">
        <v>2.564E-2</v>
      </c>
      <c r="CI30" s="43">
        <f t="shared" si="70"/>
        <v>0</v>
      </c>
      <c r="CJ30" s="43">
        <f t="shared" si="110"/>
        <v>0</v>
      </c>
      <c r="CK30" s="43">
        <f t="shared" si="111"/>
        <v>0</v>
      </c>
      <c r="CR30">
        <f t="shared" si="117"/>
        <v>20</v>
      </c>
      <c r="CT30"/>
      <c r="CU30">
        <f>1+(CU22/CU29)</f>
        <v>1.2500283139998949</v>
      </c>
      <c r="DJ30" s="22">
        <v>26</v>
      </c>
      <c r="DK30" s="44">
        <f t="shared" si="12"/>
        <v>83469.149999999994</v>
      </c>
      <c r="DL30" s="44">
        <f t="shared" si="13"/>
        <v>53242.188479999997</v>
      </c>
      <c r="DM30" s="44">
        <f t="shared" si="1"/>
        <v>53242.188479999997</v>
      </c>
      <c r="DN30" s="44">
        <f t="shared" si="2"/>
        <v>53242.188479999997</v>
      </c>
      <c r="DO30" s="44">
        <f t="shared" si="14"/>
        <v>53242.188479999997</v>
      </c>
      <c r="DP30" s="44">
        <f t="shared" si="15"/>
        <v>53242.188479999997</v>
      </c>
      <c r="DQ30" s="44">
        <f t="shared" si="16"/>
        <v>53242.188479999997</v>
      </c>
      <c r="DR30" s="44">
        <f t="shared" si="17"/>
        <v>53242.188479999997</v>
      </c>
      <c r="DS30" s="44">
        <f t="shared" si="3"/>
        <v>0</v>
      </c>
      <c r="DT30" s="44">
        <f t="shared" si="18"/>
        <v>0</v>
      </c>
      <c r="DV30" s="44">
        <f t="shared" si="4"/>
        <v>2152434.5999999992</v>
      </c>
      <c r="DW30" s="44">
        <f t="shared" si="122"/>
        <v>135096.8335200008</v>
      </c>
      <c r="DX30" s="44">
        <f t="shared" si="19"/>
        <v>135096.8335200008</v>
      </c>
      <c r="DY30" s="44">
        <f t="shared" si="123"/>
        <v>135096.8335200008</v>
      </c>
      <c r="DZ30" s="44">
        <f t="shared" si="126"/>
        <v>135096.8335200008</v>
      </c>
      <c r="EA30" s="44">
        <f t="shared" si="21"/>
        <v>-197341.56647999934</v>
      </c>
      <c r="EB30" s="44">
        <f t="shared" si="22"/>
        <v>-363560.76647999929</v>
      </c>
      <c r="EC30" s="44">
        <f t="shared" si="23"/>
        <v>-529779.96647999948</v>
      </c>
      <c r="ED30" s="44">
        <f t="shared" si="128"/>
        <v>-1253647.9323934629</v>
      </c>
      <c r="EE30" s="44">
        <f t="shared" si="24"/>
        <v>0</v>
      </c>
      <c r="EG30" s="22">
        <v>26</v>
      </c>
      <c r="EH30" s="44">
        <f t="shared" si="5"/>
        <v>58843.799999999996</v>
      </c>
      <c r="EI30" s="44">
        <f t="shared" si="6"/>
        <v>35803.149841836734</v>
      </c>
      <c r="EJ30" s="44">
        <f t="shared" si="7"/>
        <v>35803.149841836734</v>
      </c>
      <c r="EK30" s="44">
        <f t="shared" si="8"/>
        <v>35803.149841836734</v>
      </c>
      <c r="EL30" s="44">
        <f t="shared" si="25"/>
        <v>35803.149841836734</v>
      </c>
      <c r="EM30" s="44">
        <f t="shared" si="26"/>
        <v>35803.149841836734</v>
      </c>
      <c r="EN30" s="44">
        <f t="shared" si="27"/>
        <v>35803.149841836734</v>
      </c>
      <c r="EO30" s="44">
        <f t="shared" si="28"/>
        <v>35803.149841836734</v>
      </c>
      <c r="EP30" s="44">
        <f t="shared" si="9"/>
        <v>34909.467474489793</v>
      </c>
      <c r="EQ30" s="44">
        <f t="shared" si="29"/>
        <v>0</v>
      </c>
      <c r="ES30" s="44">
        <f t="shared" si="10"/>
        <v>1517752.3500000006</v>
      </c>
      <c r="ET30" s="44">
        <f t="shared" si="124"/>
        <v>363179.87601658143</v>
      </c>
      <c r="EU30" s="44">
        <f t="shared" si="11"/>
        <v>363179.87601658143</v>
      </c>
      <c r="EV30" s="44">
        <f t="shared" si="125"/>
        <v>363179.87601658143</v>
      </c>
      <c r="EW30" s="44">
        <f t="shared" si="127"/>
        <v>363179.87601658166</v>
      </c>
      <c r="EX30" s="44">
        <f t="shared" si="31"/>
        <v>3731.3556084181182</v>
      </c>
      <c r="EY30" s="44">
        <f t="shared" si="32"/>
        <v>-175992.90459566354</v>
      </c>
      <c r="EZ30" s="44">
        <f t="shared" si="33"/>
        <v>-355717.16479974496</v>
      </c>
      <c r="FA30" s="44">
        <f t="shared" si="129"/>
        <v>-289730.82442349591</v>
      </c>
      <c r="FB30" s="44">
        <f t="shared" si="34"/>
        <v>0</v>
      </c>
      <c r="FD30" s="22">
        <f t="shared" si="48"/>
        <v>26</v>
      </c>
      <c r="FF30" s="22">
        <f t="shared" si="49"/>
        <v>26</v>
      </c>
      <c r="FG30" s="138">
        <f t="shared" si="50"/>
        <v>2050</v>
      </c>
      <c r="FH30" s="90">
        <f t="shared" si="35"/>
        <v>83469.149999999994</v>
      </c>
      <c r="FI30" s="90">
        <f t="shared" si="36"/>
        <v>0</v>
      </c>
      <c r="FJ30" s="90">
        <f t="shared" si="37"/>
        <v>83469.149999999994</v>
      </c>
      <c r="FK30" s="44">
        <f t="shared" si="51"/>
        <v>53242.188479999997</v>
      </c>
      <c r="FL30" s="90" cm="1">
        <f t="array" ref="FL30">IF($CQ$5&lt;$CP$5,_xlfn.XLOOKUP(FD30,$EG$5:$EG$54,$DN$5:$DN$54),IF(OR(AND($CQ$5&gt;$CP$5,$CQ$5&lt;$CO$5),OR($CQ$5&gt;=$CL$5)),_xlfn.XLOOKUP(FD30,$EG$5:$EG$54,$DM$5:DM$54),IF(AND($CQ$5&gt;$CO$5,$CQ$5&lt;$CN$5),_xlfn.XLOOKUP(FD30,$EG$5:$EG$54,$DO$5:$DO$54),IF(AND($CQ$5&gt;$CN$5,$CQ$5&lt;$CM$5),_xlfn.XLOOKUP(FD30,$EG$5:$EG$54,$DP$5:$DP$54),IF(AND($CQ$5&gt;$CM$5,$CQ$5&lt;$CL$5),_xlfn.XLOOKUP(FD30,$EG$5:$EG$54,$DQ$5:$DQ$54))))))</f>
        <v>53242.188479999997</v>
      </c>
      <c r="FM30" s="44">
        <f t="shared" si="52"/>
        <v>0</v>
      </c>
      <c r="FP30" s="22">
        <f t="shared" si="53"/>
        <v>26</v>
      </c>
      <c r="FR30" s="22">
        <f t="shared" si="54"/>
        <v>26</v>
      </c>
      <c r="FS30" s="138">
        <f t="shared" si="55"/>
        <v>2050</v>
      </c>
      <c r="FT30" s="90">
        <f t="shared" si="38"/>
        <v>58843.799999999996</v>
      </c>
      <c r="FU30" s="90">
        <f t="shared" si="39"/>
        <v>0</v>
      </c>
      <c r="FV30" s="90">
        <f t="shared" si="40"/>
        <v>58843.799999999996</v>
      </c>
      <c r="FW30" s="44">
        <f t="shared" si="56"/>
        <v>35803.149841836734</v>
      </c>
      <c r="FX30" s="90" cm="1">
        <f t="array" ref="FX30">IF($CQ$5&lt;$CP$5,_xlfn.XLOOKUP(FP30,$EG$5:$EG$54,$EK$5:$EK$54),IF(OR(AND($CQ$5&gt;$CP$5,$CQ$5&lt;$CO$5),OR($CQ$5&gt;=$CL$5)),_xlfn.XLOOKUP(FP30,$EG$5:$EG$54,$EJ$5:$EJ$54),IF(AND($CQ$5&gt;$CO$5,$CQ$5&lt;$CN$5),_xlfn.XLOOKUP(FP30,$EG$5:$EG$54,$EL$5:$EL$54),IF(AND($CQ$5&gt;$CN$5,$CQ$5&lt;$CM$5),_xlfn.XLOOKUP(FP30,$EG$5:$EG$54,$EM$5:$EM$54),_xlfn.XLOOKUP(FP30,$EG$5:$EG$54,$EN$5:EN$54,IF(AND($CQ$5&gt;$CM$5,$CQ$5&lt;$CL$5),_xlfn.XLOOKUP(FD29,$EG$5:$EG$54,$EY$5:$EY$54),""))))))</f>
        <v>35803.149841836734</v>
      </c>
      <c r="FY30" s="44">
        <f t="shared" si="57"/>
        <v>34909.467474489793</v>
      </c>
    </row>
    <row r="31" spans="1:183" x14ac:dyDescent="0.25">
      <c r="A31" s="55"/>
      <c r="B31" s="21"/>
      <c r="C31" s="48">
        <v>25</v>
      </c>
      <c r="D31" s="86"/>
      <c r="E31" s="87"/>
      <c r="F31" s="87"/>
      <c r="G31" s="87"/>
      <c r="H31" s="87"/>
      <c r="I31" s="4"/>
      <c r="J31" s="4"/>
      <c r="K31" s="4"/>
      <c r="L31" s="4"/>
      <c r="M31" s="4"/>
      <c r="N31" s="86"/>
      <c r="O31" s="87"/>
      <c r="P31" s="87"/>
      <c r="Q31" s="87"/>
      <c r="R31" s="87"/>
      <c r="S31" s="4"/>
      <c r="T31" s="4"/>
      <c r="U31" s="4"/>
      <c r="V31" s="4"/>
      <c r="W31" s="4"/>
      <c r="X31" s="43"/>
      <c r="Y31" s="43"/>
      <c r="Z31" s="43"/>
      <c r="AA31" s="43"/>
      <c r="AB31" s="43"/>
      <c r="AC31" s="104"/>
      <c r="AD31" s="104"/>
      <c r="AE31" s="104"/>
      <c r="AF31" s="104"/>
      <c r="AG31" s="104"/>
      <c r="AH31" s="44"/>
      <c r="AI31" s="44"/>
      <c r="AJ31" s="44"/>
      <c r="AK31" s="44"/>
      <c r="AL31" s="44"/>
      <c r="AM31" s="43"/>
      <c r="AN31" s="43"/>
      <c r="AO31" s="43"/>
      <c r="AP31" s="43"/>
      <c r="AQ31" s="43"/>
      <c r="AR31" s="44">
        <f t="shared" si="76"/>
        <v>0</v>
      </c>
      <c r="AS31" s="44"/>
      <c r="AT31" s="44"/>
      <c r="AU31" s="44"/>
      <c r="AV31" s="44"/>
      <c r="AW31" s="43"/>
      <c r="AX31" s="43"/>
      <c r="AY31" s="43"/>
      <c r="AZ31" s="43"/>
      <c r="BA31" s="43"/>
      <c r="BB31" s="45">
        <f t="shared" si="79"/>
        <v>197407.4544000004</v>
      </c>
      <c r="BC31" s="227">
        <f>VLOOKUP($CQ$6,$CM$109:$DP$120,26,TRUE)</f>
        <v>3.6360000000000003E-2</v>
      </c>
      <c r="BD31" s="45">
        <f t="shared" si="67"/>
        <v>53227.549440000003</v>
      </c>
      <c r="BE31" s="45">
        <f t="shared" si="98"/>
        <v>1319724.0950399998</v>
      </c>
      <c r="BF31" s="45">
        <f t="shared" si="99"/>
        <v>144179.90496000039</v>
      </c>
      <c r="BG31" s="46">
        <f t="shared" si="80"/>
        <v>309480.75000000047</v>
      </c>
      <c r="BH31" s="60">
        <f>VLOOKUP($CQ$6,$CM$109:$DP$120,26,TRUE)</f>
        <v>3.6360000000000003E-2</v>
      </c>
      <c r="BI31" s="46">
        <f t="shared" si="68"/>
        <v>83446.200000000012</v>
      </c>
      <c r="BJ31" s="46">
        <f t="shared" si="100"/>
        <v>2068965.4499999993</v>
      </c>
      <c r="BK31" s="46">
        <f t="shared" si="101"/>
        <v>226034.55000000045</v>
      </c>
      <c r="BL31" s="46">
        <f t="shared" si="81"/>
        <v>0</v>
      </c>
      <c r="BM31" s="60">
        <f>VLOOKUP($CQ$6,$CM$109:$DP$120,26,TRUE)</f>
        <v>3.6360000000000003E-2</v>
      </c>
      <c r="BN31" s="46">
        <f t="shared" si="69"/>
        <v>0</v>
      </c>
      <c r="BO31" s="46">
        <f t="shared" si="102"/>
        <v>0</v>
      </c>
      <c r="BP31" s="46">
        <f t="shared" si="103"/>
        <v>0</v>
      </c>
      <c r="BQ31" s="44">
        <f t="shared" si="82"/>
        <v>544517.87366709195</v>
      </c>
      <c r="BR31" s="100">
        <v>2.564E-2</v>
      </c>
      <c r="BS31" s="44">
        <f t="shared" si="45"/>
        <v>35803.149841836734</v>
      </c>
      <c r="BT31" s="44">
        <f t="shared" si="104"/>
        <v>887663.97515433701</v>
      </c>
      <c r="BU31" s="44">
        <f t="shared" si="105"/>
        <v>508714.72382525523</v>
      </c>
      <c r="BV31" s="44">
        <f t="shared" si="83"/>
        <v>565826.61261352082</v>
      </c>
      <c r="BW31" s="100">
        <v>2.5000000000000001E-2</v>
      </c>
      <c r="BX31" s="44">
        <f t="shared" si="46"/>
        <v>34909.467474489793</v>
      </c>
      <c r="BY31" s="44">
        <f t="shared" si="106"/>
        <v>865461.55384056165</v>
      </c>
      <c r="BZ31" s="44">
        <f t="shared" si="107"/>
        <v>530917.145139031</v>
      </c>
      <c r="CA31" s="44"/>
      <c r="CB31" s="43">
        <f t="shared" si="84"/>
        <v>894935.2499999993</v>
      </c>
      <c r="CC31" s="100">
        <v>2.564E-2</v>
      </c>
      <c r="CD31" s="43">
        <f t="shared" si="47"/>
        <v>58843.799999999996</v>
      </c>
      <c r="CE31" s="43">
        <f t="shared" si="108"/>
        <v>1458908.5500000005</v>
      </c>
      <c r="CF31" s="43">
        <f t="shared" si="109"/>
        <v>836091.44999999925</v>
      </c>
      <c r="CG31" s="43">
        <f t="shared" si="85"/>
        <v>0</v>
      </c>
      <c r="CH31" s="100">
        <v>2.564E-2</v>
      </c>
      <c r="CI31" s="43">
        <f t="shared" si="70"/>
        <v>0</v>
      </c>
      <c r="CJ31" s="43">
        <f t="shared" si="110"/>
        <v>0</v>
      </c>
      <c r="CK31" s="43">
        <f t="shared" si="111"/>
        <v>0</v>
      </c>
      <c r="CR31">
        <f t="shared" si="117"/>
        <v>21</v>
      </c>
      <c r="DJ31" s="22">
        <v>27</v>
      </c>
      <c r="DK31" s="44">
        <f t="shared" si="12"/>
        <v>83446.200000000012</v>
      </c>
      <c r="DL31" s="44">
        <f t="shared" si="13"/>
        <v>53227.549440000003</v>
      </c>
      <c r="DM31" s="44">
        <f t="shared" si="1"/>
        <v>53227.549440000003</v>
      </c>
      <c r="DN31" s="44">
        <f t="shared" si="2"/>
        <v>53227.549440000003</v>
      </c>
      <c r="DO31" s="44">
        <f t="shared" si="14"/>
        <v>53227.549440000003</v>
      </c>
      <c r="DP31" s="44">
        <f t="shared" si="15"/>
        <v>53227.549440000003</v>
      </c>
      <c r="DQ31" s="44">
        <f t="shared" si="16"/>
        <v>53227.549440000003</v>
      </c>
      <c r="DR31" s="44">
        <f t="shared" si="17"/>
        <v>53227.549440000003</v>
      </c>
      <c r="DS31" s="44">
        <f t="shared" si="3"/>
        <v>0</v>
      </c>
      <c r="DT31" s="44">
        <f t="shared" si="18"/>
        <v>0</v>
      </c>
      <c r="DV31" s="44">
        <f t="shared" si="4"/>
        <v>2235880.7999999993</v>
      </c>
      <c r="DW31" s="44">
        <f t="shared" si="122"/>
        <v>104855.23296000063</v>
      </c>
      <c r="DX31" s="44">
        <f t="shared" si="19"/>
        <v>104855.23296000063</v>
      </c>
      <c r="DY31" s="44">
        <f t="shared" si="123"/>
        <v>104855.23296000063</v>
      </c>
      <c r="DZ31" s="44">
        <f t="shared" si="126"/>
        <v>104855.2329600011</v>
      </c>
      <c r="EA31" s="44">
        <f t="shared" si="21"/>
        <v>-227583.16703999927</v>
      </c>
      <c r="EB31" s="44">
        <f t="shared" si="22"/>
        <v>-393802.36703999923</v>
      </c>
      <c r="EC31" s="44">
        <f t="shared" si="23"/>
        <v>-560021.56703999941</v>
      </c>
      <c r="ED31" s="44">
        <f t="shared" si="128"/>
        <v>-1337117.0823934628</v>
      </c>
      <c r="EE31" s="44">
        <f t="shared" si="24"/>
        <v>0</v>
      </c>
      <c r="EG31" s="22">
        <v>27</v>
      </c>
      <c r="EH31" s="44">
        <f t="shared" si="5"/>
        <v>58843.799999999996</v>
      </c>
      <c r="EI31" s="44">
        <f t="shared" si="6"/>
        <v>35803.149841836734</v>
      </c>
      <c r="EJ31" s="44">
        <f t="shared" si="7"/>
        <v>35803.149841836734</v>
      </c>
      <c r="EK31" s="44">
        <f t="shared" si="8"/>
        <v>35803.149841836734</v>
      </c>
      <c r="EL31" s="44">
        <f t="shared" si="25"/>
        <v>35803.149841836734</v>
      </c>
      <c r="EM31" s="44">
        <f t="shared" si="26"/>
        <v>35803.149841836734</v>
      </c>
      <c r="EN31" s="44">
        <f t="shared" si="27"/>
        <v>35803.149841836734</v>
      </c>
      <c r="EO31" s="44">
        <f t="shared" si="28"/>
        <v>35803.149841836734</v>
      </c>
      <c r="EP31" s="44">
        <f t="shared" si="9"/>
        <v>34909.467474489793</v>
      </c>
      <c r="EQ31" s="44">
        <f t="shared" si="29"/>
        <v>0</v>
      </c>
      <c r="ES31" s="44">
        <f t="shared" si="10"/>
        <v>1576596.1500000006</v>
      </c>
      <c r="ET31" s="44">
        <f t="shared" si="124"/>
        <v>340139.22585841827</v>
      </c>
      <c r="EU31" s="44">
        <f t="shared" si="11"/>
        <v>340139.22585841827</v>
      </c>
      <c r="EV31" s="44">
        <f t="shared" si="125"/>
        <v>340139.22585841827</v>
      </c>
      <c r="EW31" s="44">
        <f t="shared" si="127"/>
        <v>340139.22585841827</v>
      </c>
      <c r="EX31" s="44">
        <f t="shared" si="31"/>
        <v>-19309.294549745042</v>
      </c>
      <c r="EY31" s="44">
        <f t="shared" si="32"/>
        <v>-199033.5547538267</v>
      </c>
      <c r="EZ31" s="44">
        <f t="shared" si="33"/>
        <v>-378757.81495790835</v>
      </c>
      <c r="FA31" s="44">
        <f t="shared" si="129"/>
        <v>-313665.15694900602</v>
      </c>
      <c r="FB31" s="44">
        <f t="shared" si="34"/>
        <v>0</v>
      </c>
      <c r="FD31" s="22">
        <f t="shared" si="48"/>
        <v>27</v>
      </c>
      <c r="FF31" s="22">
        <f t="shared" si="49"/>
        <v>27</v>
      </c>
      <c r="FG31" s="138">
        <f t="shared" si="50"/>
        <v>2051</v>
      </c>
      <c r="FH31" s="90">
        <f t="shared" si="35"/>
        <v>83446.200000000012</v>
      </c>
      <c r="FI31" s="90">
        <f t="shared" si="36"/>
        <v>0</v>
      </c>
      <c r="FJ31" s="90">
        <f t="shared" si="37"/>
        <v>83446.200000000012</v>
      </c>
      <c r="FK31" s="44">
        <f t="shared" si="51"/>
        <v>53227.549440000003</v>
      </c>
      <c r="FL31" s="90" cm="1">
        <f t="array" ref="FL31">IF($CQ$5&lt;$CP$5,_xlfn.XLOOKUP(FD31,$EG$5:$EG$54,$DN$5:$DN$54),IF(OR(AND($CQ$5&gt;$CP$5,$CQ$5&lt;$CO$5),OR($CQ$5&gt;=$CL$5)),_xlfn.XLOOKUP(FD31,$EG$5:$EG$54,$DM$5:DM$54),IF(AND($CQ$5&gt;$CO$5,$CQ$5&lt;$CN$5),_xlfn.XLOOKUP(FD31,$EG$5:$EG$54,$DO$5:$DO$54),IF(AND($CQ$5&gt;$CN$5,$CQ$5&lt;$CM$5),_xlfn.XLOOKUP(FD31,$EG$5:$EG$54,$DP$5:$DP$54),IF(AND($CQ$5&gt;$CM$5,$CQ$5&lt;$CL$5),_xlfn.XLOOKUP(FD31,$EG$5:$EG$54,$DQ$5:$DQ$54))))))</f>
        <v>53227.549440000003</v>
      </c>
      <c r="FM31" s="44">
        <f t="shared" si="52"/>
        <v>0</v>
      </c>
      <c r="FP31" s="22">
        <f t="shared" si="53"/>
        <v>27</v>
      </c>
      <c r="FR31" s="22">
        <f t="shared" si="54"/>
        <v>27</v>
      </c>
      <c r="FS31" s="138">
        <f t="shared" si="55"/>
        <v>2051</v>
      </c>
      <c r="FT31" s="90">
        <f t="shared" si="38"/>
        <v>58843.799999999996</v>
      </c>
      <c r="FU31" s="90">
        <f t="shared" si="39"/>
        <v>0</v>
      </c>
      <c r="FV31" s="90">
        <f t="shared" si="40"/>
        <v>58843.799999999996</v>
      </c>
      <c r="FW31" s="44">
        <f t="shared" si="56"/>
        <v>35803.149841836734</v>
      </c>
      <c r="FX31" s="90" cm="1">
        <f t="array" ref="FX31">IF($CQ$5&lt;$CP$5,_xlfn.XLOOKUP(FP31,$EG$5:$EG$54,$EK$5:$EK$54),IF(OR(AND($CQ$5&gt;$CP$5,$CQ$5&lt;$CO$5),OR($CQ$5&gt;=$CL$5)),_xlfn.XLOOKUP(FP31,$EG$5:$EG$54,$EJ$5:$EJ$54),IF(AND($CQ$5&gt;$CO$5,$CQ$5&lt;$CN$5),_xlfn.XLOOKUP(FP31,$EG$5:$EG$54,$EL$5:$EL$54),IF(AND($CQ$5&gt;$CN$5,$CQ$5&lt;$CM$5),_xlfn.XLOOKUP(FP31,$EG$5:$EG$54,$EM$5:$EM$54),_xlfn.XLOOKUP(FP31,$EG$5:$EG$54,$EN$5:EN$54,IF(AND($CQ$5&gt;$CM$5,$CQ$5&lt;$CL$5),_xlfn.XLOOKUP(FD30,$EG$5:$EG$54,$EY$5:$EY$54),""))))))</f>
        <v>35803.149841836734</v>
      </c>
      <c r="FY31" s="44">
        <f t="shared" si="57"/>
        <v>34909.467474489793</v>
      </c>
    </row>
    <row r="32" spans="1:183" x14ac:dyDescent="0.25">
      <c r="A32" s="54"/>
      <c r="B32" s="54"/>
      <c r="C32" s="48">
        <v>26</v>
      </c>
      <c r="D32" s="86"/>
      <c r="E32" s="87"/>
      <c r="F32" s="87"/>
      <c r="G32" s="87"/>
      <c r="H32" s="87"/>
      <c r="I32" s="4"/>
      <c r="J32" s="4"/>
      <c r="K32" s="4"/>
      <c r="L32" s="4"/>
      <c r="M32" s="4"/>
      <c r="N32" s="86"/>
      <c r="O32" s="87"/>
      <c r="P32" s="87"/>
      <c r="Q32" s="87"/>
      <c r="R32" s="87"/>
      <c r="S32" s="4"/>
      <c r="T32" s="4"/>
      <c r="U32" s="4"/>
      <c r="V32" s="4"/>
      <c r="W32" s="4"/>
      <c r="X32" s="87"/>
      <c r="Y32" s="87"/>
      <c r="Z32" s="43"/>
      <c r="AA32" s="43"/>
      <c r="AB32" s="43"/>
      <c r="AC32" s="104"/>
      <c r="AD32" s="104"/>
      <c r="AE32" s="104"/>
      <c r="AF32" s="104"/>
      <c r="AG32" s="104"/>
      <c r="AH32" s="44"/>
      <c r="AI32" s="44"/>
      <c r="AJ32" s="44"/>
      <c r="AK32" s="44"/>
      <c r="AL32" s="44"/>
      <c r="AM32" s="43"/>
      <c r="AN32" s="43"/>
      <c r="AO32" s="43"/>
      <c r="AP32" s="43"/>
      <c r="AQ32" s="43"/>
      <c r="AR32" s="44">
        <f t="shared" si="76"/>
        <v>0</v>
      </c>
      <c r="AS32" s="44"/>
      <c r="AT32" s="44"/>
      <c r="AU32" s="44"/>
      <c r="AV32" s="44"/>
      <c r="AW32" s="43"/>
      <c r="AX32" s="43"/>
      <c r="AY32" s="43"/>
      <c r="AZ32" s="43"/>
      <c r="BA32" s="43"/>
      <c r="BB32" s="45">
        <f t="shared" si="79"/>
        <v>144179.90496000039</v>
      </c>
      <c r="BC32" s="227">
        <f>VLOOKUP($CQ$6,$CM$109:$DP$120,27,TRUE)</f>
        <v>3.637E-2</v>
      </c>
      <c r="BD32" s="45">
        <f t="shared" si="67"/>
        <v>53242.188479999997</v>
      </c>
      <c r="BE32" s="45">
        <f t="shared" si="98"/>
        <v>1372966.2835199998</v>
      </c>
      <c r="BF32" s="45">
        <f t="shared" si="99"/>
        <v>90937.716480000396</v>
      </c>
      <c r="BG32" s="46">
        <f t="shared" si="80"/>
        <v>226034.55000000045</v>
      </c>
      <c r="BH32" s="60">
        <f>VLOOKUP($CQ$6,$CM$109:$DP$120,27,TRUE)</f>
        <v>3.637E-2</v>
      </c>
      <c r="BI32" s="46">
        <f t="shared" si="68"/>
        <v>83469.149999999994</v>
      </c>
      <c r="BJ32" s="46">
        <f t="shared" si="100"/>
        <v>2152434.5999999992</v>
      </c>
      <c r="BK32" s="46">
        <f t="shared" si="101"/>
        <v>142565.40000000046</v>
      </c>
      <c r="BL32" s="46">
        <f t="shared" si="81"/>
        <v>0</v>
      </c>
      <c r="BM32" s="60">
        <f>VLOOKUP($CQ$6,$CM$109:$DP$120,27,TRUE)</f>
        <v>3.637E-2</v>
      </c>
      <c r="BN32" s="46">
        <f t="shared" si="69"/>
        <v>0</v>
      </c>
      <c r="BO32" s="46">
        <f t="shared" si="102"/>
        <v>0</v>
      </c>
      <c r="BP32" s="46">
        <f t="shared" si="103"/>
        <v>0</v>
      </c>
      <c r="BQ32" s="44">
        <f t="shared" si="82"/>
        <v>508714.72382525523</v>
      </c>
      <c r="BR32" s="100">
        <v>2.564E-2</v>
      </c>
      <c r="BS32" s="44">
        <f t="shared" si="45"/>
        <v>35803.149841836734</v>
      </c>
      <c r="BT32" s="44">
        <f t="shared" si="104"/>
        <v>923467.12499617378</v>
      </c>
      <c r="BU32" s="44">
        <f t="shared" si="105"/>
        <v>472911.57398341852</v>
      </c>
      <c r="BV32" s="44">
        <f t="shared" si="83"/>
        <v>530917.145139031</v>
      </c>
      <c r="BW32" s="100">
        <v>2.5000000000000001E-2</v>
      </c>
      <c r="BX32" s="44">
        <f t="shared" si="46"/>
        <v>34909.467474489793</v>
      </c>
      <c r="BY32" s="44">
        <f t="shared" si="106"/>
        <v>900371.02131505148</v>
      </c>
      <c r="BZ32" s="44">
        <f t="shared" si="107"/>
        <v>496007.67766454117</v>
      </c>
      <c r="CA32" s="44"/>
      <c r="CB32" s="43">
        <f t="shared" si="84"/>
        <v>836091.44999999925</v>
      </c>
      <c r="CC32" s="100">
        <v>2.564E-2</v>
      </c>
      <c r="CD32" s="43">
        <f t="shared" si="47"/>
        <v>58843.799999999996</v>
      </c>
      <c r="CE32" s="43">
        <f t="shared" si="108"/>
        <v>1517752.3500000006</v>
      </c>
      <c r="CF32" s="43">
        <f t="shared" si="109"/>
        <v>777247.64999999921</v>
      </c>
      <c r="CG32" s="43">
        <f t="shared" si="85"/>
        <v>0</v>
      </c>
      <c r="CH32" s="100">
        <v>2.564E-2</v>
      </c>
      <c r="CI32" s="43">
        <f t="shared" si="70"/>
        <v>0</v>
      </c>
      <c r="CJ32" s="43">
        <f t="shared" si="110"/>
        <v>0</v>
      </c>
      <c r="CK32" s="43">
        <f t="shared" si="111"/>
        <v>0</v>
      </c>
      <c r="CR32">
        <f t="shared" si="117"/>
        <v>22</v>
      </c>
      <c r="DB32" s="57"/>
      <c r="DC32" s="57"/>
      <c r="DD32" s="57"/>
      <c r="DJ32" s="22">
        <v>28</v>
      </c>
      <c r="DK32" s="44">
        <f t="shared" si="12"/>
        <v>59119.200000000004</v>
      </c>
      <c r="DL32" s="44">
        <f t="shared" si="13"/>
        <v>37710.16704</v>
      </c>
      <c r="DM32" s="44">
        <f t="shared" si="1"/>
        <v>37710.16704</v>
      </c>
      <c r="DN32" s="44">
        <f t="shared" si="2"/>
        <v>37710.16704</v>
      </c>
      <c r="DO32" s="44">
        <f t="shared" si="14"/>
        <v>37710.16704</v>
      </c>
      <c r="DP32" s="44">
        <f t="shared" si="15"/>
        <v>37710.16704</v>
      </c>
      <c r="DQ32" s="44">
        <f t="shared" si="16"/>
        <v>37710.16704</v>
      </c>
      <c r="DR32" s="44">
        <f t="shared" si="17"/>
        <v>37710.16704</v>
      </c>
      <c r="DS32" s="44">
        <f t="shared" si="3"/>
        <v>0</v>
      </c>
      <c r="DT32" s="44">
        <f t="shared" si="18"/>
        <v>0</v>
      </c>
      <c r="DV32" s="44">
        <f t="shared" si="4"/>
        <v>2294999.9999999995</v>
      </c>
      <c r="DW32" s="44">
        <f t="shared" si="122"/>
        <v>59119.200000000652</v>
      </c>
      <c r="DX32" s="44">
        <f t="shared" si="19"/>
        <v>59119.200000000652</v>
      </c>
      <c r="DY32" s="44">
        <f t="shared" si="123"/>
        <v>59119.200000000652</v>
      </c>
      <c r="DZ32" s="44">
        <f t="shared" si="126"/>
        <v>59119.200000000652</v>
      </c>
      <c r="EA32" s="44">
        <f t="shared" si="21"/>
        <v>-273319.19999999949</v>
      </c>
      <c r="EB32" s="44">
        <f t="shared" si="22"/>
        <v>-439538.39999999944</v>
      </c>
      <c r="EC32" s="44">
        <f t="shared" si="23"/>
        <v>-605757.59999999963</v>
      </c>
      <c r="ED32" s="44">
        <f t="shared" si="128"/>
        <v>-1420563.282393463</v>
      </c>
      <c r="EE32" s="44">
        <f t="shared" si="24"/>
        <v>0</v>
      </c>
      <c r="EG32" s="22">
        <v>28</v>
      </c>
      <c r="EH32" s="44">
        <f t="shared" si="5"/>
        <v>58843.799999999996</v>
      </c>
      <c r="EI32" s="44">
        <f t="shared" si="6"/>
        <v>35803.149841836734</v>
      </c>
      <c r="EJ32" s="44">
        <f t="shared" si="7"/>
        <v>35803.149841836734</v>
      </c>
      <c r="EK32" s="44">
        <f t="shared" si="8"/>
        <v>35803.149841836734</v>
      </c>
      <c r="EL32" s="44">
        <f t="shared" si="25"/>
        <v>35803.149841836734</v>
      </c>
      <c r="EM32" s="44">
        <f t="shared" si="26"/>
        <v>35803.149841836734</v>
      </c>
      <c r="EN32" s="44">
        <f t="shared" si="27"/>
        <v>35803.149841836734</v>
      </c>
      <c r="EO32" s="44">
        <f t="shared" si="28"/>
        <v>35803.149841836734</v>
      </c>
      <c r="EP32" s="44">
        <f t="shared" si="9"/>
        <v>34909.467474489793</v>
      </c>
      <c r="EQ32" s="44">
        <f t="shared" si="29"/>
        <v>0</v>
      </c>
      <c r="ES32" s="44">
        <f t="shared" si="10"/>
        <v>1635439.9500000007</v>
      </c>
      <c r="ET32" s="44">
        <f t="shared" si="124"/>
        <v>317098.57570025488</v>
      </c>
      <c r="EU32" s="44">
        <f t="shared" si="11"/>
        <v>317098.57570025488</v>
      </c>
      <c r="EV32" s="44">
        <f t="shared" si="125"/>
        <v>317098.57570025488</v>
      </c>
      <c r="EW32" s="44">
        <f t="shared" si="127"/>
        <v>317098.57570025488</v>
      </c>
      <c r="EX32" s="44">
        <f t="shared" si="31"/>
        <v>-42349.944707908435</v>
      </c>
      <c r="EY32" s="44">
        <f t="shared" si="32"/>
        <v>-222074.20491198986</v>
      </c>
      <c r="EZ32" s="44">
        <f t="shared" si="33"/>
        <v>-401798.46511607175</v>
      </c>
      <c r="FA32" s="44">
        <f t="shared" si="129"/>
        <v>-337599.48947451636</v>
      </c>
      <c r="FB32" s="44">
        <f t="shared" si="34"/>
        <v>0</v>
      </c>
      <c r="FD32" s="22">
        <f t="shared" si="48"/>
        <v>28</v>
      </c>
      <c r="FF32" s="22">
        <f t="shared" si="49"/>
        <v>28</v>
      </c>
      <c r="FG32" s="138">
        <f t="shared" si="50"/>
        <v>2052</v>
      </c>
      <c r="FH32" s="90">
        <f t="shared" si="35"/>
        <v>59119.200000000004</v>
      </c>
      <c r="FI32" s="90">
        <f t="shared" si="36"/>
        <v>0</v>
      </c>
      <c r="FJ32" s="90">
        <f t="shared" si="37"/>
        <v>59119.200000000004</v>
      </c>
      <c r="FK32" s="44">
        <f t="shared" si="51"/>
        <v>37710.16704</v>
      </c>
      <c r="FL32" s="90" cm="1">
        <f t="array" ref="FL32">IF($CQ$5&lt;$CP$5,_xlfn.XLOOKUP(FD32,$EG$5:$EG$54,$DN$5:$DN$54),IF(OR(AND($CQ$5&gt;$CP$5,$CQ$5&lt;$CO$5),OR($CQ$5&gt;=$CL$5)),_xlfn.XLOOKUP(FD32,$EG$5:$EG$54,$DM$5:DM$54),IF(AND($CQ$5&gt;$CO$5,$CQ$5&lt;$CN$5),_xlfn.XLOOKUP(FD32,$EG$5:$EG$54,$DO$5:$DO$54),IF(AND($CQ$5&gt;$CN$5,$CQ$5&lt;$CM$5),_xlfn.XLOOKUP(FD32,$EG$5:$EG$54,$DP$5:$DP$54),IF(AND($CQ$5&gt;$CM$5,$CQ$5&lt;$CL$5),_xlfn.XLOOKUP(FD32,$EG$5:$EG$54,$DQ$5:$DQ$54))))))</f>
        <v>37710.16704</v>
      </c>
      <c r="FM32" s="44">
        <f t="shared" si="52"/>
        <v>0</v>
      </c>
      <c r="FP32" s="22">
        <f t="shared" si="53"/>
        <v>28</v>
      </c>
      <c r="FR32" s="22">
        <f t="shared" si="54"/>
        <v>28</v>
      </c>
      <c r="FS32" s="138">
        <f t="shared" si="55"/>
        <v>2052</v>
      </c>
      <c r="FT32" s="90">
        <f t="shared" si="38"/>
        <v>58843.799999999996</v>
      </c>
      <c r="FU32" s="90">
        <f t="shared" si="39"/>
        <v>0</v>
      </c>
      <c r="FV32" s="90">
        <f t="shared" si="40"/>
        <v>58843.799999999996</v>
      </c>
      <c r="FW32" s="44">
        <f t="shared" si="56"/>
        <v>35803.149841836734</v>
      </c>
      <c r="FX32" s="90" cm="1">
        <f t="array" ref="FX32">IF($CQ$5&lt;$CP$5,_xlfn.XLOOKUP(FP32,$EG$5:$EG$54,$EK$5:$EK$54),IF(OR(AND($CQ$5&gt;$CP$5,$CQ$5&lt;$CO$5),OR($CQ$5&gt;=$CL$5)),_xlfn.XLOOKUP(FP32,$EG$5:$EG$54,$EJ$5:$EJ$54),IF(AND($CQ$5&gt;$CO$5,$CQ$5&lt;$CN$5),_xlfn.XLOOKUP(FP32,$EG$5:$EG$54,$EL$5:$EL$54),IF(AND($CQ$5&gt;$CN$5,$CQ$5&lt;$CM$5),_xlfn.XLOOKUP(FP32,$EG$5:$EG$54,$EM$5:$EM$54),_xlfn.XLOOKUP(FP32,$EG$5:$EG$54,$EN$5:EN$54,IF(AND($CQ$5&gt;$CM$5,$CQ$5&lt;$CL$5),_xlfn.XLOOKUP(FD31,$EG$5:$EG$54,$EY$5:$EY$54),""))))))</f>
        <v>35803.149841836734</v>
      </c>
      <c r="FY32" s="44">
        <f t="shared" si="57"/>
        <v>34909.467474489793</v>
      </c>
    </row>
    <row r="33" spans="1:181" x14ac:dyDescent="0.25">
      <c r="A33"/>
      <c r="B33"/>
      <c r="C33" s="48">
        <v>27</v>
      </c>
      <c r="D33" s="86"/>
      <c r="E33" s="87"/>
      <c r="F33" s="87"/>
      <c r="G33" s="87"/>
      <c r="H33" s="87"/>
      <c r="I33" s="4"/>
      <c r="J33" s="44"/>
      <c r="K33" s="4"/>
      <c r="L33" s="44"/>
      <c r="M33" s="4"/>
      <c r="N33" s="86"/>
      <c r="O33" s="87"/>
      <c r="P33" s="87"/>
      <c r="Q33" s="87"/>
      <c r="R33" s="87"/>
      <c r="S33" s="4"/>
      <c r="T33" s="44"/>
      <c r="U33" s="4"/>
      <c r="V33" s="44"/>
      <c r="W33" s="4"/>
      <c r="X33" s="87"/>
      <c r="Y33" s="43"/>
      <c r="Z33" s="43"/>
      <c r="AA33" s="43"/>
      <c r="AB33" s="43"/>
      <c r="AC33" s="104"/>
      <c r="AD33" s="104"/>
      <c r="AE33" s="104"/>
      <c r="AF33" s="104"/>
      <c r="AG33" s="104"/>
      <c r="AH33" s="44"/>
      <c r="AI33" s="44"/>
      <c r="AJ33" s="44"/>
      <c r="AK33" s="44"/>
      <c r="AL33" s="44"/>
      <c r="AM33" s="43"/>
      <c r="AN33" s="43"/>
      <c r="AO33" s="43"/>
      <c r="AP33" s="43"/>
      <c r="AQ33" s="43"/>
      <c r="AR33" s="44">
        <f t="shared" si="76"/>
        <v>0</v>
      </c>
      <c r="AS33" s="44"/>
      <c r="AT33" s="44"/>
      <c r="AU33" s="44"/>
      <c r="AV33" s="44"/>
      <c r="AW33" s="43"/>
      <c r="AX33" s="43"/>
      <c r="AY33" s="43"/>
      <c r="AZ33" s="43"/>
      <c r="BA33" s="43"/>
      <c r="BB33" s="45">
        <f t="shared" si="79"/>
        <v>90937.716480000396</v>
      </c>
      <c r="BC33" s="227">
        <f>VLOOKUP($CQ$6,$CM$109:$DP$120,28,TRUE)</f>
        <v>3.6360000000000003E-2</v>
      </c>
      <c r="BD33" s="45">
        <f t="shared" si="67"/>
        <v>53227.549440000003</v>
      </c>
      <c r="BE33" s="45">
        <f t="shared" si="98"/>
        <v>1426193.8329599998</v>
      </c>
      <c r="BF33" s="45">
        <f t="shared" si="99"/>
        <v>37710.167040000393</v>
      </c>
      <c r="BG33" s="46">
        <f t="shared" si="80"/>
        <v>142565.40000000046</v>
      </c>
      <c r="BH33" s="60">
        <f>VLOOKUP($CQ$6,$CM$109:$DP$120,28,TRUE)</f>
        <v>3.6360000000000003E-2</v>
      </c>
      <c r="BI33" s="46">
        <f t="shared" si="68"/>
        <v>83446.200000000012</v>
      </c>
      <c r="BJ33" s="46">
        <f t="shared" si="100"/>
        <v>2235880.7999999993</v>
      </c>
      <c r="BK33" s="46">
        <f t="shared" si="101"/>
        <v>59119.200000000448</v>
      </c>
      <c r="BL33" s="46">
        <f t="shared" si="81"/>
        <v>0</v>
      </c>
      <c r="BM33" s="60">
        <f>VLOOKUP($CQ$6,$CM$109:$DP$120,28,TRUE)</f>
        <v>3.6360000000000003E-2</v>
      </c>
      <c r="BN33" s="46">
        <f t="shared" si="69"/>
        <v>0</v>
      </c>
      <c r="BO33" s="46">
        <f t="shared" si="102"/>
        <v>0</v>
      </c>
      <c r="BP33" s="46">
        <f t="shared" si="103"/>
        <v>0</v>
      </c>
      <c r="BQ33" s="44">
        <f t="shared" si="82"/>
        <v>472911.57398341852</v>
      </c>
      <c r="BR33" s="100">
        <v>2.564E-2</v>
      </c>
      <c r="BS33" s="44">
        <f t="shared" si="45"/>
        <v>35803.149841836734</v>
      </c>
      <c r="BT33" s="44">
        <f t="shared" si="104"/>
        <v>959270.27483801055</v>
      </c>
      <c r="BU33" s="44">
        <f t="shared" si="105"/>
        <v>437108.42414158181</v>
      </c>
      <c r="BV33" s="44">
        <f t="shared" si="83"/>
        <v>496007.67766454117</v>
      </c>
      <c r="BW33" s="100">
        <v>2.5000000000000001E-2</v>
      </c>
      <c r="BX33" s="44">
        <f t="shared" si="46"/>
        <v>34909.467474489793</v>
      </c>
      <c r="BY33" s="44">
        <f t="shared" si="106"/>
        <v>935280.4887895413</v>
      </c>
      <c r="BZ33" s="44">
        <f t="shared" si="107"/>
        <v>461098.21019005135</v>
      </c>
      <c r="CA33" s="44"/>
      <c r="CB33" s="43">
        <f t="shared" si="84"/>
        <v>777247.64999999921</v>
      </c>
      <c r="CC33" s="100">
        <v>2.564E-2</v>
      </c>
      <c r="CD33" s="43">
        <f t="shared" si="47"/>
        <v>58843.799999999996</v>
      </c>
      <c r="CE33" s="43">
        <f t="shared" si="108"/>
        <v>1576596.1500000006</v>
      </c>
      <c r="CF33" s="43">
        <f t="shared" si="109"/>
        <v>718403.84999999916</v>
      </c>
      <c r="CG33" s="43">
        <f t="shared" si="85"/>
        <v>0</v>
      </c>
      <c r="CH33" s="100">
        <v>2.564E-2</v>
      </c>
      <c r="CI33" s="43">
        <f t="shared" si="70"/>
        <v>0</v>
      </c>
      <c r="CJ33" s="43">
        <f t="shared" si="110"/>
        <v>0</v>
      </c>
      <c r="CK33" s="43">
        <f t="shared" si="111"/>
        <v>0</v>
      </c>
      <c r="CR33">
        <f t="shared" si="117"/>
        <v>23</v>
      </c>
      <c r="DB33" s="57"/>
      <c r="DC33" s="57"/>
      <c r="DD33" s="57"/>
      <c r="DJ33" s="22">
        <v>29</v>
      </c>
      <c r="DK33" s="44">
        <f>BI35</f>
        <v>0</v>
      </c>
      <c r="DL33" s="44">
        <f t="shared" si="13"/>
        <v>0</v>
      </c>
      <c r="DM33" s="44">
        <f t="shared" si="1"/>
        <v>0</v>
      </c>
      <c r="DN33" s="44">
        <f t="shared" si="2"/>
        <v>0</v>
      </c>
      <c r="DO33" s="44">
        <f t="shared" si="14"/>
        <v>0</v>
      </c>
      <c r="DP33" s="44">
        <f t="shared" si="15"/>
        <v>0</v>
      </c>
      <c r="DQ33" s="44">
        <f t="shared" si="16"/>
        <v>0</v>
      </c>
      <c r="DR33" s="44">
        <f t="shared" si="17"/>
        <v>0</v>
      </c>
      <c r="DS33" s="44">
        <f t="shared" si="3"/>
        <v>0</v>
      </c>
      <c r="DT33" s="44">
        <f t="shared" si="18"/>
        <v>0</v>
      </c>
      <c r="DV33" s="44"/>
      <c r="DW33" s="44"/>
      <c r="DX33" s="44"/>
      <c r="DY33" s="44">
        <f t="shared" si="123"/>
        <v>0</v>
      </c>
      <c r="DZ33" s="44">
        <f t="shared" si="126"/>
        <v>0</v>
      </c>
      <c r="EA33" s="44">
        <f t="shared" si="21"/>
        <v>-332438.39999999967</v>
      </c>
      <c r="EB33" s="44">
        <f t="shared" si="22"/>
        <v>-498657.59999999963</v>
      </c>
      <c r="EC33" s="44">
        <f t="shared" si="23"/>
        <v>-664876.79999999981</v>
      </c>
      <c r="ED33" s="44">
        <f t="shared" si="128"/>
        <v>-1479682.4823934631</v>
      </c>
      <c r="EE33" s="44">
        <f t="shared" si="24"/>
        <v>0</v>
      </c>
      <c r="EG33" s="22">
        <v>29</v>
      </c>
      <c r="EH33" s="44">
        <f t="shared" si="5"/>
        <v>58843.799999999996</v>
      </c>
      <c r="EI33" s="44">
        <f t="shared" si="6"/>
        <v>35803.149841836734</v>
      </c>
      <c r="EJ33" s="44">
        <f t="shared" si="7"/>
        <v>35803.149841836734</v>
      </c>
      <c r="EK33" s="44">
        <f t="shared" si="8"/>
        <v>35803.149841836734</v>
      </c>
      <c r="EL33" s="44">
        <f t="shared" si="25"/>
        <v>35803.149841836734</v>
      </c>
      <c r="EM33" s="44">
        <f t="shared" si="26"/>
        <v>35803.149841836734</v>
      </c>
      <c r="EN33" s="44">
        <f t="shared" si="27"/>
        <v>35803.149841836734</v>
      </c>
      <c r="EO33" s="44">
        <f t="shared" si="28"/>
        <v>35803.149841836734</v>
      </c>
      <c r="EP33" s="44">
        <f t="shared" si="9"/>
        <v>34909.467474489793</v>
      </c>
      <c r="EQ33" s="44">
        <f t="shared" si="29"/>
        <v>0</v>
      </c>
      <c r="ES33" s="44">
        <f t="shared" si="10"/>
        <v>1694283.7500000007</v>
      </c>
      <c r="ET33" s="44">
        <f t="shared" si="124"/>
        <v>294057.92554209149</v>
      </c>
      <c r="EU33" s="44">
        <f t="shared" si="11"/>
        <v>294057.92554209149</v>
      </c>
      <c r="EV33" s="44">
        <f t="shared" si="125"/>
        <v>294057.92554209149</v>
      </c>
      <c r="EW33" s="44">
        <f t="shared" si="127"/>
        <v>294057.92554209172</v>
      </c>
      <c r="EX33" s="44">
        <f t="shared" si="31"/>
        <v>-65390.594866071828</v>
      </c>
      <c r="EY33" s="44">
        <f t="shared" si="32"/>
        <v>-245114.85507015325</v>
      </c>
      <c r="EZ33" s="44">
        <f t="shared" si="33"/>
        <v>-424839.11527423491</v>
      </c>
      <c r="FA33" s="44">
        <f t="shared" si="129"/>
        <v>-361533.8220000267</v>
      </c>
      <c r="FB33" s="44">
        <f t="shared" si="34"/>
        <v>0</v>
      </c>
      <c r="FD33" s="22">
        <f t="shared" si="48"/>
        <v>29</v>
      </c>
      <c r="FF33" s="22">
        <f t="shared" si="49"/>
        <v>29</v>
      </c>
      <c r="FG33" s="138">
        <f t="shared" si="50"/>
        <v>2053</v>
      </c>
      <c r="FH33" s="90">
        <f t="shared" si="35"/>
        <v>0</v>
      </c>
      <c r="FI33" s="90">
        <f t="shared" si="36"/>
        <v>0</v>
      </c>
      <c r="FJ33" s="90">
        <f t="shared" si="37"/>
        <v>0</v>
      </c>
      <c r="FK33" s="44">
        <f t="shared" si="51"/>
        <v>0</v>
      </c>
      <c r="FL33" s="90" cm="1">
        <f t="array" ref="FL33">IF($CQ$5&lt;$CP$5,_xlfn.XLOOKUP(FD33,$EG$5:$EG$54,$DN$5:$DN$54),IF(OR(AND($CQ$5&gt;$CP$5,$CQ$5&lt;$CO$5),OR($CQ$5&gt;=$CL$5)),_xlfn.XLOOKUP(FD33,$EG$5:$EG$54,$DM$5:DM$54),IF(AND($CQ$5&gt;$CO$5,$CQ$5&lt;$CN$5),_xlfn.XLOOKUP(FD33,$EG$5:$EG$54,$DO$5:$DO$54),IF(AND($CQ$5&gt;$CN$5,$CQ$5&lt;$CM$5),_xlfn.XLOOKUP(FD33,$EG$5:$EG$54,$DP$5:$DP$54),IF(AND($CQ$5&gt;$CM$5,$CQ$5&lt;$CL$5),_xlfn.XLOOKUP(FD33,$EG$5:$EG$54,$DQ$5:$DQ$54))))))</f>
        <v>0</v>
      </c>
      <c r="FM33" s="44">
        <f t="shared" si="52"/>
        <v>0</v>
      </c>
      <c r="FP33" s="22">
        <f t="shared" si="53"/>
        <v>29</v>
      </c>
      <c r="FR33" s="22">
        <f t="shared" si="54"/>
        <v>29</v>
      </c>
      <c r="FS33" s="138">
        <f t="shared" si="55"/>
        <v>2053</v>
      </c>
      <c r="FT33" s="90">
        <f t="shared" si="38"/>
        <v>58843.799999999996</v>
      </c>
      <c r="FU33" s="90">
        <f t="shared" si="39"/>
        <v>0</v>
      </c>
      <c r="FV33" s="90">
        <f t="shared" si="40"/>
        <v>58843.799999999996</v>
      </c>
      <c r="FW33" s="44">
        <f t="shared" si="56"/>
        <v>35803.149841836734</v>
      </c>
      <c r="FX33" s="90" cm="1">
        <f t="array" ref="FX33">IF($CQ$5&lt;$CP$5,_xlfn.XLOOKUP(FP33,$EG$5:$EG$54,$EK$5:$EK$54),IF(OR(AND($CQ$5&gt;$CP$5,$CQ$5&lt;$CO$5),OR($CQ$5&gt;=$CL$5)),_xlfn.XLOOKUP(FP33,$EG$5:$EG$54,$EJ$5:$EJ$54),IF(AND($CQ$5&gt;$CO$5,$CQ$5&lt;$CN$5),_xlfn.XLOOKUP(FP33,$EG$5:$EG$54,$EL$5:$EL$54),IF(AND($CQ$5&gt;$CN$5,$CQ$5&lt;$CM$5),_xlfn.XLOOKUP(FP33,$EG$5:$EG$54,$EM$5:$EM$54),_xlfn.XLOOKUP(FP33,$EG$5:$EG$54,$EN$5:EN$54,IF(AND($CQ$5&gt;$CM$5,$CQ$5&lt;$CL$5),_xlfn.XLOOKUP(FD32,$EG$5:$EG$54,$EY$5:$EY$54),""))))))</f>
        <v>35803.149841836734</v>
      </c>
      <c r="FY33" s="44">
        <f t="shared" si="57"/>
        <v>34909.467474489793</v>
      </c>
    </row>
    <row r="34" spans="1:181" x14ac:dyDescent="0.25">
      <c r="A34"/>
      <c r="B34"/>
      <c r="C34" s="48">
        <v>28</v>
      </c>
      <c r="D34" s="86"/>
      <c r="E34" s="87"/>
      <c r="F34" s="87"/>
      <c r="G34" s="87"/>
      <c r="H34" s="87"/>
      <c r="I34" s="4"/>
      <c r="J34" s="44"/>
      <c r="K34" s="4"/>
      <c r="L34" s="44"/>
      <c r="M34" s="4"/>
      <c r="N34" s="86"/>
      <c r="O34" s="87"/>
      <c r="P34" s="87"/>
      <c r="Q34" s="87"/>
      <c r="R34" s="87"/>
      <c r="S34" s="4"/>
      <c r="T34" s="44"/>
      <c r="U34" s="4"/>
      <c r="V34" s="44"/>
      <c r="W34" s="4"/>
      <c r="X34" s="87"/>
      <c r="Y34" s="43"/>
      <c r="Z34" s="43"/>
      <c r="AA34" s="43"/>
      <c r="AB34" s="43"/>
      <c r="AC34" s="104"/>
      <c r="AD34" s="104"/>
      <c r="AE34" s="104"/>
      <c r="AF34" s="104"/>
      <c r="AG34" s="104"/>
      <c r="AH34" s="44"/>
      <c r="AI34" s="44"/>
      <c r="AJ34" s="44"/>
      <c r="AK34" s="44"/>
      <c r="AL34" s="44"/>
      <c r="AM34" s="43"/>
      <c r="AN34" s="43"/>
      <c r="AO34" s="43"/>
      <c r="AP34" s="43"/>
      <c r="AQ34" s="43"/>
      <c r="AR34" s="44">
        <f t="shared" si="76"/>
        <v>0</v>
      </c>
      <c r="AS34" s="44"/>
      <c r="AT34" s="44"/>
      <c r="AU34" s="44"/>
      <c r="AV34" s="44"/>
      <c r="AW34" s="43"/>
      <c r="AX34" s="43"/>
      <c r="AY34" s="43"/>
      <c r="AZ34" s="43"/>
      <c r="BA34" s="43"/>
      <c r="BB34" s="45">
        <f t="shared" si="79"/>
        <v>37710.167040000393</v>
      </c>
      <c r="BC34" s="227">
        <f>VLOOKUP($CQ$6,$CM$109:$DP$120,29,TRUE)</f>
        <v>2.5760000000000002E-2</v>
      </c>
      <c r="BD34" s="45">
        <f t="shared" si="67"/>
        <v>37710.16704</v>
      </c>
      <c r="BE34" s="45">
        <f t="shared" si="98"/>
        <v>1463903.9999999998</v>
      </c>
      <c r="BF34" s="45">
        <f t="shared" si="99"/>
        <v>3.92901711165905E-10</v>
      </c>
      <c r="BG34" s="46">
        <f t="shared" si="80"/>
        <v>59119.200000000448</v>
      </c>
      <c r="BH34" s="60">
        <f>VLOOKUP($CQ$6,$CM$109:$DP$120,29,TRUE)</f>
        <v>2.5760000000000002E-2</v>
      </c>
      <c r="BI34" s="46">
        <f t="shared" si="68"/>
        <v>59119.200000000004</v>
      </c>
      <c r="BJ34" s="46">
        <f t="shared" si="100"/>
        <v>2294999.9999999995</v>
      </c>
      <c r="BK34" s="46">
        <f t="shared" si="101"/>
        <v>4.4383341446518898E-10</v>
      </c>
      <c r="BL34" s="46">
        <f t="shared" si="81"/>
        <v>0</v>
      </c>
      <c r="BM34" s="60">
        <f>VLOOKUP($CQ$13,$CM$109:$DP$120,29,TRUE)</f>
        <v>3.6360000000000003E-2</v>
      </c>
      <c r="BN34" s="46">
        <f t="shared" si="69"/>
        <v>0</v>
      </c>
      <c r="BO34" s="46">
        <f t="shared" si="102"/>
        <v>0</v>
      </c>
      <c r="BP34" s="46">
        <f t="shared" si="103"/>
        <v>0</v>
      </c>
      <c r="BQ34" s="44">
        <f t="shared" si="82"/>
        <v>437108.42414158181</v>
      </c>
      <c r="BR34" s="100">
        <v>2.564E-2</v>
      </c>
      <c r="BS34" s="44">
        <f t="shared" si="45"/>
        <v>35803.149841836734</v>
      </c>
      <c r="BT34" s="44">
        <f t="shared" si="104"/>
        <v>995073.42467984732</v>
      </c>
      <c r="BU34" s="44">
        <f t="shared" si="105"/>
        <v>401305.2742997451</v>
      </c>
      <c r="BV34" s="44">
        <f t="shared" si="83"/>
        <v>461098.21019005135</v>
      </c>
      <c r="BW34" s="100">
        <v>2.5000000000000001E-2</v>
      </c>
      <c r="BX34" s="44">
        <f t="shared" si="46"/>
        <v>34909.467474489793</v>
      </c>
      <c r="BY34" s="44">
        <f t="shared" si="106"/>
        <v>970189.95626403112</v>
      </c>
      <c r="BZ34" s="44">
        <f t="shared" si="107"/>
        <v>426188.74271556153</v>
      </c>
      <c r="CA34" s="44"/>
      <c r="CB34" s="43">
        <f t="shared" si="84"/>
        <v>718403.84999999916</v>
      </c>
      <c r="CC34" s="100">
        <v>2.564E-2</v>
      </c>
      <c r="CD34" s="43">
        <f t="shared" si="47"/>
        <v>58843.799999999996</v>
      </c>
      <c r="CE34" s="43">
        <f t="shared" si="108"/>
        <v>1635439.9500000007</v>
      </c>
      <c r="CF34" s="43">
        <f t="shared" si="109"/>
        <v>659560.04999999912</v>
      </c>
      <c r="CG34" s="43">
        <f t="shared" si="85"/>
        <v>0</v>
      </c>
      <c r="CH34" s="100">
        <v>2.564E-2</v>
      </c>
      <c r="CI34" s="43">
        <f t="shared" si="70"/>
        <v>0</v>
      </c>
      <c r="CJ34" s="43">
        <f t="shared" si="110"/>
        <v>0</v>
      </c>
      <c r="CK34" s="43">
        <f t="shared" si="111"/>
        <v>0</v>
      </c>
      <c r="CR34">
        <f t="shared" si="117"/>
        <v>24</v>
      </c>
      <c r="DB34" s="57"/>
      <c r="DC34" s="57"/>
      <c r="DD34" s="57"/>
      <c r="DJ34" s="22">
        <v>30</v>
      </c>
      <c r="DK34" s="44">
        <f t="shared" si="12"/>
        <v>0</v>
      </c>
      <c r="DL34" s="44">
        <f t="shared" si="13"/>
        <v>0</v>
      </c>
      <c r="DM34" s="44">
        <f t="shared" si="1"/>
        <v>0</v>
      </c>
      <c r="DN34" s="44">
        <f t="shared" si="2"/>
        <v>0</v>
      </c>
      <c r="DO34" s="44">
        <f t="shared" si="14"/>
        <v>0</v>
      </c>
      <c r="DP34" s="44">
        <f t="shared" si="15"/>
        <v>0</v>
      </c>
      <c r="DQ34" s="44">
        <f t="shared" si="16"/>
        <v>0</v>
      </c>
      <c r="DR34" s="44">
        <f t="shared" si="17"/>
        <v>0</v>
      </c>
      <c r="DS34" s="44">
        <f t="shared" si="3"/>
        <v>0</v>
      </c>
      <c r="DT34" s="44"/>
      <c r="DV34" s="44"/>
      <c r="DW34" s="44"/>
      <c r="DX34" s="44"/>
      <c r="DY34" s="44">
        <v>0</v>
      </c>
      <c r="DZ34" s="44">
        <v>0</v>
      </c>
      <c r="EA34" s="44">
        <f t="shared" si="21"/>
        <v>-1796342.3999999994</v>
      </c>
      <c r="EB34" s="44">
        <f t="shared" si="22"/>
        <v>-1962561.5999999994</v>
      </c>
      <c r="EC34" s="44">
        <f t="shared" si="23"/>
        <v>-2128780.7999999993</v>
      </c>
      <c r="ED34" s="44">
        <f t="shared" si="128"/>
        <v>-1479682.4823934631</v>
      </c>
      <c r="EE34" s="44">
        <f t="shared" si="24"/>
        <v>0</v>
      </c>
      <c r="EG34" s="22">
        <v>30</v>
      </c>
      <c r="EH34" s="44">
        <f t="shared" si="5"/>
        <v>58843.799999999996</v>
      </c>
      <c r="EI34" s="44">
        <f t="shared" si="6"/>
        <v>35803.149841836734</v>
      </c>
      <c r="EJ34" s="44">
        <f t="shared" si="7"/>
        <v>35803.149841836734</v>
      </c>
      <c r="EK34" s="44">
        <f t="shared" si="8"/>
        <v>35803.149841836734</v>
      </c>
      <c r="EL34" s="44">
        <f t="shared" si="25"/>
        <v>35803.149841836734</v>
      </c>
      <c r="EM34" s="44">
        <f t="shared" si="26"/>
        <v>35803.149841836734</v>
      </c>
      <c r="EN34" s="44">
        <f t="shared" si="27"/>
        <v>35803.149841836734</v>
      </c>
      <c r="EO34" s="44">
        <f t="shared" si="28"/>
        <v>35803.149841836734</v>
      </c>
      <c r="EP34" s="44">
        <f t="shared" si="9"/>
        <v>34909.467474489793</v>
      </c>
      <c r="EQ34" s="44">
        <f t="shared" si="29"/>
        <v>0</v>
      </c>
      <c r="ES34" s="44">
        <f t="shared" si="10"/>
        <v>1753127.5500000007</v>
      </c>
      <c r="ET34" s="44">
        <f t="shared" si="124"/>
        <v>271017.27538392809</v>
      </c>
      <c r="EU34" s="44">
        <f t="shared" si="11"/>
        <v>271017.27538392809</v>
      </c>
      <c r="EV34" s="44">
        <f t="shared" si="125"/>
        <v>271017.27538392809</v>
      </c>
      <c r="EW34" s="44">
        <f t="shared" si="127"/>
        <v>271017.27538392833</v>
      </c>
      <c r="EX34" s="44">
        <f t="shared" si="31"/>
        <v>-88431.245024235221</v>
      </c>
      <c r="EY34" s="44">
        <f t="shared" si="32"/>
        <v>-268155.50522831664</v>
      </c>
      <c r="EZ34" s="44">
        <f t="shared" si="33"/>
        <v>-447879.7654323983</v>
      </c>
      <c r="FA34" s="44">
        <f t="shared" si="129"/>
        <v>-385468.15452553681</v>
      </c>
      <c r="FB34" s="44">
        <f t="shared" si="34"/>
        <v>0</v>
      </c>
      <c r="FD34" s="22">
        <f t="shared" si="48"/>
        <v>30</v>
      </c>
      <c r="FF34" s="22">
        <f t="shared" si="49"/>
        <v>30</v>
      </c>
      <c r="FG34" s="138">
        <f t="shared" si="50"/>
        <v>2054</v>
      </c>
      <c r="FH34" s="90">
        <f t="shared" si="35"/>
        <v>0</v>
      </c>
      <c r="FI34" s="90">
        <f t="shared" si="36"/>
        <v>0</v>
      </c>
      <c r="FJ34" s="90">
        <f t="shared" si="37"/>
        <v>0</v>
      </c>
      <c r="FK34" s="44">
        <f t="shared" si="51"/>
        <v>0</v>
      </c>
      <c r="FL34" s="90" cm="1">
        <f t="array" ref="FL34">IF($CQ$5&lt;$CP$5,_xlfn.XLOOKUP(FD34,$EG$5:$EG$54,$DN$5:$DN$54),IF(OR(AND($CQ$5&gt;$CP$5,$CQ$5&lt;$CO$5),OR($CQ$5&gt;=$CL$5)),_xlfn.XLOOKUP(FD34,$EG$5:$EG$54,$DM$5:DM$54),IF(AND($CQ$5&gt;$CO$5,$CQ$5&lt;$CN$5),_xlfn.XLOOKUP(FD34,$EG$5:$EG$54,$DO$5:$DO$54),IF(AND($CQ$5&gt;$CN$5,$CQ$5&lt;$CM$5),_xlfn.XLOOKUP(FD34,$EG$5:$EG$54,$DP$5:$DP$54),IF(AND($CQ$5&gt;$CM$5,$CQ$5&lt;$CL$5),_xlfn.XLOOKUP(FD34,$EG$5:$EG$54,$DQ$5:$DQ$54))))))</f>
        <v>0</v>
      </c>
      <c r="FM34" s="44">
        <f t="shared" si="52"/>
        <v>0</v>
      </c>
      <c r="FP34" s="22">
        <f t="shared" si="53"/>
        <v>30</v>
      </c>
      <c r="FR34" s="22">
        <f t="shared" si="54"/>
        <v>30</v>
      </c>
      <c r="FS34" s="138">
        <f t="shared" si="55"/>
        <v>2054</v>
      </c>
      <c r="FT34" s="90">
        <f t="shared" si="38"/>
        <v>58843.799999999996</v>
      </c>
      <c r="FU34" s="90">
        <f t="shared" si="39"/>
        <v>0</v>
      </c>
      <c r="FV34" s="90">
        <f t="shared" si="40"/>
        <v>58843.799999999996</v>
      </c>
      <c r="FW34" s="44">
        <f t="shared" si="56"/>
        <v>35803.149841836734</v>
      </c>
      <c r="FX34" s="90" cm="1">
        <f t="array" ref="FX34">IF($CQ$5&lt;$CP$5,_xlfn.XLOOKUP(FP34,$EG$5:$EG$54,$EK$5:$EK$54),IF(OR(AND($CQ$5&gt;$CP$5,$CQ$5&lt;$CO$5),OR($CQ$5&gt;=$CL$5)),_xlfn.XLOOKUP(FP34,$EG$5:$EG$54,$EJ$5:$EJ$54),IF(AND($CQ$5&gt;$CO$5,$CQ$5&lt;$CN$5),_xlfn.XLOOKUP(FP34,$EG$5:$EG$54,$EL$5:$EL$54),IF(AND($CQ$5&gt;$CN$5,$CQ$5&lt;$CM$5),_xlfn.XLOOKUP(FP34,$EG$5:$EG$54,$EM$5:$EM$54),_xlfn.XLOOKUP(FP34,$EG$5:$EG$54,$EN$5:EN$54,IF(AND($CQ$5&gt;$CM$5,$CQ$5&lt;$CL$5),_xlfn.XLOOKUP(FD33,$EG$5:$EG$54,$EY$5:$EY$54),""))))))</f>
        <v>35803.149841836734</v>
      </c>
      <c r="FY34" s="44">
        <f t="shared" si="57"/>
        <v>34909.467474489793</v>
      </c>
    </row>
    <row r="35" spans="1:181" x14ac:dyDescent="0.25">
      <c r="A35"/>
      <c r="B35"/>
      <c r="C35" s="48">
        <v>29</v>
      </c>
      <c r="D35" s="86"/>
      <c r="E35" s="87"/>
      <c r="F35" s="87"/>
      <c r="G35" s="87"/>
      <c r="H35" s="87"/>
      <c r="I35" s="4"/>
      <c r="J35" s="44"/>
      <c r="K35" s="4"/>
      <c r="L35" s="44"/>
      <c r="M35" s="4"/>
      <c r="N35" s="86"/>
      <c r="O35" s="87"/>
      <c r="P35" s="87"/>
      <c r="Q35" s="87"/>
      <c r="R35" s="87"/>
      <c r="S35" s="4"/>
      <c r="T35" s="44"/>
      <c r="U35" s="4"/>
      <c r="V35" s="44"/>
      <c r="W35" s="4"/>
      <c r="X35" s="87"/>
      <c r="Y35" s="43"/>
      <c r="Z35" s="43"/>
      <c r="AA35" s="43"/>
      <c r="AB35" s="43"/>
      <c r="AC35" s="107"/>
      <c r="AD35" s="107"/>
      <c r="AE35" s="104"/>
      <c r="AF35" s="104"/>
      <c r="AG35" s="104"/>
      <c r="AH35" s="44"/>
      <c r="AI35" s="44"/>
      <c r="AJ35" s="44"/>
      <c r="AK35" s="44"/>
      <c r="AL35" s="44"/>
      <c r="AM35" s="43"/>
      <c r="AN35" s="43"/>
      <c r="AO35" s="43"/>
      <c r="AP35" s="43"/>
      <c r="AQ35" s="43"/>
      <c r="AR35" s="44">
        <f t="shared" si="76"/>
        <v>0</v>
      </c>
      <c r="AS35" s="44"/>
      <c r="AT35" s="44"/>
      <c r="AU35" s="44"/>
      <c r="AV35" s="44"/>
      <c r="AW35" s="43"/>
      <c r="AX35" s="43"/>
      <c r="AY35" s="43"/>
      <c r="AZ35" s="43"/>
      <c r="BA35" s="43"/>
      <c r="BB35" s="45">
        <f t="shared" si="79"/>
        <v>3.92901711165905E-10</v>
      </c>
      <c r="BC35" s="227">
        <f>_xlfn.XLOOKUP($CQ$6,$CM$109:$CM$120,$DP$109:$DP$120,0)</f>
        <v>0</v>
      </c>
      <c r="BD35" s="45">
        <f t="shared" si="67"/>
        <v>0</v>
      </c>
      <c r="BE35" s="45">
        <f t="shared" si="98"/>
        <v>1463903.9999999998</v>
      </c>
      <c r="BF35" s="45">
        <f t="shared" si="99"/>
        <v>3.92901711165905E-10</v>
      </c>
      <c r="BG35" s="46">
        <f t="shared" si="80"/>
        <v>4.4383341446518898E-10</v>
      </c>
      <c r="BH35" s="60">
        <f>VLOOKUP($CQ$6,$CM$109:$DP$120,30,TRUE)</f>
        <v>0</v>
      </c>
      <c r="BI35" s="46">
        <f t="shared" si="68"/>
        <v>0</v>
      </c>
      <c r="BJ35" s="46">
        <f t="shared" si="100"/>
        <v>2294999.9999999995</v>
      </c>
      <c r="BK35" s="46">
        <f>BG35-BI35</f>
        <v>4.4383341446518898E-10</v>
      </c>
      <c r="BL35" s="46">
        <f t="shared" si="81"/>
        <v>0</v>
      </c>
      <c r="BM35" s="60">
        <f>_xlfn.XLOOKUP($CQ$13,$CM$109:$CM$120,DP109:DP120,0)</f>
        <v>1.6670000000000001E-2</v>
      </c>
      <c r="BN35" s="46">
        <f t="shared" si="69"/>
        <v>0</v>
      </c>
      <c r="BO35" s="46">
        <f t="shared" si="102"/>
        <v>0</v>
      </c>
      <c r="BP35" s="46">
        <f t="shared" si="103"/>
        <v>0</v>
      </c>
      <c r="BQ35" s="44">
        <f t="shared" si="82"/>
        <v>401305.2742997451</v>
      </c>
      <c r="BR35" s="100">
        <v>2.564E-2</v>
      </c>
      <c r="BS35" s="44">
        <f t="shared" si="45"/>
        <v>35803.149841836734</v>
      </c>
      <c r="BT35" s="44">
        <f t="shared" si="104"/>
        <v>1030876.5745216841</v>
      </c>
      <c r="BU35" s="44">
        <f t="shared" si="105"/>
        <v>365502.12445790839</v>
      </c>
      <c r="BV35" s="44">
        <f t="shared" si="83"/>
        <v>426188.74271556153</v>
      </c>
      <c r="BW35" s="100">
        <v>2.5000000000000001E-2</v>
      </c>
      <c r="BX35" s="44">
        <f t="shared" si="46"/>
        <v>34909.467474489793</v>
      </c>
      <c r="BY35" s="44">
        <f t="shared" si="106"/>
        <v>1005099.4237385209</v>
      </c>
      <c r="BZ35" s="44">
        <f t="shared" si="107"/>
        <v>391279.27524107171</v>
      </c>
      <c r="CA35" s="44"/>
      <c r="CB35" s="43">
        <f t="shared" si="84"/>
        <v>659560.04999999912</v>
      </c>
      <c r="CC35" s="100">
        <v>2.564E-2</v>
      </c>
      <c r="CD35" s="43">
        <f t="shared" si="47"/>
        <v>58843.799999999996</v>
      </c>
      <c r="CE35" s="43">
        <f t="shared" si="108"/>
        <v>1694283.7500000007</v>
      </c>
      <c r="CF35" s="43">
        <f t="shared" si="109"/>
        <v>600716.24999999907</v>
      </c>
      <c r="CG35" s="43">
        <f t="shared" si="85"/>
        <v>0</v>
      </c>
      <c r="CH35" s="100">
        <v>2.564E-2</v>
      </c>
      <c r="CI35" s="43">
        <f t="shared" si="70"/>
        <v>0</v>
      </c>
      <c r="CJ35" s="43">
        <f t="shared" si="110"/>
        <v>0</v>
      </c>
      <c r="CK35" s="43">
        <f t="shared" si="111"/>
        <v>0</v>
      </c>
      <c r="CR35">
        <f t="shared" si="117"/>
        <v>25</v>
      </c>
      <c r="DB35" s="57"/>
      <c r="DC35" s="57"/>
      <c r="DD35" s="57"/>
      <c r="DJ35" s="22">
        <v>31</v>
      </c>
      <c r="DK35" s="44">
        <f t="shared" si="12"/>
        <v>0</v>
      </c>
      <c r="DL35" s="44">
        <f t="shared" si="13"/>
        <v>0</v>
      </c>
      <c r="DM35" s="44">
        <f t="shared" si="1"/>
        <v>0</v>
      </c>
      <c r="DN35" s="44">
        <f t="shared" si="2"/>
        <v>0</v>
      </c>
      <c r="DO35" s="44">
        <f t="shared" si="14"/>
        <v>0</v>
      </c>
      <c r="DP35" s="44">
        <f t="shared" si="15"/>
        <v>0</v>
      </c>
      <c r="DQ35" s="44">
        <f t="shared" si="16"/>
        <v>0</v>
      </c>
      <c r="DR35" s="44">
        <f t="shared" si="17"/>
        <v>0</v>
      </c>
      <c r="DS35" s="44">
        <f t="shared" si="3"/>
        <v>0</v>
      </c>
      <c r="DT35" s="44"/>
      <c r="DV35" s="44"/>
      <c r="DW35" s="44"/>
      <c r="DX35" s="44"/>
      <c r="DY35" s="44"/>
      <c r="DZ35" s="44"/>
      <c r="EA35" s="44"/>
      <c r="EB35" s="44"/>
      <c r="EC35" s="44"/>
      <c r="ED35" s="44"/>
      <c r="EE35" s="44"/>
      <c r="EG35" s="22">
        <v>31</v>
      </c>
      <c r="EH35" s="44">
        <f t="shared" si="5"/>
        <v>58843.799999999996</v>
      </c>
      <c r="EI35" s="44">
        <f t="shared" si="6"/>
        <v>35803.149841836734</v>
      </c>
      <c r="EJ35" s="44">
        <f t="shared" si="7"/>
        <v>35803.149841836734</v>
      </c>
      <c r="EK35" s="44">
        <f t="shared" si="8"/>
        <v>35803.149841836734</v>
      </c>
      <c r="EL35" s="44">
        <f t="shared" si="25"/>
        <v>35803.149841836734</v>
      </c>
      <c r="EM35" s="44">
        <f t="shared" si="26"/>
        <v>35803.149841836734</v>
      </c>
      <c r="EN35" s="44">
        <f t="shared" si="27"/>
        <v>35803.149841836734</v>
      </c>
      <c r="EO35" s="44">
        <f t="shared" si="28"/>
        <v>35803.149841836734</v>
      </c>
      <c r="EP35" s="44">
        <f t="shared" si="9"/>
        <v>34909.467474489793</v>
      </c>
      <c r="EQ35" s="44">
        <f t="shared" si="29"/>
        <v>0</v>
      </c>
      <c r="ES35" s="44">
        <f t="shared" si="10"/>
        <v>1811971.3500000008</v>
      </c>
      <c r="ET35" s="44">
        <f t="shared" si="124"/>
        <v>247976.6252257647</v>
      </c>
      <c r="EU35" s="44">
        <f t="shared" si="11"/>
        <v>247976.6252257647</v>
      </c>
      <c r="EV35" s="44">
        <f t="shared" si="125"/>
        <v>247976.6252257647</v>
      </c>
      <c r="EW35" s="44">
        <f t="shared" si="127"/>
        <v>247976.62522576493</v>
      </c>
      <c r="EX35" s="44">
        <f t="shared" si="31"/>
        <v>-111471.89518239861</v>
      </c>
      <c r="EY35" s="44">
        <f t="shared" si="32"/>
        <v>-291196.15538648004</v>
      </c>
      <c r="EZ35" s="44">
        <f t="shared" si="33"/>
        <v>-470920.41559056169</v>
      </c>
      <c r="FA35" s="44">
        <f t="shared" si="129"/>
        <v>-409402.48705104715</v>
      </c>
      <c r="FB35" s="44">
        <f t="shared" si="34"/>
        <v>0</v>
      </c>
      <c r="FD35" s="22">
        <f t="shared" si="48"/>
        <v>31</v>
      </c>
      <c r="FF35" s="22">
        <f t="shared" si="49"/>
        <v>31</v>
      </c>
      <c r="FG35" s="138">
        <f t="shared" si="50"/>
        <v>2055</v>
      </c>
      <c r="FH35" s="90">
        <f t="shared" si="35"/>
        <v>0</v>
      </c>
      <c r="FI35" s="90">
        <f t="shared" si="36"/>
        <v>0</v>
      </c>
      <c r="FJ35" s="90">
        <f t="shared" si="37"/>
        <v>0</v>
      </c>
      <c r="FK35" s="44">
        <f t="shared" si="51"/>
        <v>0</v>
      </c>
      <c r="FL35" s="90" cm="1">
        <f t="array" ref="FL35">IF($CQ$5&lt;$CP$5,_xlfn.XLOOKUP(FD35,$EG$5:$EG$54,$DN$5:$DN$54),IF(OR(AND($CQ$5&gt;$CP$5,$CQ$5&lt;$CO$5),OR($CQ$5&gt;=$CL$5)),_xlfn.XLOOKUP(FD35,$EG$5:$EG$54,$DM$5:DM$54),IF(AND($CQ$5&gt;$CO$5,$CQ$5&lt;$CN$5),_xlfn.XLOOKUP(FD35,$EG$5:$EG$54,$DO$5:$DO$54),IF(AND($CQ$5&gt;$CN$5,$CQ$5&lt;$CM$5),_xlfn.XLOOKUP(FD35,$EG$5:$EG$54,$DP$5:$DP$54),IF(AND($CQ$5&gt;$CM$5,$CQ$5&lt;$CL$5),_xlfn.XLOOKUP(FD35,$EG$5:$EG$54,$DQ$5:$DQ$54))))))</f>
        <v>0</v>
      </c>
      <c r="FM35" s="44">
        <f t="shared" si="52"/>
        <v>0</v>
      </c>
      <c r="FP35" s="22">
        <f t="shared" si="53"/>
        <v>31</v>
      </c>
      <c r="FR35" s="22">
        <f t="shared" si="54"/>
        <v>31</v>
      </c>
      <c r="FS35" s="138">
        <f t="shared" si="55"/>
        <v>2055</v>
      </c>
      <c r="FT35" s="90">
        <f t="shared" si="38"/>
        <v>58843.799999999996</v>
      </c>
      <c r="FU35" s="90">
        <f t="shared" si="39"/>
        <v>0</v>
      </c>
      <c r="FV35" s="90">
        <f t="shared" si="40"/>
        <v>58843.799999999996</v>
      </c>
      <c r="FW35" s="44">
        <f t="shared" si="56"/>
        <v>35803.149841836734</v>
      </c>
      <c r="FX35" s="90" cm="1">
        <f t="array" ref="FX35">IF($CQ$5&lt;$CP$5,_xlfn.XLOOKUP(FP35,$EG$5:$EG$54,$EK$5:$EK$54),IF(OR(AND($CQ$5&gt;$CP$5,$CQ$5&lt;$CO$5),OR($CQ$5&gt;=$CL$5)),_xlfn.XLOOKUP(FP35,$EG$5:$EG$54,$EJ$5:$EJ$54),IF(AND($CQ$5&gt;$CO$5,$CQ$5&lt;$CN$5),_xlfn.XLOOKUP(FP35,$EG$5:$EG$54,$EL$5:$EL$54),IF(AND($CQ$5&gt;$CN$5,$CQ$5&lt;$CM$5),_xlfn.XLOOKUP(FP35,$EG$5:$EG$54,$EM$5:$EM$54),_xlfn.XLOOKUP(FP35,$EG$5:$EG$54,$EN$5:EN$54,IF(AND($CQ$5&gt;$CM$5,$CQ$5&lt;$CL$5),_xlfn.XLOOKUP(FD34,$EG$5:$EG$54,$EY$5:$EY$54),""))))))</f>
        <v>35803.149841836734</v>
      </c>
      <c r="FY35" s="44">
        <f t="shared" si="57"/>
        <v>34909.467474489793</v>
      </c>
    </row>
    <row r="36" spans="1:181" x14ac:dyDescent="0.25">
      <c r="A36"/>
      <c r="B36"/>
      <c r="C36" s="48">
        <v>30</v>
      </c>
      <c r="D36" s="86"/>
      <c r="E36" s="87"/>
      <c r="F36" s="87"/>
      <c r="G36" s="87"/>
      <c r="H36" s="87"/>
      <c r="I36" s="4"/>
      <c r="J36" s="44"/>
      <c r="K36" s="4"/>
      <c r="L36" s="44"/>
      <c r="M36" s="4"/>
      <c r="N36" s="86"/>
      <c r="O36" s="87"/>
      <c r="P36" s="87"/>
      <c r="Q36" s="87"/>
      <c r="R36" s="87"/>
      <c r="S36" s="4"/>
      <c r="T36" s="44"/>
      <c r="U36" s="4"/>
      <c r="V36" s="44"/>
      <c r="W36" s="4"/>
      <c r="X36" s="87"/>
      <c r="Y36" s="43"/>
      <c r="Z36" s="43"/>
      <c r="AA36" s="43"/>
      <c r="AB36" s="43"/>
      <c r="AC36" s="107"/>
      <c r="AD36" s="104"/>
      <c r="AE36" s="104"/>
      <c r="AF36" s="104"/>
      <c r="AG36" s="104"/>
      <c r="AH36" s="44"/>
      <c r="AI36" s="44"/>
      <c r="AJ36" s="44"/>
      <c r="AK36" s="44"/>
      <c r="AL36" s="44"/>
      <c r="AM36" s="43"/>
      <c r="AN36" s="43"/>
      <c r="AO36" s="43"/>
      <c r="AP36" s="43"/>
      <c r="AQ36" s="43"/>
      <c r="AR36" s="44">
        <f t="shared" si="76"/>
        <v>0</v>
      </c>
      <c r="AS36" s="44"/>
      <c r="AT36" s="44"/>
      <c r="AU36" s="44"/>
      <c r="AV36" s="44"/>
      <c r="AW36" s="43"/>
      <c r="AX36" s="43"/>
      <c r="AY36" s="43"/>
      <c r="AZ36" s="43"/>
      <c r="BA36" s="43"/>
      <c r="BB36" s="45"/>
      <c r="BC36" s="227"/>
      <c r="BD36" s="45"/>
      <c r="BE36" s="45"/>
      <c r="BF36" s="45"/>
      <c r="BG36" s="46"/>
      <c r="BH36" s="60"/>
      <c r="BI36" s="46"/>
      <c r="BJ36" s="46"/>
      <c r="BK36" s="46"/>
      <c r="BL36" s="46"/>
      <c r="BM36" s="60"/>
      <c r="BN36" s="46"/>
      <c r="BO36" s="46"/>
      <c r="BP36" s="46"/>
      <c r="BQ36" s="44">
        <f t="shared" si="82"/>
        <v>365502.12445790839</v>
      </c>
      <c r="BR36" s="100">
        <v>2.564E-2</v>
      </c>
      <c r="BS36" s="44">
        <f t="shared" si="45"/>
        <v>35803.149841836734</v>
      </c>
      <c r="BT36" s="44">
        <f t="shared" si="104"/>
        <v>1066679.7243635207</v>
      </c>
      <c r="BU36" s="44">
        <f t="shared" si="105"/>
        <v>329698.97461607167</v>
      </c>
      <c r="BV36" s="44">
        <f t="shared" si="83"/>
        <v>391279.27524107171</v>
      </c>
      <c r="BW36" s="100">
        <v>2.5000000000000001E-2</v>
      </c>
      <c r="BX36" s="44">
        <f t="shared" si="46"/>
        <v>34909.467474489793</v>
      </c>
      <c r="BY36" s="44">
        <f t="shared" si="106"/>
        <v>1040008.8912130108</v>
      </c>
      <c r="BZ36" s="44">
        <f t="shared" si="107"/>
        <v>356369.80776658189</v>
      </c>
      <c r="CA36" s="44"/>
      <c r="CB36" s="43">
        <f t="shared" si="84"/>
        <v>600716.24999999907</v>
      </c>
      <c r="CC36" s="100">
        <v>2.564E-2</v>
      </c>
      <c r="CD36" s="43">
        <f t="shared" si="47"/>
        <v>58843.799999999996</v>
      </c>
      <c r="CE36" s="43">
        <f t="shared" si="108"/>
        <v>1753127.5500000007</v>
      </c>
      <c r="CF36" s="43">
        <f t="shared" si="109"/>
        <v>541872.44999999902</v>
      </c>
      <c r="CG36" s="43">
        <f t="shared" si="85"/>
        <v>0</v>
      </c>
      <c r="CH36" s="100">
        <v>2.564E-2</v>
      </c>
      <c r="CI36" s="43">
        <f t="shared" si="70"/>
        <v>0</v>
      </c>
      <c r="CJ36" s="43">
        <f t="shared" si="110"/>
        <v>0</v>
      </c>
      <c r="CK36" s="43">
        <f t="shared" si="111"/>
        <v>0</v>
      </c>
      <c r="CR36">
        <f t="shared" si="117"/>
        <v>26</v>
      </c>
      <c r="DB36" s="57"/>
      <c r="DC36" s="57"/>
      <c r="DD36" s="57"/>
      <c r="DJ36" s="22">
        <v>32</v>
      </c>
      <c r="DK36" s="44">
        <f t="shared" si="12"/>
        <v>0</v>
      </c>
      <c r="DL36" s="44">
        <f t="shared" si="13"/>
        <v>0</v>
      </c>
      <c r="DM36" s="44">
        <f t="shared" si="1"/>
        <v>0</v>
      </c>
      <c r="DN36" s="44">
        <f t="shared" si="2"/>
        <v>0</v>
      </c>
      <c r="DO36" s="44">
        <f t="shared" si="14"/>
        <v>0</v>
      </c>
      <c r="DP36" s="44">
        <f t="shared" si="15"/>
        <v>0</v>
      </c>
      <c r="DQ36" s="44">
        <f t="shared" si="16"/>
        <v>0</v>
      </c>
      <c r="DR36" s="44">
        <f t="shared" si="17"/>
        <v>0</v>
      </c>
      <c r="DS36" s="44">
        <f t="shared" si="3"/>
        <v>0</v>
      </c>
      <c r="DT36" s="44"/>
      <c r="DV36" s="44"/>
      <c r="DW36" s="44"/>
      <c r="DX36" s="44"/>
      <c r="DY36" s="44"/>
      <c r="DZ36" s="44"/>
      <c r="EA36" s="44"/>
      <c r="EB36" s="44"/>
      <c r="EC36" s="44"/>
      <c r="ED36" s="44"/>
      <c r="EE36" s="44"/>
      <c r="EG36" s="22">
        <v>32</v>
      </c>
      <c r="EH36" s="44">
        <f t="shared" si="5"/>
        <v>58843.799999999996</v>
      </c>
      <c r="EI36" s="44">
        <f t="shared" si="6"/>
        <v>35803.149841836734</v>
      </c>
      <c r="EJ36" s="44">
        <f t="shared" si="7"/>
        <v>35803.149841836734</v>
      </c>
      <c r="EK36" s="44">
        <f t="shared" si="8"/>
        <v>35803.149841836734</v>
      </c>
      <c r="EL36" s="44">
        <f t="shared" si="25"/>
        <v>35803.149841836734</v>
      </c>
      <c r="EM36" s="44">
        <f t="shared" si="26"/>
        <v>35803.149841836734</v>
      </c>
      <c r="EN36" s="44">
        <f t="shared" si="27"/>
        <v>35803.149841836734</v>
      </c>
      <c r="EO36" s="44">
        <f t="shared" si="28"/>
        <v>35803.149841836734</v>
      </c>
      <c r="EP36" s="44">
        <f t="shared" si="9"/>
        <v>34909.467474489793</v>
      </c>
      <c r="EQ36" s="44">
        <f t="shared" si="29"/>
        <v>0</v>
      </c>
      <c r="ES36" s="44">
        <f t="shared" si="10"/>
        <v>1870815.1500000008</v>
      </c>
      <c r="ET36" s="44">
        <f t="shared" si="124"/>
        <v>224935.97506760131</v>
      </c>
      <c r="EU36" s="44">
        <f t="shared" si="11"/>
        <v>224935.97506760131</v>
      </c>
      <c r="EV36" s="44">
        <f t="shared" si="125"/>
        <v>224935.97506760131</v>
      </c>
      <c r="EW36" s="44">
        <f t="shared" si="127"/>
        <v>224935.97506760154</v>
      </c>
      <c r="EX36" s="44">
        <f t="shared" si="31"/>
        <v>-134512.54534056201</v>
      </c>
      <c r="EY36" s="44">
        <f t="shared" si="32"/>
        <v>-314236.80554464343</v>
      </c>
      <c r="EZ36" s="44">
        <f t="shared" si="33"/>
        <v>-493961.06574872509</v>
      </c>
      <c r="FA36" s="44">
        <f t="shared" si="129"/>
        <v>-433336.81957655749</v>
      </c>
      <c r="FB36" s="44">
        <f t="shared" si="34"/>
        <v>0</v>
      </c>
      <c r="FD36" s="22">
        <f t="shared" si="48"/>
        <v>32</v>
      </c>
      <c r="FF36" s="22">
        <f t="shared" si="49"/>
        <v>32</v>
      </c>
      <c r="FG36" s="138">
        <f t="shared" si="50"/>
        <v>2056</v>
      </c>
      <c r="FH36" s="90">
        <f t="shared" si="35"/>
        <v>0</v>
      </c>
      <c r="FI36" s="90">
        <f t="shared" si="36"/>
        <v>0</v>
      </c>
      <c r="FJ36" s="90">
        <f t="shared" si="37"/>
        <v>0</v>
      </c>
      <c r="FK36" s="44">
        <f t="shared" si="51"/>
        <v>0</v>
      </c>
      <c r="FL36" s="90" cm="1">
        <f t="array" ref="FL36">IF($CQ$5&lt;$CP$5,_xlfn.XLOOKUP(FD36,$EG$5:$EG$54,$DN$5:$DN$54),IF(OR(AND($CQ$5&gt;$CP$5,$CQ$5&lt;$CO$5),OR($CQ$5&gt;=$CL$5)),_xlfn.XLOOKUP(FD36,$EG$5:$EG$54,$DM$5:DM$54),IF(AND($CQ$5&gt;$CO$5,$CQ$5&lt;$CN$5),_xlfn.XLOOKUP(FD36,$EG$5:$EG$54,$DO$5:$DO$54),IF(AND($CQ$5&gt;$CN$5,$CQ$5&lt;$CM$5),_xlfn.XLOOKUP(FD36,$EG$5:$EG$54,$DP$5:$DP$54),IF(AND($CQ$5&gt;$CM$5,$CQ$5&lt;$CL$5),_xlfn.XLOOKUP(FD36,$EG$5:$EG$54,$DQ$5:$DQ$54))))))</f>
        <v>0</v>
      </c>
      <c r="FM36" s="44">
        <f t="shared" si="52"/>
        <v>0</v>
      </c>
      <c r="FP36" s="22">
        <f t="shared" si="53"/>
        <v>32</v>
      </c>
      <c r="FR36" s="22">
        <f t="shared" si="54"/>
        <v>32</v>
      </c>
      <c r="FS36" s="138">
        <f t="shared" si="55"/>
        <v>2056</v>
      </c>
      <c r="FT36" s="90">
        <f t="shared" si="38"/>
        <v>58843.799999999996</v>
      </c>
      <c r="FU36" s="90">
        <f t="shared" si="39"/>
        <v>0</v>
      </c>
      <c r="FV36" s="90">
        <f t="shared" si="40"/>
        <v>58843.799999999996</v>
      </c>
      <c r="FW36" s="44">
        <f t="shared" si="56"/>
        <v>35803.149841836734</v>
      </c>
      <c r="FX36" s="90" cm="1">
        <f t="array" ref="FX36">IF($CQ$5&lt;$CP$5,_xlfn.XLOOKUP(FP36,$EG$5:$EG$54,$EK$5:$EK$54),IF(OR(AND($CQ$5&gt;$CP$5,$CQ$5&lt;$CO$5),OR($CQ$5&gt;=$CL$5)),_xlfn.XLOOKUP(FP36,$EG$5:$EG$54,$EJ$5:$EJ$54),IF(AND($CQ$5&gt;$CO$5,$CQ$5&lt;$CN$5),_xlfn.XLOOKUP(FP36,$EG$5:$EG$54,$EL$5:$EL$54),IF(AND($CQ$5&gt;$CN$5,$CQ$5&lt;$CM$5),_xlfn.XLOOKUP(FP36,$EG$5:$EG$54,$EM$5:$EM$54),_xlfn.XLOOKUP(FP36,$EG$5:$EG$54,$EN$5:EN$54,IF(AND($CQ$5&gt;$CM$5,$CQ$5&lt;$CL$5),_xlfn.XLOOKUP(FD35,$EG$5:$EG$54,$EY$5:$EY$54),""))))))</f>
        <v>35803.149841836734</v>
      </c>
      <c r="FY36" s="44">
        <f t="shared" si="57"/>
        <v>34909.467474489793</v>
      </c>
    </row>
    <row r="37" spans="1:181" x14ac:dyDescent="0.25">
      <c r="A37"/>
      <c r="B37"/>
      <c r="C37" s="48">
        <v>31</v>
      </c>
      <c r="D37" s="86"/>
      <c r="E37" s="87"/>
      <c r="F37" s="87"/>
      <c r="G37" s="87"/>
      <c r="H37" s="87"/>
      <c r="I37" s="4"/>
      <c r="J37" s="44"/>
      <c r="K37" s="4"/>
      <c r="L37" s="44"/>
      <c r="M37" s="4"/>
      <c r="N37" s="86"/>
      <c r="O37" s="87"/>
      <c r="P37" s="87"/>
      <c r="Q37" s="87"/>
      <c r="R37" s="87"/>
      <c r="S37" s="4"/>
      <c r="T37" s="44"/>
      <c r="U37" s="4"/>
      <c r="V37" s="44"/>
      <c r="W37" s="4"/>
      <c r="X37" s="87"/>
      <c r="Y37" s="43"/>
      <c r="Z37" s="43"/>
      <c r="AA37" s="43"/>
      <c r="AB37" s="43"/>
      <c r="AC37" s="107"/>
      <c r="AD37" s="104"/>
      <c r="AE37" s="104"/>
      <c r="AF37" s="104"/>
      <c r="AG37" s="104"/>
      <c r="AH37" s="44"/>
      <c r="AI37" s="44"/>
      <c r="AJ37" s="44"/>
      <c r="AK37" s="44"/>
      <c r="AL37" s="44"/>
      <c r="AM37" s="43"/>
      <c r="AN37" s="43"/>
      <c r="AO37" s="43"/>
      <c r="AP37" s="43"/>
      <c r="AQ37" s="43"/>
      <c r="AR37" s="44">
        <f t="shared" si="76"/>
        <v>0</v>
      </c>
      <c r="AS37" s="44"/>
      <c r="AT37" s="44"/>
      <c r="AU37" s="44"/>
      <c r="AV37" s="44"/>
      <c r="AW37" s="43"/>
      <c r="AX37" s="43"/>
      <c r="AY37" s="43"/>
      <c r="AZ37" s="43"/>
      <c r="BA37" s="43"/>
      <c r="BB37" s="45"/>
      <c r="BC37" s="227"/>
      <c r="BD37" s="45"/>
      <c r="BE37" s="45"/>
      <c r="BF37" s="45"/>
      <c r="BG37" s="46"/>
      <c r="BH37" s="60"/>
      <c r="BI37" s="46"/>
      <c r="BJ37" s="46"/>
      <c r="BK37" s="46"/>
      <c r="BL37" s="46"/>
      <c r="BM37" s="60"/>
      <c r="BN37" s="46"/>
      <c r="BO37" s="46"/>
      <c r="BP37" s="46"/>
      <c r="BQ37" s="44">
        <f t="shared" si="82"/>
        <v>329698.97461607167</v>
      </c>
      <c r="BR37" s="100">
        <v>2.564E-2</v>
      </c>
      <c r="BS37" s="44">
        <f t="shared" si="45"/>
        <v>35803.149841836734</v>
      </c>
      <c r="BT37" s="44">
        <f t="shared" si="104"/>
        <v>1102482.8742053574</v>
      </c>
      <c r="BU37" s="44">
        <f t="shared" si="105"/>
        <v>293895.82477423496</v>
      </c>
      <c r="BV37" s="44">
        <f t="shared" si="83"/>
        <v>356369.80776658189</v>
      </c>
      <c r="BW37" s="100">
        <v>2.5000000000000001E-2</v>
      </c>
      <c r="BX37" s="44">
        <f t="shared" si="46"/>
        <v>34909.467474489793</v>
      </c>
      <c r="BY37" s="44">
        <f t="shared" si="106"/>
        <v>1074918.3586875005</v>
      </c>
      <c r="BZ37" s="44">
        <f t="shared" si="107"/>
        <v>321460.34029209206</v>
      </c>
      <c r="CA37" s="44"/>
      <c r="CB37" s="43">
        <f t="shared" si="84"/>
        <v>541872.44999999902</v>
      </c>
      <c r="CC37" s="100">
        <v>2.564E-2</v>
      </c>
      <c r="CD37" s="43">
        <f t="shared" si="47"/>
        <v>58843.799999999996</v>
      </c>
      <c r="CE37" s="43">
        <f t="shared" si="108"/>
        <v>1811971.3500000008</v>
      </c>
      <c r="CF37" s="43">
        <f t="shared" si="109"/>
        <v>483028.64999999903</v>
      </c>
      <c r="CG37" s="43">
        <f t="shared" si="85"/>
        <v>0</v>
      </c>
      <c r="CH37" s="100">
        <v>2.564E-2</v>
      </c>
      <c r="CI37" s="43">
        <f t="shared" si="70"/>
        <v>0</v>
      </c>
      <c r="CJ37" s="43">
        <f t="shared" si="110"/>
        <v>0</v>
      </c>
      <c r="CK37" s="43">
        <f t="shared" si="111"/>
        <v>0</v>
      </c>
      <c r="CR37">
        <f t="shared" si="117"/>
        <v>27</v>
      </c>
      <c r="DB37" s="57"/>
      <c r="DC37" s="57"/>
      <c r="DD37" s="57"/>
      <c r="DJ37" s="22">
        <v>33</v>
      </c>
      <c r="DK37" s="44">
        <f t="shared" si="12"/>
        <v>0</v>
      </c>
      <c r="DL37" s="44">
        <f t="shared" ref="DL37:DL54" si="130">SUM(F39,K39,AJ39,BD39)</f>
        <v>0</v>
      </c>
      <c r="DM37" s="44">
        <f t="shared" ref="DM37:DM54" si="131">BD39</f>
        <v>0</v>
      </c>
      <c r="DN37" s="44">
        <f t="shared" ref="DN37:DN54" si="132">0.5*(F39+K39+AO39)+BD39</f>
        <v>0</v>
      </c>
      <c r="DO37" s="44">
        <f t="shared" si="14"/>
        <v>0</v>
      </c>
      <c r="DP37" s="44">
        <f t="shared" si="15"/>
        <v>0</v>
      </c>
      <c r="DQ37" s="44">
        <f t="shared" si="16"/>
        <v>0</v>
      </c>
      <c r="DR37" s="44">
        <f t="shared" si="17"/>
        <v>0</v>
      </c>
      <c r="DS37" s="44">
        <f t="shared" ref="DS37:DS54" si="133">SUM(P39,U39,AT39,BN39)</f>
        <v>0</v>
      </c>
      <c r="DT37" s="44"/>
      <c r="DV37" s="44"/>
      <c r="DW37" s="44"/>
      <c r="DX37" s="44"/>
      <c r="DY37" s="44"/>
      <c r="DZ37" s="44"/>
      <c r="EA37" s="44"/>
      <c r="EB37" s="44"/>
      <c r="EC37" s="44"/>
      <c r="ED37" s="44"/>
      <c r="EE37" s="44"/>
      <c r="EG37" s="22">
        <v>33</v>
      </c>
      <c r="EH37" s="44">
        <f t="shared" ref="EH37:EH54" si="134">CD39</f>
        <v>58843.799999999996</v>
      </c>
      <c r="EI37" s="44">
        <f t="shared" ref="EI37:EI54" si="135">SUM(F39,K39,AJ39,Z39,BS39)</f>
        <v>35803.149841836734</v>
      </c>
      <c r="EJ37" s="44">
        <f t="shared" ref="EJ37:EJ54" si="136">BS39</f>
        <v>35803.149841836734</v>
      </c>
      <c r="EK37" s="44">
        <f t="shared" ref="EK37:EK54" si="137">0.5*(F39+K39+Z39+AO39)+BS39</f>
        <v>35803.149841836734</v>
      </c>
      <c r="EL37" s="44">
        <f t="shared" si="25"/>
        <v>35803.149841836734</v>
      </c>
      <c r="EM37" s="44">
        <f t="shared" si="26"/>
        <v>35803.149841836734</v>
      </c>
      <c r="EN37" s="44">
        <f t="shared" si="27"/>
        <v>35803.149841836734</v>
      </c>
      <c r="EO37" s="44">
        <f t="shared" si="28"/>
        <v>35803.149841836734</v>
      </c>
      <c r="EP37" s="44">
        <f t="shared" ref="EP37:EP54" si="138">SUM(P39,U39,AE39,AY39,BX39)</f>
        <v>34909.467474489793</v>
      </c>
      <c r="EQ37" s="44">
        <f t="shared" si="29"/>
        <v>0</v>
      </c>
      <c r="ES37" s="44">
        <f t="shared" si="10"/>
        <v>1929658.9500000009</v>
      </c>
      <c r="ET37" s="44">
        <f t="shared" si="124"/>
        <v>201895.32490943791</v>
      </c>
      <c r="EU37" s="44">
        <f t="shared" si="11"/>
        <v>201895.32490943791</v>
      </c>
      <c r="EV37" s="44">
        <f t="shared" si="125"/>
        <v>201895.32490943791</v>
      </c>
      <c r="EW37" s="44">
        <f t="shared" si="127"/>
        <v>201895.32490943815</v>
      </c>
      <c r="EX37" s="44">
        <f t="shared" si="31"/>
        <v>-157553.1954987254</v>
      </c>
      <c r="EY37" s="44">
        <f t="shared" si="32"/>
        <v>-337277.45570280682</v>
      </c>
      <c r="EZ37" s="44">
        <f t="shared" si="33"/>
        <v>-517001.71590688848</v>
      </c>
      <c r="FA37" s="44">
        <f t="shared" si="129"/>
        <v>-457271.15210206783</v>
      </c>
      <c r="FB37" s="44">
        <f t="shared" si="34"/>
        <v>0</v>
      </c>
      <c r="FD37" s="22">
        <f t="shared" si="48"/>
        <v>33</v>
      </c>
      <c r="FF37" s="22">
        <f t="shared" si="49"/>
        <v>33</v>
      </c>
      <c r="FG37" s="138">
        <f t="shared" si="50"/>
        <v>2057</v>
      </c>
      <c r="FH37" s="90">
        <f t="shared" si="35"/>
        <v>0</v>
      </c>
      <c r="FI37" s="90">
        <f t="shared" si="36"/>
        <v>0</v>
      </c>
      <c r="FJ37" s="90">
        <f t="shared" si="37"/>
        <v>0</v>
      </c>
      <c r="FK37" s="44">
        <f t="shared" si="51"/>
        <v>0</v>
      </c>
      <c r="FL37" s="90" cm="1">
        <f t="array" ref="FL37">IF($CQ$5&lt;$CP$5,_xlfn.XLOOKUP(FD37,$EG$5:$EG$54,$DN$5:$DN$54),IF(OR(AND($CQ$5&gt;$CP$5,$CQ$5&lt;$CO$5),OR($CQ$5&gt;=$CL$5)),_xlfn.XLOOKUP(FD37,$EG$5:$EG$54,$DM$5:DM$54),IF(AND($CQ$5&gt;$CO$5,$CQ$5&lt;$CN$5),_xlfn.XLOOKUP(FD37,$EG$5:$EG$54,$DO$5:$DO$54),IF(AND($CQ$5&gt;$CN$5,$CQ$5&lt;$CM$5),_xlfn.XLOOKUP(FD37,$EG$5:$EG$54,$DP$5:$DP$54),IF(AND($CQ$5&gt;$CM$5,$CQ$5&lt;$CL$5),_xlfn.XLOOKUP(FD37,$EG$5:$EG$54,$DQ$5:$DQ$54))))))</f>
        <v>0</v>
      </c>
      <c r="FM37" s="44">
        <f t="shared" si="52"/>
        <v>0</v>
      </c>
      <c r="FP37" s="22">
        <f t="shared" si="53"/>
        <v>33</v>
      </c>
      <c r="FR37" s="22">
        <f t="shared" si="54"/>
        <v>33</v>
      </c>
      <c r="FS37" s="138">
        <f t="shared" si="55"/>
        <v>2057</v>
      </c>
      <c r="FT37" s="90">
        <f t="shared" si="38"/>
        <v>58843.799999999996</v>
      </c>
      <c r="FU37" s="90">
        <f t="shared" si="39"/>
        <v>0</v>
      </c>
      <c r="FV37" s="90">
        <f t="shared" si="40"/>
        <v>58843.799999999996</v>
      </c>
      <c r="FW37" s="44">
        <f t="shared" si="56"/>
        <v>35803.149841836734</v>
      </c>
      <c r="FX37" s="90" cm="1">
        <f t="array" ref="FX37">IF($CQ$5&lt;$CP$5,_xlfn.XLOOKUP(FP37,$EG$5:$EG$54,$EK$5:$EK$54),IF(OR(AND($CQ$5&gt;$CP$5,$CQ$5&lt;$CO$5),OR($CQ$5&gt;=$CL$5)),_xlfn.XLOOKUP(FP37,$EG$5:$EG$54,$EJ$5:$EJ$54),IF(AND($CQ$5&gt;$CO$5,$CQ$5&lt;$CN$5),_xlfn.XLOOKUP(FP37,$EG$5:$EG$54,$EL$5:$EL$54),IF(AND($CQ$5&gt;$CN$5,$CQ$5&lt;$CM$5),_xlfn.XLOOKUP(FP37,$EG$5:$EG$54,$EM$5:$EM$54),_xlfn.XLOOKUP(FP37,$EG$5:$EG$54,$EN$5:EN$54,IF(AND($CQ$5&gt;$CM$5,$CQ$5&lt;$CL$5),_xlfn.XLOOKUP(FD36,$EG$5:$EG$54,$EY$5:$EY$54),""))))))</f>
        <v>35803.149841836734</v>
      </c>
      <c r="FY37" s="44">
        <f t="shared" si="57"/>
        <v>34909.467474489793</v>
      </c>
    </row>
    <row r="38" spans="1:181" x14ac:dyDescent="0.25">
      <c r="A38"/>
      <c r="B38"/>
      <c r="C38" s="48">
        <v>32</v>
      </c>
      <c r="D38" s="86"/>
      <c r="E38" s="87"/>
      <c r="F38" s="87"/>
      <c r="G38" s="87"/>
      <c r="H38" s="87"/>
      <c r="I38" s="4"/>
      <c r="J38" s="44"/>
      <c r="K38" s="4"/>
      <c r="L38" s="44"/>
      <c r="M38" s="4"/>
      <c r="N38" s="86"/>
      <c r="O38" s="87"/>
      <c r="P38" s="87"/>
      <c r="Q38" s="87"/>
      <c r="R38" s="87"/>
      <c r="S38" s="4"/>
      <c r="T38" s="44"/>
      <c r="U38" s="4"/>
      <c r="V38" s="44"/>
      <c r="W38" s="4"/>
      <c r="X38" s="87"/>
      <c r="Y38" s="43"/>
      <c r="Z38" s="43"/>
      <c r="AA38" s="43"/>
      <c r="AB38" s="43"/>
      <c r="AC38" s="107"/>
      <c r="AD38" s="104"/>
      <c r="AE38" s="104"/>
      <c r="AF38" s="104"/>
      <c r="AG38" s="104"/>
      <c r="AH38" s="44"/>
      <c r="AI38" s="44"/>
      <c r="AJ38" s="44"/>
      <c r="AK38" s="44"/>
      <c r="AL38" s="44"/>
      <c r="AM38" s="43"/>
      <c r="AN38" s="43"/>
      <c r="AO38" s="43"/>
      <c r="AP38" s="43"/>
      <c r="AQ38" s="43"/>
      <c r="AR38" s="44">
        <f t="shared" si="76"/>
        <v>0</v>
      </c>
      <c r="AS38" s="44"/>
      <c r="AT38" s="44"/>
      <c r="AU38" s="44"/>
      <c r="AV38" s="44"/>
      <c r="AW38" s="43"/>
      <c r="AX38" s="43"/>
      <c r="AY38" s="43"/>
      <c r="AZ38" s="43"/>
      <c r="BA38" s="43"/>
      <c r="BB38" s="45"/>
      <c r="BC38" s="227"/>
      <c r="BD38" s="45"/>
      <c r="BE38" s="45"/>
      <c r="BF38" s="45"/>
      <c r="BG38" s="46"/>
      <c r="BH38" s="60"/>
      <c r="BI38" s="46"/>
      <c r="BJ38" s="46"/>
      <c r="BK38" s="46"/>
      <c r="BL38" s="46"/>
      <c r="BM38" s="60"/>
      <c r="BN38" s="46"/>
      <c r="BO38" s="46"/>
      <c r="BP38" s="46"/>
      <c r="BQ38" s="44">
        <f t="shared" si="82"/>
        <v>293895.82477423496</v>
      </c>
      <c r="BR38" s="100">
        <v>2.564E-2</v>
      </c>
      <c r="BS38" s="44">
        <f t="shared" si="45"/>
        <v>35803.149841836734</v>
      </c>
      <c r="BT38" s="44">
        <f t="shared" si="104"/>
        <v>1138286.024047194</v>
      </c>
      <c r="BU38" s="44">
        <f t="shared" si="105"/>
        <v>258092.67493239822</v>
      </c>
      <c r="BV38" s="44">
        <f t="shared" si="83"/>
        <v>321460.34029209206</v>
      </c>
      <c r="BW38" s="100">
        <v>2.5000000000000001E-2</v>
      </c>
      <c r="BX38" s="44">
        <f t="shared" si="46"/>
        <v>34909.467474489793</v>
      </c>
      <c r="BY38" s="44">
        <f t="shared" si="106"/>
        <v>1109827.8261619902</v>
      </c>
      <c r="BZ38" s="44">
        <f t="shared" si="107"/>
        <v>286550.87281760224</v>
      </c>
      <c r="CA38" s="44"/>
      <c r="CB38" s="43">
        <f t="shared" si="84"/>
        <v>483028.64999999903</v>
      </c>
      <c r="CC38" s="100">
        <v>2.564E-2</v>
      </c>
      <c r="CD38" s="43">
        <f t="shared" si="47"/>
        <v>58843.799999999996</v>
      </c>
      <c r="CE38" s="43">
        <f t="shared" si="108"/>
        <v>1870815.1500000008</v>
      </c>
      <c r="CF38" s="43">
        <f t="shared" si="109"/>
        <v>424184.84999999905</v>
      </c>
      <c r="CG38" s="43">
        <f t="shared" si="85"/>
        <v>0</v>
      </c>
      <c r="CH38" s="100">
        <v>2.564E-2</v>
      </c>
      <c r="CI38" s="43">
        <f t="shared" si="70"/>
        <v>0</v>
      </c>
      <c r="CJ38" s="43">
        <f t="shared" si="110"/>
        <v>0</v>
      </c>
      <c r="CK38" s="43">
        <f t="shared" si="111"/>
        <v>0</v>
      </c>
      <c r="CR38">
        <f t="shared" si="117"/>
        <v>28</v>
      </c>
      <c r="DB38" s="57"/>
      <c r="DC38" s="57"/>
      <c r="DD38" s="57"/>
      <c r="DJ38" s="22">
        <v>34</v>
      </c>
      <c r="DK38" s="44">
        <f t="shared" si="12"/>
        <v>0</v>
      </c>
      <c r="DL38" s="44">
        <f t="shared" si="130"/>
        <v>0</v>
      </c>
      <c r="DM38" s="44">
        <f t="shared" si="131"/>
        <v>0</v>
      </c>
      <c r="DN38" s="44">
        <f t="shared" si="132"/>
        <v>0</v>
      </c>
      <c r="DO38" s="44">
        <f t="shared" si="14"/>
        <v>0</v>
      </c>
      <c r="DP38" s="44">
        <f t="shared" si="15"/>
        <v>0</v>
      </c>
      <c r="DQ38" s="44">
        <f t="shared" si="16"/>
        <v>0</v>
      </c>
      <c r="DR38" s="44">
        <f t="shared" si="17"/>
        <v>0</v>
      </c>
      <c r="DS38" s="44">
        <f t="shared" si="133"/>
        <v>0</v>
      </c>
      <c r="DT38" s="44"/>
      <c r="DV38" s="44"/>
      <c r="DW38" s="44"/>
      <c r="DX38" s="44"/>
      <c r="DY38" s="44"/>
      <c r="DZ38" s="44"/>
      <c r="EA38" s="44"/>
      <c r="EB38" s="44"/>
      <c r="EC38" s="44"/>
      <c r="ED38" s="44"/>
      <c r="EE38" s="44"/>
      <c r="EG38" s="22">
        <v>34</v>
      </c>
      <c r="EH38" s="44">
        <f t="shared" si="134"/>
        <v>58843.799999999996</v>
      </c>
      <c r="EI38" s="44">
        <f t="shared" si="135"/>
        <v>35803.149841836734</v>
      </c>
      <c r="EJ38" s="44">
        <f t="shared" si="136"/>
        <v>35803.149841836734</v>
      </c>
      <c r="EK38" s="44">
        <f t="shared" si="137"/>
        <v>35803.149841836734</v>
      </c>
      <c r="EL38" s="44">
        <f t="shared" si="25"/>
        <v>35803.149841836734</v>
      </c>
      <c r="EM38" s="44">
        <f t="shared" si="26"/>
        <v>35803.149841836734</v>
      </c>
      <c r="EN38" s="44">
        <f t="shared" si="27"/>
        <v>35803.149841836734</v>
      </c>
      <c r="EO38" s="44">
        <f t="shared" si="28"/>
        <v>35803.149841836734</v>
      </c>
      <c r="EP38" s="44">
        <f t="shared" si="138"/>
        <v>34909.467474489793</v>
      </c>
      <c r="EQ38" s="44">
        <f t="shared" si="29"/>
        <v>0</v>
      </c>
      <c r="ES38" s="44">
        <f t="shared" si="10"/>
        <v>1988502.7500000009</v>
      </c>
      <c r="ET38" s="44">
        <f t="shared" si="124"/>
        <v>178854.67475127452</v>
      </c>
      <c r="EU38" s="44">
        <f t="shared" si="11"/>
        <v>178854.67475127452</v>
      </c>
      <c r="EV38" s="44">
        <f t="shared" si="125"/>
        <v>178854.67475127452</v>
      </c>
      <c r="EW38" s="44">
        <f t="shared" si="127"/>
        <v>178854.67475127452</v>
      </c>
      <c r="EX38" s="44">
        <f t="shared" si="31"/>
        <v>-180593.84565688879</v>
      </c>
      <c r="EY38" s="44">
        <f t="shared" si="32"/>
        <v>-360318.10586097022</v>
      </c>
      <c r="EZ38" s="44">
        <f t="shared" si="33"/>
        <v>-540042.36606505187</v>
      </c>
      <c r="FA38" s="44">
        <f t="shared" si="129"/>
        <v>-481205.48462757817</v>
      </c>
      <c r="FB38" s="44">
        <f t="shared" si="34"/>
        <v>0</v>
      </c>
      <c r="FD38" s="22">
        <f t="shared" si="48"/>
        <v>34</v>
      </c>
      <c r="FF38" s="22">
        <f t="shared" si="49"/>
        <v>34</v>
      </c>
      <c r="FG38" s="138">
        <f t="shared" si="50"/>
        <v>2058</v>
      </c>
      <c r="FH38" s="90">
        <f t="shared" si="35"/>
        <v>0</v>
      </c>
      <c r="FI38" s="90">
        <f t="shared" si="36"/>
        <v>0</v>
      </c>
      <c r="FJ38" s="90">
        <f t="shared" si="37"/>
        <v>0</v>
      </c>
      <c r="FK38" s="44">
        <f t="shared" si="51"/>
        <v>0</v>
      </c>
      <c r="FL38" s="90" cm="1">
        <f t="array" ref="FL38">IF($CQ$5&lt;$CP$5,_xlfn.XLOOKUP(FD38,$EG$5:$EG$54,$DN$5:$DN$54),IF(OR(AND($CQ$5&gt;$CP$5,$CQ$5&lt;$CO$5),OR($CQ$5&gt;=$CL$5)),_xlfn.XLOOKUP(FD38,$EG$5:$EG$54,$DM$5:DM$54),IF(AND($CQ$5&gt;$CO$5,$CQ$5&lt;$CN$5),_xlfn.XLOOKUP(FD38,$EG$5:$EG$54,$DO$5:$DO$54),IF(AND($CQ$5&gt;$CN$5,$CQ$5&lt;$CM$5),_xlfn.XLOOKUP(FD38,$EG$5:$EG$54,$DP$5:$DP$54),IF(AND($CQ$5&gt;$CM$5,$CQ$5&lt;$CL$5),_xlfn.XLOOKUP(FD38,$EG$5:$EG$54,$DQ$5:$DQ$54))))))</f>
        <v>0</v>
      </c>
      <c r="FM38" s="44">
        <f t="shared" si="52"/>
        <v>0</v>
      </c>
      <c r="FP38" s="22">
        <f t="shared" si="53"/>
        <v>34</v>
      </c>
      <c r="FR38" s="22">
        <f t="shared" si="54"/>
        <v>34</v>
      </c>
      <c r="FS38" s="138">
        <f t="shared" si="55"/>
        <v>2058</v>
      </c>
      <c r="FT38" s="90">
        <f t="shared" si="38"/>
        <v>58843.799999999996</v>
      </c>
      <c r="FU38" s="90">
        <f t="shared" si="39"/>
        <v>0</v>
      </c>
      <c r="FV38" s="90">
        <f t="shared" si="40"/>
        <v>58843.799999999996</v>
      </c>
      <c r="FW38" s="44">
        <f t="shared" si="56"/>
        <v>35803.149841836734</v>
      </c>
      <c r="FX38" s="90" cm="1">
        <f t="array" ref="FX38">IF($CQ$5&lt;$CP$5,_xlfn.XLOOKUP(FP38,$EG$5:$EG$54,$EK$5:$EK$54),IF(OR(AND($CQ$5&gt;$CP$5,$CQ$5&lt;$CO$5),OR($CQ$5&gt;=$CL$5)),_xlfn.XLOOKUP(FP38,$EG$5:$EG$54,$EJ$5:$EJ$54),IF(AND($CQ$5&gt;$CO$5,$CQ$5&lt;$CN$5),_xlfn.XLOOKUP(FP38,$EG$5:$EG$54,$EL$5:$EL$54),IF(AND($CQ$5&gt;$CN$5,$CQ$5&lt;$CM$5),_xlfn.XLOOKUP(FP38,$EG$5:$EG$54,$EM$5:$EM$54),_xlfn.XLOOKUP(FP38,$EG$5:$EG$54,$EN$5:EN$54,IF(AND($CQ$5&gt;$CM$5,$CQ$5&lt;$CL$5),_xlfn.XLOOKUP(FD37,$EG$5:$EG$54,$EY$5:$EY$54),""))))))</f>
        <v>35803.149841836734</v>
      </c>
      <c r="FY38" s="44">
        <f t="shared" si="57"/>
        <v>34909.467474489793</v>
      </c>
    </row>
    <row r="39" spans="1:181" x14ac:dyDescent="0.25">
      <c r="A39"/>
      <c r="B39"/>
      <c r="C39" s="48">
        <v>33</v>
      </c>
      <c r="D39" s="86"/>
      <c r="E39" s="87"/>
      <c r="F39" s="87"/>
      <c r="G39" s="87"/>
      <c r="H39" s="87"/>
      <c r="I39" s="4"/>
      <c r="J39" s="44"/>
      <c r="K39" s="4"/>
      <c r="L39" s="44"/>
      <c r="M39" s="4"/>
      <c r="N39" s="86"/>
      <c r="O39" s="87"/>
      <c r="P39" s="87"/>
      <c r="Q39" s="87"/>
      <c r="R39" s="87"/>
      <c r="S39" s="4"/>
      <c r="T39" s="44"/>
      <c r="U39" s="4"/>
      <c r="V39" s="44"/>
      <c r="W39" s="4"/>
      <c r="X39" s="87"/>
      <c r="Y39" s="43"/>
      <c r="Z39" s="43"/>
      <c r="AA39" s="43"/>
      <c r="AB39" s="43"/>
      <c r="AC39" s="107"/>
      <c r="AD39" s="104"/>
      <c r="AE39" s="104"/>
      <c r="AF39" s="104"/>
      <c r="AG39" s="104"/>
      <c r="AH39" s="44"/>
      <c r="AI39" s="44"/>
      <c r="AJ39" s="44"/>
      <c r="AK39" s="44"/>
      <c r="AL39" s="44"/>
      <c r="AM39" s="43"/>
      <c r="AN39" s="43"/>
      <c r="AO39" s="43"/>
      <c r="AP39" s="43"/>
      <c r="AQ39" s="43"/>
      <c r="AR39" s="44">
        <f t="shared" si="76"/>
        <v>0</v>
      </c>
      <c r="AS39" s="44"/>
      <c r="AT39" s="44"/>
      <c r="AU39" s="44"/>
      <c r="AV39" s="44"/>
      <c r="AW39" s="43"/>
      <c r="AX39" s="43"/>
      <c r="AY39" s="43"/>
      <c r="AZ39" s="43"/>
      <c r="BA39" s="43"/>
      <c r="BB39" s="45"/>
      <c r="BC39" s="227"/>
      <c r="BD39" s="45"/>
      <c r="BE39" s="45"/>
      <c r="BF39" s="45"/>
      <c r="BG39" s="46"/>
      <c r="BH39" s="60"/>
      <c r="BI39" s="46"/>
      <c r="BJ39" s="46"/>
      <c r="BK39" s="46"/>
      <c r="BL39" s="46"/>
      <c r="BM39" s="60"/>
      <c r="BN39" s="46"/>
      <c r="BO39" s="46"/>
      <c r="BP39" s="46"/>
      <c r="BQ39" s="44">
        <f t="shared" si="82"/>
        <v>258092.67493239822</v>
      </c>
      <c r="BR39" s="100">
        <v>2.564E-2</v>
      </c>
      <c r="BS39" s="44">
        <f t="shared" si="45"/>
        <v>35803.149841836734</v>
      </c>
      <c r="BT39" s="44">
        <f t="shared" si="104"/>
        <v>1174089.1738890307</v>
      </c>
      <c r="BU39" s="44">
        <f t="shared" si="105"/>
        <v>222289.52509056148</v>
      </c>
      <c r="BV39" s="44">
        <f t="shared" si="83"/>
        <v>286550.87281760224</v>
      </c>
      <c r="BW39" s="100">
        <v>2.5000000000000001E-2</v>
      </c>
      <c r="BX39" s="44">
        <f t="shared" si="46"/>
        <v>34909.467474489793</v>
      </c>
      <c r="BY39" s="44">
        <f t="shared" si="106"/>
        <v>1144737.2936364799</v>
      </c>
      <c r="BZ39" s="44">
        <f t="shared" si="107"/>
        <v>251641.40534311245</v>
      </c>
      <c r="CA39" s="44"/>
      <c r="CB39" s="43">
        <f t="shared" si="84"/>
        <v>424184.84999999905</v>
      </c>
      <c r="CC39" s="100">
        <v>2.564E-2</v>
      </c>
      <c r="CD39" s="43">
        <f t="shared" si="47"/>
        <v>58843.799999999996</v>
      </c>
      <c r="CE39" s="43">
        <f t="shared" si="108"/>
        <v>1929658.9500000009</v>
      </c>
      <c r="CF39" s="43">
        <f t="shared" si="109"/>
        <v>365341.04999999906</v>
      </c>
      <c r="CG39" s="43">
        <f t="shared" si="85"/>
        <v>0</v>
      </c>
      <c r="CH39" s="100">
        <v>2.564E-2</v>
      </c>
      <c r="CI39" s="43">
        <f t="shared" si="70"/>
        <v>0</v>
      </c>
      <c r="CJ39" s="43">
        <f t="shared" si="110"/>
        <v>0</v>
      </c>
      <c r="CK39" s="43">
        <f t="shared" si="111"/>
        <v>0</v>
      </c>
      <c r="CR39">
        <f t="shared" si="117"/>
        <v>29</v>
      </c>
      <c r="DB39" s="57"/>
      <c r="DC39" s="57"/>
      <c r="DD39" s="57"/>
      <c r="DJ39" s="22">
        <v>35</v>
      </c>
      <c r="DK39" s="44">
        <f t="shared" si="12"/>
        <v>0</v>
      </c>
      <c r="DL39" s="44">
        <f t="shared" si="130"/>
        <v>0</v>
      </c>
      <c r="DM39" s="44">
        <f t="shared" si="131"/>
        <v>0</v>
      </c>
      <c r="DN39" s="44">
        <f t="shared" si="132"/>
        <v>0</v>
      </c>
      <c r="DO39" s="44">
        <f t="shared" si="14"/>
        <v>0</v>
      </c>
      <c r="DP39" s="44">
        <f t="shared" si="15"/>
        <v>0</v>
      </c>
      <c r="DQ39" s="44">
        <f t="shared" si="16"/>
        <v>0</v>
      </c>
      <c r="DR39" s="44">
        <f t="shared" si="17"/>
        <v>0</v>
      </c>
      <c r="DS39" s="44">
        <f t="shared" si="133"/>
        <v>0</v>
      </c>
      <c r="DT39" s="44"/>
      <c r="DV39" s="44"/>
      <c r="DW39" s="44"/>
      <c r="DX39" s="44"/>
      <c r="DY39" s="44"/>
      <c r="DZ39" s="44"/>
      <c r="EA39" s="44"/>
      <c r="EB39" s="44"/>
      <c r="EC39" s="44"/>
      <c r="ED39" s="44"/>
      <c r="EE39" s="44"/>
      <c r="EG39" s="22">
        <v>35</v>
      </c>
      <c r="EH39" s="44">
        <f t="shared" si="134"/>
        <v>58843.799999999996</v>
      </c>
      <c r="EI39" s="44">
        <f t="shared" si="135"/>
        <v>35803.149841836734</v>
      </c>
      <c r="EJ39" s="44">
        <f t="shared" si="136"/>
        <v>35803.149841836734</v>
      </c>
      <c r="EK39" s="44">
        <f t="shared" si="137"/>
        <v>35803.149841836734</v>
      </c>
      <c r="EL39" s="44">
        <f t="shared" si="25"/>
        <v>35803.149841836734</v>
      </c>
      <c r="EM39" s="44">
        <f t="shared" si="26"/>
        <v>35803.149841836734</v>
      </c>
      <c r="EN39" s="44">
        <f t="shared" si="27"/>
        <v>35803.149841836734</v>
      </c>
      <c r="EO39" s="44">
        <f t="shared" si="28"/>
        <v>35803.149841836734</v>
      </c>
      <c r="EP39" s="44">
        <f t="shared" si="138"/>
        <v>34909.467474489793</v>
      </c>
      <c r="EQ39" s="44">
        <f t="shared" si="29"/>
        <v>0</v>
      </c>
      <c r="ES39" s="44">
        <f t="shared" si="10"/>
        <v>2047346.550000001</v>
      </c>
      <c r="ET39" s="44">
        <f t="shared" si="124"/>
        <v>155814.02459311113</v>
      </c>
      <c r="EU39" s="44">
        <f t="shared" si="11"/>
        <v>155814.02459311113</v>
      </c>
      <c r="EV39" s="44">
        <f t="shared" si="125"/>
        <v>155814.02459311113</v>
      </c>
      <c r="EW39" s="44">
        <f t="shared" si="127"/>
        <v>155814.02459311113</v>
      </c>
      <c r="EX39" s="44">
        <f t="shared" si="31"/>
        <v>-203634.49581505219</v>
      </c>
      <c r="EY39" s="44">
        <f t="shared" si="32"/>
        <v>-383358.75601913361</v>
      </c>
      <c r="EZ39" s="44">
        <f t="shared" si="33"/>
        <v>-563083.01622321527</v>
      </c>
      <c r="FA39" s="44">
        <f t="shared" si="129"/>
        <v>-505139.81715308852</v>
      </c>
      <c r="FB39" s="44">
        <f t="shared" si="34"/>
        <v>0</v>
      </c>
      <c r="FD39" s="22">
        <f t="shared" si="48"/>
        <v>35</v>
      </c>
      <c r="FF39" s="22">
        <f t="shared" si="49"/>
        <v>35</v>
      </c>
      <c r="FG39" s="138">
        <f t="shared" si="50"/>
        <v>2059</v>
      </c>
      <c r="FH39" s="90">
        <f t="shared" si="35"/>
        <v>0</v>
      </c>
      <c r="FI39" s="90">
        <f t="shared" si="36"/>
        <v>0</v>
      </c>
      <c r="FJ39" s="90">
        <f t="shared" si="37"/>
        <v>0</v>
      </c>
      <c r="FK39" s="44">
        <f t="shared" si="51"/>
        <v>0</v>
      </c>
      <c r="FL39" s="90" cm="1">
        <f t="array" ref="FL39">IF($CQ$5&lt;$CP$5,_xlfn.XLOOKUP(FD39,$EG$5:$EG$54,$DN$5:$DN$54),IF(OR(AND($CQ$5&gt;$CP$5,$CQ$5&lt;$CO$5),OR($CQ$5&gt;=$CL$5)),_xlfn.XLOOKUP(FD39,$EG$5:$EG$54,$DM$5:DM$54),IF(AND($CQ$5&gt;$CO$5,$CQ$5&lt;$CN$5),_xlfn.XLOOKUP(FD39,$EG$5:$EG$54,$DO$5:$DO$54),IF(AND($CQ$5&gt;$CN$5,$CQ$5&lt;$CM$5),_xlfn.XLOOKUP(FD39,$EG$5:$EG$54,$DP$5:$DP$54),IF(AND($CQ$5&gt;$CM$5,$CQ$5&lt;$CL$5),_xlfn.XLOOKUP(FD39,$EG$5:$EG$54,$DQ$5:$DQ$54))))))</f>
        <v>0</v>
      </c>
      <c r="FM39" s="44">
        <f t="shared" si="52"/>
        <v>0</v>
      </c>
      <c r="FP39" s="22">
        <f t="shared" si="53"/>
        <v>35</v>
      </c>
      <c r="FR39" s="22">
        <f t="shared" si="54"/>
        <v>35</v>
      </c>
      <c r="FS39" s="138">
        <f t="shared" si="55"/>
        <v>2059</v>
      </c>
      <c r="FT39" s="90">
        <f t="shared" si="38"/>
        <v>58843.799999999996</v>
      </c>
      <c r="FU39" s="90">
        <f t="shared" si="39"/>
        <v>0</v>
      </c>
      <c r="FV39" s="90">
        <f t="shared" si="40"/>
        <v>58843.799999999996</v>
      </c>
      <c r="FW39" s="44">
        <f t="shared" si="56"/>
        <v>35803.149841836734</v>
      </c>
      <c r="FX39" s="90" cm="1">
        <f t="array" ref="FX39">IF($CQ$5&lt;$CP$5,_xlfn.XLOOKUP(FP39,$EG$5:$EG$54,$EK$5:$EK$54),IF(OR(AND($CQ$5&gt;$CP$5,$CQ$5&lt;$CO$5),OR($CQ$5&gt;=$CL$5)),_xlfn.XLOOKUP(FP39,$EG$5:$EG$54,$EJ$5:$EJ$54),IF(AND($CQ$5&gt;$CO$5,$CQ$5&lt;$CN$5),_xlfn.XLOOKUP(FP39,$EG$5:$EG$54,$EL$5:$EL$54),IF(AND($CQ$5&gt;$CN$5,$CQ$5&lt;$CM$5),_xlfn.XLOOKUP(FP39,$EG$5:$EG$54,$EM$5:$EM$54),_xlfn.XLOOKUP(FP39,$EG$5:$EG$54,$EN$5:EN$54,IF(AND($CQ$5&gt;$CM$5,$CQ$5&lt;$CL$5),_xlfn.XLOOKUP(FD38,$EG$5:$EG$54,$EY$5:$EY$54),""))))))</f>
        <v>35803.149841836734</v>
      </c>
      <c r="FY39" s="44">
        <f t="shared" si="57"/>
        <v>34909.467474489793</v>
      </c>
    </row>
    <row r="40" spans="1:181" x14ac:dyDescent="0.25">
      <c r="A40"/>
      <c r="B40"/>
      <c r="C40" s="48">
        <v>34</v>
      </c>
      <c r="D40" s="86"/>
      <c r="E40" s="87"/>
      <c r="F40" s="87"/>
      <c r="G40" s="87"/>
      <c r="H40" s="87"/>
      <c r="I40" s="4"/>
      <c r="J40" s="44"/>
      <c r="K40" s="4"/>
      <c r="L40" s="44"/>
      <c r="M40" s="4"/>
      <c r="N40" s="86"/>
      <c r="O40" s="87"/>
      <c r="P40" s="87"/>
      <c r="Q40" s="87"/>
      <c r="R40" s="87"/>
      <c r="S40" s="4"/>
      <c r="T40" s="44"/>
      <c r="U40" s="4"/>
      <c r="V40" s="44"/>
      <c r="W40" s="4"/>
      <c r="X40" s="87"/>
      <c r="Y40" s="43"/>
      <c r="Z40" s="43"/>
      <c r="AA40" s="43"/>
      <c r="AB40" s="43"/>
      <c r="AC40" s="107"/>
      <c r="AD40" s="104"/>
      <c r="AE40" s="104"/>
      <c r="AF40" s="104"/>
      <c r="AG40" s="104"/>
      <c r="AH40" s="44"/>
      <c r="AI40" s="44"/>
      <c r="AJ40" s="44"/>
      <c r="AK40" s="44"/>
      <c r="AL40" s="44"/>
      <c r="AM40" s="43"/>
      <c r="AN40" s="43"/>
      <c r="AO40" s="43"/>
      <c r="AP40" s="43"/>
      <c r="AQ40" s="43"/>
      <c r="AR40" s="44">
        <f t="shared" si="76"/>
        <v>0</v>
      </c>
      <c r="AS40" s="44"/>
      <c r="AT40" s="44"/>
      <c r="AU40" s="44"/>
      <c r="AV40" s="44"/>
      <c r="AW40" s="43"/>
      <c r="AX40" s="43"/>
      <c r="AY40" s="43"/>
      <c r="AZ40" s="43"/>
      <c r="BA40" s="43"/>
      <c r="BB40" s="45"/>
      <c r="BC40" s="227"/>
      <c r="BD40" s="45"/>
      <c r="BE40" s="45"/>
      <c r="BF40" s="45"/>
      <c r="BG40" s="46"/>
      <c r="BH40" s="60"/>
      <c r="BI40" s="46"/>
      <c r="BJ40" s="46"/>
      <c r="BK40" s="46"/>
      <c r="BL40" s="46"/>
      <c r="BM40" s="60"/>
      <c r="BN40" s="46"/>
      <c r="BO40" s="46"/>
      <c r="BP40" s="46"/>
      <c r="BQ40" s="44">
        <f t="shared" si="82"/>
        <v>222289.52509056148</v>
      </c>
      <c r="BR40" s="100">
        <v>2.564E-2</v>
      </c>
      <c r="BS40" s="44">
        <f t="shared" si="45"/>
        <v>35803.149841836734</v>
      </c>
      <c r="BT40" s="44">
        <f t="shared" si="104"/>
        <v>1209892.3237308674</v>
      </c>
      <c r="BU40" s="44">
        <f t="shared" si="105"/>
        <v>186486.37524872474</v>
      </c>
      <c r="BV40" s="44">
        <f t="shared" si="83"/>
        <v>251641.40534311245</v>
      </c>
      <c r="BW40" s="100">
        <v>2.5000000000000001E-2</v>
      </c>
      <c r="BX40" s="44">
        <f t="shared" si="46"/>
        <v>34909.467474489793</v>
      </c>
      <c r="BY40" s="44">
        <f t="shared" si="106"/>
        <v>1179646.7611109696</v>
      </c>
      <c r="BZ40" s="44">
        <f t="shared" si="107"/>
        <v>216731.93786862266</v>
      </c>
      <c r="CA40" s="44"/>
      <c r="CB40" s="43">
        <f t="shared" si="84"/>
        <v>365341.04999999906</v>
      </c>
      <c r="CC40" s="100">
        <v>2.564E-2</v>
      </c>
      <c r="CD40" s="43">
        <f t="shared" si="47"/>
        <v>58843.799999999996</v>
      </c>
      <c r="CE40" s="43">
        <f t="shared" si="108"/>
        <v>1988502.7500000009</v>
      </c>
      <c r="CF40" s="43">
        <f t="shared" si="109"/>
        <v>306497.24999999907</v>
      </c>
      <c r="CG40" s="43">
        <f t="shared" si="85"/>
        <v>0</v>
      </c>
      <c r="CH40" s="100">
        <v>2.564E-2</v>
      </c>
      <c r="CI40" s="43">
        <f t="shared" si="70"/>
        <v>0</v>
      </c>
      <c r="CJ40" s="43">
        <f t="shared" si="110"/>
        <v>0</v>
      </c>
      <c r="CK40" s="43">
        <f t="shared" si="111"/>
        <v>0</v>
      </c>
      <c r="CR40">
        <f t="shared" si="117"/>
        <v>30</v>
      </c>
      <c r="DB40" s="57"/>
      <c r="DC40" s="57"/>
      <c r="DD40" s="57"/>
      <c r="DJ40" s="22">
        <v>36</v>
      </c>
      <c r="DK40" s="44">
        <f t="shared" si="12"/>
        <v>0</v>
      </c>
      <c r="DL40" s="44">
        <f t="shared" si="130"/>
        <v>0</v>
      </c>
      <c r="DM40" s="44">
        <f t="shared" si="131"/>
        <v>0</v>
      </c>
      <c r="DN40" s="44">
        <f t="shared" si="132"/>
        <v>0</v>
      </c>
      <c r="DO40" s="44">
        <f t="shared" si="14"/>
        <v>0</v>
      </c>
      <c r="DP40" s="44">
        <f t="shared" si="15"/>
        <v>0</v>
      </c>
      <c r="DQ40" s="44">
        <f t="shared" si="16"/>
        <v>0</v>
      </c>
      <c r="DR40" s="44">
        <f t="shared" si="17"/>
        <v>0</v>
      </c>
      <c r="DS40" s="44">
        <f t="shared" si="133"/>
        <v>0</v>
      </c>
      <c r="DT40" s="44"/>
      <c r="DV40" s="44"/>
      <c r="DW40" s="44"/>
      <c r="DX40" s="44"/>
      <c r="DY40" s="44"/>
      <c r="DZ40" s="44"/>
      <c r="EA40" s="44"/>
      <c r="EB40" s="44"/>
      <c r="EC40" s="44"/>
      <c r="ED40" s="44"/>
      <c r="EE40" s="44"/>
      <c r="EG40" s="22">
        <v>36</v>
      </c>
      <c r="EH40" s="44">
        <f t="shared" si="134"/>
        <v>58843.799999999996</v>
      </c>
      <c r="EI40" s="44">
        <f t="shared" si="135"/>
        <v>35803.149841836734</v>
      </c>
      <c r="EJ40" s="44">
        <f t="shared" si="136"/>
        <v>35803.149841836734</v>
      </c>
      <c r="EK40" s="44">
        <f t="shared" si="137"/>
        <v>35803.149841836734</v>
      </c>
      <c r="EL40" s="44">
        <f t="shared" si="25"/>
        <v>35803.149841836734</v>
      </c>
      <c r="EM40" s="44">
        <f t="shared" si="26"/>
        <v>35803.149841836734</v>
      </c>
      <c r="EN40" s="44">
        <f t="shared" si="27"/>
        <v>35803.149841836734</v>
      </c>
      <c r="EO40" s="44">
        <f t="shared" si="28"/>
        <v>35803.149841836734</v>
      </c>
      <c r="EP40" s="44">
        <f t="shared" si="138"/>
        <v>34909.467474489793</v>
      </c>
      <c r="EQ40" s="44">
        <f t="shared" si="29"/>
        <v>0</v>
      </c>
      <c r="ES40" s="44">
        <f t="shared" si="10"/>
        <v>2106190.350000001</v>
      </c>
      <c r="ET40" s="44">
        <f t="shared" si="124"/>
        <v>132773.37443494773</v>
      </c>
      <c r="EU40" s="44">
        <f t="shared" si="11"/>
        <v>132773.37443494773</v>
      </c>
      <c r="EV40" s="44">
        <f t="shared" si="125"/>
        <v>132773.37443494773</v>
      </c>
      <c r="EW40" s="44">
        <f t="shared" si="127"/>
        <v>132773.37443494773</v>
      </c>
      <c r="EX40" s="44">
        <f t="shared" si="31"/>
        <v>-226675.14597321558</v>
      </c>
      <c r="EY40" s="44">
        <f t="shared" si="32"/>
        <v>-406399.406177297</v>
      </c>
      <c r="EZ40" s="44">
        <f t="shared" si="33"/>
        <v>-586123.66638137866</v>
      </c>
      <c r="FA40" s="44">
        <f t="shared" si="129"/>
        <v>-529074.14967859886</v>
      </c>
      <c r="FB40" s="44">
        <f t="shared" si="34"/>
        <v>0</v>
      </c>
      <c r="FD40" s="22">
        <f t="shared" si="48"/>
        <v>36</v>
      </c>
      <c r="FF40" s="22">
        <f t="shared" si="49"/>
        <v>36</v>
      </c>
      <c r="FG40" s="138">
        <f t="shared" si="50"/>
        <v>2060</v>
      </c>
      <c r="FH40" s="90">
        <f t="shared" si="35"/>
        <v>0</v>
      </c>
      <c r="FI40" s="90">
        <f t="shared" si="36"/>
        <v>0</v>
      </c>
      <c r="FJ40" s="90">
        <f t="shared" si="37"/>
        <v>0</v>
      </c>
      <c r="FK40" s="44">
        <f t="shared" si="51"/>
        <v>0</v>
      </c>
      <c r="FL40" s="90" cm="1">
        <f t="array" ref="FL40">IF($CQ$5&lt;$CP$5,_xlfn.XLOOKUP(FD40,$EG$5:$EG$54,$DN$5:$DN$54),IF(OR(AND($CQ$5&gt;$CP$5,$CQ$5&lt;$CO$5),OR($CQ$5&gt;=$CL$5)),_xlfn.XLOOKUP(FD40,$EG$5:$EG$54,$DM$5:DM$54),IF(AND($CQ$5&gt;$CO$5,$CQ$5&lt;$CN$5),_xlfn.XLOOKUP(FD40,$EG$5:$EG$54,$DO$5:$DO$54),IF(AND($CQ$5&gt;$CN$5,$CQ$5&lt;$CM$5),_xlfn.XLOOKUP(FD40,$EG$5:$EG$54,$DP$5:$DP$54),IF(AND($CQ$5&gt;$CM$5,$CQ$5&lt;$CL$5),_xlfn.XLOOKUP(FD40,$EG$5:$EG$54,$DQ$5:$DQ$54))))))</f>
        <v>0</v>
      </c>
      <c r="FM40" s="44">
        <f t="shared" si="52"/>
        <v>0</v>
      </c>
      <c r="FP40" s="22">
        <f t="shared" si="53"/>
        <v>36</v>
      </c>
      <c r="FR40" s="22">
        <f t="shared" si="54"/>
        <v>36</v>
      </c>
      <c r="FS40" s="138">
        <f t="shared" si="55"/>
        <v>2060</v>
      </c>
      <c r="FT40" s="90">
        <f t="shared" si="38"/>
        <v>58843.799999999996</v>
      </c>
      <c r="FU40" s="90">
        <f t="shared" si="39"/>
        <v>0</v>
      </c>
      <c r="FV40" s="90">
        <f t="shared" si="40"/>
        <v>58843.799999999996</v>
      </c>
      <c r="FW40" s="44">
        <f t="shared" si="56"/>
        <v>35803.149841836734</v>
      </c>
      <c r="FX40" s="90" cm="1">
        <f t="array" ref="FX40">IF($CQ$5&lt;$CP$5,_xlfn.XLOOKUP(FP40,$EG$5:$EG$54,$EK$5:$EK$54),IF(OR(AND($CQ$5&gt;$CP$5,$CQ$5&lt;$CO$5),OR($CQ$5&gt;=$CL$5)),_xlfn.XLOOKUP(FP40,$EG$5:$EG$54,$EJ$5:$EJ$54),IF(AND($CQ$5&gt;$CO$5,$CQ$5&lt;$CN$5),_xlfn.XLOOKUP(FP40,$EG$5:$EG$54,$EL$5:$EL$54),IF(AND($CQ$5&gt;$CN$5,$CQ$5&lt;$CM$5),_xlfn.XLOOKUP(FP40,$EG$5:$EG$54,$EM$5:$EM$54),_xlfn.XLOOKUP(FP40,$EG$5:$EG$54,$EN$5:EN$54,IF(AND($CQ$5&gt;$CM$5,$CQ$5&lt;$CL$5),_xlfn.XLOOKUP(FD39,$EG$5:$EG$54,$EY$5:$EY$54),""))))))</f>
        <v>35803.149841836734</v>
      </c>
      <c r="FY40" s="44">
        <f t="shared" si="57"/>
        <v>34909.467474489793</v>
      </c>
    </row>
    <row r="41" spans="1:181" x14ac:dyDescent="0.25">
      <c r="A41"/>
      <c r="B41"/>
      <c r="C41" s="48">
        <v>35</v>
      </c>
      <c r="D41" s="86"/>
      <c r="E41" s="87"/>
      <c r="F41" s="87"/>
      <c r="G41" s="87"/>
      <c r="H41" s="87"/>
      <c r="I41" s="4"/>
      <c r="J41" s="44"/>
      <c r="K41" s="4"/>
      <c r="L41" s="44"/>
      <c r="M41" s="4"/>
      <c r="N41" s="86"/>
      <c r="O41" s="87"/>
      <c r="P41" s="87"/>
      <c r="Q41" s="87"/>
      <c r="R41" s="87"/>
      <c r="S41" s="4"/>
      <c r="T41" s="44"/>
      <c r="U41" s="4"/>
      <c r="V41" s="44"/>
      <c r="W41" s="4"/>
      <c r="X41" s="87"/>
      <c r="Y41" s="43"/>
      <c r="Z41" s="43"/>
      <c r="AA41" s="43"/>
      <c r="AB41" s="43"/>
      <c r="AC41" s="107"/>
      <c r="AD41" s="104"/>
      <c r="AE41" s="104"/>
      <c r="AF41" s="104"/>
      <c r="AG41" s="104"/>
      <c r="AH41" s="44"/>
      <c r="AI41" s="44"/>
      <c r="AJ41" s="44"/>
      <c r="AK41" s="44"/>
      <c r="AL41" s="44"/>
      <c r="AM41" s="43"/>
      <c r="AN41" s="43"/>
      <c r="AO41" s="43"/>
      <c r="AP41" s="43"/>
      <c r="AQ41" s="43"/>
      <c r="AR41" s="44">
        <f t="shared" si="76"/>
        <v>0</v>
      </c>
      <c r="AS41" s="44"/>
      <c r="AT41" s="44"/>
      <c r="AU41" s="44"/>
      <c r="AV41" s="44"/>
      <c r="AW41" s="43"/>
      <c r="AX41" s="43"/>
      <c r="AY41" s="43"/>
      <c r="AZ41" s="43"/>
      <c r="BA41" s="43"/>
      <c r="BB41" s="45"/>
      <c r="BC41" s="227"/>
      <c r="BD41" s="45"/>
      <c r="BE41" s="45"/>
      <c r="BF41" s="45"/>
      <c r="BG41" s="46"/>
      <c r="BH41" s="60"/>
      <c r="BI41" s="46"/>
      <c r="BJ41" s="46"/>
      <c r="BK41" s="46"/>
      <c r="BL41" s="46"/>
      <c r="BM41" s="60"/>
      <c r="BN41" s="46"/>
      <c r="BO41" s="46"/>
      <c r="BP41" s="46"/>
      <c r="BQ41" s="44">
        <f t="shared" si="82"/>
        <v>186486.37524872474</v>
      </c>
      <c r="BR41" s="100">
        <v>2.564E-2</v>
      </c>
      <c r="BS41" s="44">
        <f t="shared" si="45"/>
        <v>35803.149841836734</v>
      </c>
      <c r="BT41" s="44">
        <f t="shared" si="104"/>
        <v>1245695.473572704</v>
      </c>
      <c r="BU41" s="44">
        <f t="shared" si="105"/>
        <v>150683.225406888</v>
      </c>
      <c r="BV41" s="44">
        <f t="shared" si="83"/>
        <v>216731.93786862266</v>
      </c>
      <c r="BW41" s="100">
        <v>2.5000000000000001E-2</v>
      </c>
      <c r="BX41" s="44">
        <f t="shared" si="46"/>
        <v>34909.467474489793</v>
      </c>
      <c r="BY41" s="44">
        <f t="shared" si="106"/>
        <v>1214556.2285854593</v>
      </c>
      <c r="BZ41" s="44">
        <f t="shared" si="107"/>
        <v>181822.47039413286</v>
      </c>
      <c r="CA41" s="44"/>
      <c r="CB41" s="43">
        <f t="shared" si="84"/>
        <v>306497.24999999907</v>
      </c>
      <c r="CC41" s="100">
        <v>2.564E-2</v>
      </c>
      <c r="CD41" s="43">
        <f t="shared" si="47"/>
        <v>58843.799999999996</v>
      </c>
      <c r="CE41" s="43">
        <f t="shared" si="108"/>
        <v>2047346.550000001</v>
      </c>
      <c r="CF41" s="43">
        <f t="shared" si="109"/>
        <v>247653.44999999908</v>
      </c>
      <c r="CG41" s="43">
        <f t="shared" si="85"/>
        <v>0</v>
      </c>
      <c r="CH41" s="100">
        <v>2.564E-2</v>
      </c>
      <c r="CI41" s="43">
        <f t="shared" si="70"/>
        <v>0</v>
      </c>
      <c r="CJ41" s="43">
        <f t="shared" si="110"/>
        <v>0</v>
      </c>
      <c r="CK41" s="43">
        <f t="shared" si="111"/>
        <v>0</v>
      </c>
      <c r="CR41">
        <f t="shared" si="117"/>
        <v>31</v>
      </c>
      <c r="DB41" s="57"/>
      <c r="DC41" s="57"/>
      <c r="DD41" s="57"/>
      <c r="DJ41" s="22">
        <v>37</v>
      </c>
      <c r="DK41" s="44">
        <f t="shared" si="12"/>
        <v>0</v>
      </c>
      <c r="DL41" s="44">
        <f t="shared" si="130"/>
        <v>0</v>
      </c>
      <c r="DM41" s="44">
        <f t="shared" si="131"/>
        <v>0</v>
      </c>
      <c r="DN41" s="44">
        <f t="shared" si="132"/>
        <v>0</v>
      </c>
      <c r="DO41" s="44">
        <f t="shared" si="14"/>
        <v>0</v>
      </c>
      <c r="DP41" s="44">
        <f t="shared" si="15"/>
        <v>0</v>
      </c>
      <c r="DQ41" s="44">
        <f t="shared" si="16"/>
        <v>0</v>
      </c>
      <c r="DR41" s="44">
        <f t="shared" si="17"/>
        <v>0</v>
      </c>
      <c r="DS41" s="44">
        <f t="shared" si="133"/>
        <v>0</v>
      </c>
      <c r="DT41" s="44"/>
      <c r="DV41" s="44"/>
      <c r="DW41" s="44"/>
      <c r="DX41" s="44"/>
      <c r="DY41" s="44"/>
      <c r="DZ41" s="44"/>
      <c r="EA41" s="44"/>
      <c r="EB41" s="44"/>
      <c r="EC41" s="44"/>
      <c r="ED41" s="44"/>
      <c r="EE41" s="44"/>
      <c r="EG41" s="22">
        <v>37</v>
      </c>
      <c r="EH41" s="44">
        <f t="shared" si="134"/>
        <v>58843.799999999996</v>
      </c>
      <c r="EI41" s="44">
        <f t="shared" si="135"/>
        <v>35803.149841836734</v>
      </c>
      <c r="EJ41" s="44">
        <f t="shared" si="136"/>
        <v>35803.149841836734</v>
      </c>
      <c r="EK41" s="44">
        <f t="shared" si="137"/>
        <v>35803.149841836734</v>
      </c>
      <c r="EL41" s="44">
        <f t="shared" si="25"/>
        <v>35803.149841836734</v>
      </c>
      <c r="EM41" s="44">
        <f t="shared" si="26"/>
        <v>35803.149841836734</v>
      </c>
      <c r="EN41" s="44">
        <f t="shared" si="27"/>
        <v>35803.149841836734</v>
      </c>
      <c r="EO41" s="44">
        <f t="shared" si="28"/>
        <v>35803.149841836734</v>
      </c>
      <c r="EP41" s="44">
        <f t="shared" si="138"/>
        <v>34909.467474489793</v>
      </c>
      <c r="EQ41" s="44">
        <f t="shared" si="29"/>
        <v>0</v>
      </c>
      <c r="ES41" s="44">
        <f t="shared" si="10"/>
        <v>2165034.1500000008</v>
      </c>
      <c r="ET41" s="44">
        <f t="shared" si="124"/>
        <v>109732.72427678434</v>
      </c>
      <c r="EU41" s="44">
        <f t="shared" si="11"/>
        <v>109732.72427678434</v>
      </c>
      <c r="EV41" s="44">
        <f t="shared" si="125"/>
        <v>109732.72427678434</v>
      </c>
      <c r="EW41" s="44">
        <f t="shared" si="127"/>
        <v>109732.72427678434</v>
      </c>
      <c r="EX41" s="44">
        <f t="shared" si="31"/>
        <v>-249715.79613137897</v>
      </c>
      <c r="EY41" s="44">
        <f t="shared" si="32"/>
        <v>-429440.05633546039</v>
      </c>
      <c r="EZ41" s="44">
        <f t="shared" si="33"/>
        <v>-609164.31653954205</v>
      </c>
      <c r="FA41" s="44">
        <f t="shared" si="129"/>
        <v>-553008.4822041092</v>
      </c>
      <c r="FB41" s="44">
        <f t="shared" si="34"/>
        <v>0</v>
      </c>
      <c r="FD41" s="22">
        <f t="shared" si="48"/>
        <v>37</v>
      </c>
      <c r="FF41" s="22">
        <f t="shared" si="49"/>
        <v>37</v>
      </c>
      <c r="FG41" s="138">
        <f t="shared" si="50"/>
        <v>2061</v>
      </c>
      <c r="FH41" s="90">
        <f t="shared" si="35"/>
        <v>0</v>
      </c>
      <c r="FI41" s="90">
        <f t="shared" si="36"/>
        <v>0</v>
      </c>
      <c r="FJ41" s="90">
        <f t="shared" si="37"/>
        <v>0</v>
      </c>
      <c r="FK41" s="44">
        <f t="shared" si="51"/>
        <v>0</v>
      </c>
      <c r="FL41" s="90" cm="1">
        <f t="array" ref="FL41">IF($CQ$5&lt;$CP$5,_xlfn.XLOOKUP(FD41,$EG$5:$EG$54,$DN$5:$DN$54),IF(OR(AND($CQ$5&gt;$CP$5,$CQ$5&lt;$CO$5),OR($CQ$5&gt;=$CL$5)),_xlfn.XLOOKUP(FD41,$EG$5:$EG$54,$DM$5:DM$54),IF(AND($CQ$5&gt;$CO$5,$CQ$5&lt;$CN$5),_xlfn.XLOOKUP(FD41,$EG$5:$EG$54,$DO$5:$DO$54),IF(AND($CQ$5&gt;$CN$5,$CQ$5&lt;$CM$5),_xlfn.XLOOKUP(FD41,$EG$5:$EG$54,$DP$5:$DP$54),IF(AND($CQ$5&gt;$CM$5,$CQ$5&lt;$CL$5),_xlfn.XLOOKUP(FD41,$EG$5:$EG$54,$DQ$5:$DQ$54))))))</f>
        <v>0</v>
      </c>
      <c r="FM41" s="44">
        <f t="shared" si="52"/>
        <v>0</v>
      </c>
      <c r="FP41" s="22">
        <f t="shared" si="53"/>
        <v>37</v>
      </c>
      <c r="FR41" s="22">
        <f t="shared" si="54"/>
        <v>37</v>
      </c>
      <c r="FS41" s="138">
        <f t="shared" si="55"/>
        <v>2061</v>
      </c>
      <c r="FT41" s="90">
        <f t="shared" si="38"/>
        <v>58843.799999999996</v>
      </c>
      <c r="FU41" s="90">
        <f t="shared" si="39"/>
        <v>0</v>
      </c>
      <c r="FV41" s="90">
        <f t="shared" si="40"/>
        <v>58843.799999999996</v>
      </c>
      <c r="FW41" s="44">
        <f t="shared" si="56"/>
        <v>35803.149841836734</v>
      </c>
      <c r="FX41" s="90" cm="1">
        <f t="array" ref="FX41">IF($CQ$5&lt;$CP$5,_xlfn.XLOOKUP(FP41,$EG$5:$EG$54,$EK$5:$EK$54),IF(OR(AND($CQ$5&gt;$CP$5,$CQ$5&lt;$CO$5),OR($CQ$5&gt;=$CL$5)),_xlfn.XLOOKUP(FP41,$EG$5:$EG$54,$EJ$5:$EJ$54),IF(AND($CQ$5&gt;$CO$5,$CQ$5&lt;$CN$5),_xlfn.XLOOKUP(FP41,$EG$5:$EG$54,$EL$5:$EL$54),IF(AND($CQ$5&gt;$CN$5,$CQ$5&lt;$CM$5),_xlfn.XLOOKUP(FP41,$EG$5:$EG$54,$EM$5:$EM$54),_xlfn.XLOOKUP(FP41,$EG$5:$EG$54,$EN$5:EN$54,IF(AND($CQ$5&gt;$CM$5,$CQ$5&lt;$CL$5),_xlfn.XLOOKUP(FD40,$EG$5:$EG$54,$EY$5:$EY$54),""))))))</f>
        <v>35803.149841836734</v>
      </c>
      <c r="FY41" s="44">
        <f t="shared" si="57"/>
        <v>34909.467474489793</v>
      </c>
    </row>
    <row r="42" spans="1:181" x14ac:dyDescent="0.25">
      <c r="A42"/>
      <c r="B42"/>
      <c r="C42" s="48">
        <v>36</v>
      </c>
      <c r="D42" s="86"/>
      <c r="E42" s="87"/>
      <c r="F42" s="87"/>
      <c r="G42" s="87"/>
      <c r="H42" s="87"/>
      <c r="I42" s="4"/>
      <c r="J42" s="44"/>
      <c r="K42" s="4"/>
      <c r="L42" s="44"/>
      <c r="M42" s="4"/>
      <c r="N42" s="86"/>
      <c r="O42" s="87"/>
      <c r="P42" s="87"/>
      <c r="Q42" s="87"/>
      <c r="R42" s="87"/>
      <c r="S42" s="4"/>
      <c r="T42" s="44"/>
      <c r="U42" s="4"/>
      <c r="V42" s="44"/>
      <c r="W42" s="4"/>
      <c r="X42" s="87"/>
      <c r="Y42" s="43"/>
      <c r="Z42" s="43"/>
      <c r="AA42" s="43"/>
      <c r="AB42" s="43"/>
      <c r="AC42" s="107"/>
      <c r="AD42" s="104"/>
      <c r="AE42" s="104"/>
      <c r="AF42" s="104"/>
      <c r="AG42" s="104"/>
      <c r="AH42" s="44"/>
      <c r="AI42" s="44"/>
      <c r="AJ42" s="44"/>
      <c r="AK42" s="44"/>
      <c r="AL42" s="44"/>
      <c r="AM42" s="43"/>
      <c r="AN42" s="43"/>
      <c r="AO42" s="43"/>
      <c r="AP42" s="43"/>
      <c r="AQ42" s="43"/>
      <c r="AR42" s="44">
        <f t="shared" si="76"/>
        <v>0</v>
      </c>
      <c r="AS42" s="44"/>
      <c r="AT42" s="44"/>
      <c r="AU42" s="44"/>
      <c r="AV42" s="44"/>
      <c r="AW42" s="43"/>
      <c r="AX42" s="43"/>
      <c r="AY42" s="43"/>
      <c r="AZ42" s="43"/>
      <c r="BA42" s="43"/>
      <c r="BB42" s="45"/>
      <c r="BC42" s="227"/>
      <c r="BD42" s="45"/>
      <c r="BE42" s="45"/>
      <c r="BF42" s="45"/>
      <c r="BG42" s="46"/>
      <c r="BH42" s="60"/>
      <c r="BI42" s="46"/>
      <c r="BJ42" s="46"/>
      <c r="BK42" s="46"/>
      <c r="BL42" s="46"/>
      <c r="BM42" s="60"/>
      <c r="BN42" s="46"/>
      <c r="BO42" s="46"/>
      <c r="BP42" s="46"/>
      <c r="BQ42" s="44">
        <f t="shared" si="82"/>
        <v>150683.225406888</v>
      </c>
      <c r="BR42" s="100">
        <v>2.564E-2</v>
      </c>
      <c r="BS42" s="44">
        <f t="shared" si="45"/>
        <v>35803.149841836734</v>
      </c>
      <c r="BT42" s="44">
        <f t="shared" si="104"/>
        <v>1281498.6234145407</v>
      </c>
      <c r="BU42" s="44">
        <f t="shared" si="105"/>
        <v>114880.07556505126</v>
      </c>
      <c r="BV42" s="44">
        <f t="shared" si="83"/>
        <v>181822.47039413286</v>
      </c>
      <c r="BW42" s="100">
        <v>2.5000000000000001E-2</v>
      </c>
      <c r="BX42" s="44">
        <f t="shared" si="46"/>
        <v>34909.467474489793</v>
      </c>
      <c r="BY42" s="44">
        <f t="shared" si="106"/>
        <v>1249465.696059949</v>
      </c>
      <c r="BZ42" s="44">
        <f t="shared" si="107"/>
        <v>146913.00291964307</v>
      </c>
      <c r="CA42" s="44"/>
      <c r="CB42" s="43">
        <f t="shared" si="84"/>
        <v>247653.44999999908</v>
      </c>
      <c r="CC42" s="100">
        <v>2.564E-2</v>
      </c>
      <c r="CD42" s="43">
        <f t="shared" si="47"/>
        <v>58843.799999999996</v>
      </c>
      <c r="CE42" s="43">
        <f t="shared" si="108"/>
        <v>2106190.350000001</v>
      </c>
      <c r="CF42" s="43">
        <f t="shared" si="109"/>
        <v>188809.64999999909</v>
      </c>
      <c r="CG42" s="43">
        <f t="shared" si="85"/>
        <v>0</v>
      </c>
      <c r="CH42" s="100">
        <v>2.564E-2</v>
      </c>
      <c r="CI42" s="43">
        <f t="shared" si="70"/>
        <v>0</v>
      </c>
      <c r="CJ42" s="43">
        <f t="shared" si="110"/>
        <v>0</v>
      </c>
      <c r="CK42" s="43">
        <f t="shared" si="111"/>
        <v>0</v>
      </c>
      <c r="CR42">
        <f t="shared" si="117"/>
        <v>32</v>
      </c>
      <c r="DB42" s="57"/>
      <c r="DC42" s="57"/>
      <c r="DD42" s="57"/>
      <c r="DJ42" s="22">
        <v>38</v>
      </c>
      <c r="DK42" s="44">
        <f t="shared" si="12"/>
        <v>0</v>
      </c>
      <c r="DL42" s="44">
        <f t="shared" si="130"/>
        <v>0</v>
      </c>
      <c r="DM42" s="44">
        <f t="shared" si="131"/>
        <v>0</v>
      </c>
      <c r="DN42" s="44">
        <f t="shared" si="132"/>
        <v>0</v>
      </c>
      <c r="DO42" s="44">
        <f t="shared" si="14"/>
        <v>0</v>
      </c>
      <c r="DP42" s="44">
        <f t="shared" si="15"/>
        <v>0</v>
      </c>
      <c r="DQ42" s="44">
        <f t="shared" si="16"/>
        <v>0</v>
      </c>
      <c r="DR42" s="44">
        <f t="shared" si="17"/>
        <v>0</v>
      </c>
      <c r="DS42" s="44">
        <f>SUM(P44,U44,AT44,BN44)</f>
        <v>0</v>
      </c>
      <c r="DT42" s="44"/>
      <c r="DV42" s="44"/>
      <c r="DW42" s="44"/>
      <c r="DX42" s="44"/>
      <c r="DY42" s="44"/>
      <c r="DZ42" s="44"/>
      <c r="EA42" s="44"/>
      <c r="EB42" s="44"/>
      <c r="EC42" s="44"/>
      <c r="ED42" s="44"/>
      <c r="EE42" s="44"/>
      <c r="EG42" s="22">
        <v>38</v>
      </c>
      <c r="EH42" s="44">
        <f t="shared" si="134"/>
        <v>58843.799999999996</v>
      </c>
      <c r="EI42" s="44">
        <f t="shared" si="135"/>
        <v>35803.149841836734</v>
      </c>
      <c r="EJ42" s="44">
        <f t="shared" si="136"/>
        <v>35803.149841836734</v>
      </c>
      <c r="EK42" s="44">
        <f t="shared" si="137"/>
        <v>35803.149841836734</v>
      </c>
      <c r="EL42" s="44">
        <f t="shared" si="25"/>
        <v>35803.149841836734</v>
      </c>
      <c r="EM42" s="44">
        <f t="shared" si="26"/>
        <v>35803.149841836734</v>
      </c>
      <c r="EN42" s="44">
        <f t="shared" si="27"/>
        <v>35803.149841836734</v>
      </c>
      <c r="EO42" s="44">
        <f t="shared" si="28"/>
        <v>35803.149841836734</v>
      </c>
      <c r="EP42" s="44">
        <f t="shared" si="138"/>
        <v>34909.467474489793</v>
      </c>
      <c r="EQ42" s="44">
        <f t="shared" si="29"/>
        <v>0</v>
      </c>
      <c r="ES42" s="44">
        <f t="shared" si="10"/>
        <v>2223877.9500000007</v>
      </c>
      <c r="ET42" s="44">
        <f t="shared" si="124"/>
        <v>86692.074118621182</v>
      </c>
      <c r="EU42" s="44">
        <f t="shared" si="11"/>
        <v>86692.074118621182</v>
      </c>
      <c r="EV42" s="44">
        <f t="shared" si="125"/>
        <v>86692.074118621182</v>
      </c>
      <c r="EW42" s="44">
        <f t="shared" si="127"/>
        <v>86692.074118621182</v>
      </c>
      <c r="EX42" s="44">
        <f t="shared" si="31"/>
        <v>-272756.44628954213</v>
      </c>
      <c r="EY42" s="44">
        <f t="shared" si="32"/>
        <v>-452480.70649362355</v>
      </c>
      <c r="EZ42" s="44">
        <f t="shared" si="33"/>
        <v>-632204.96669770521</v>
      </c>
      <c r="FA42" s="44">
        <f t="shared" si="129"/>
        <v>-576942.81472961931</v>
      </c>
      <c r="FB42" s="44">
        <f t="shared" si="34"/>
        <v>0</v>
      </c>
      <c r="FD42" s="22">
        <f t="shared" si="48"/>
        <v>38</v>
      </c>
      <c r="FF42" s="22">
        <f t="shared" si="49"/>
        <v>38</v>
      </c>
      <c r="FG42" s="138">
        <f t="shared" si="50"/>
        <v>2062</v>
      </c>
      <c r="FH42" s="90">
        <f t="shared" si="35"/>
        <v>0</v>
      </c>
      <c r="FI42" s="90">
        <f t="shared" si="36"/>
        <v>0</v>
      </c>
      <c r="FJ42" s="90">
        <f t="shared" si="37"/>
        <v>0</v>
      </c>
      <c r="FK42" s="44">
        <f t="shared" si="51"/>
        <v>0</v>
      </c>
      <c r="FL42" s="90" cm="1">
        <f t="array" ref="FL42">IF($CQ$5&lt;$CP$5,_xlfn.XLOOKUP(FD42,$EG$5:$EG$54,$DN$5:$DN$54),IF(OR(AND($CQ$5&gt;$CP$5,$CQ$5&lt;$CO$5),OR($CQ$5&gt;=$CL$5)),_xlfn.XLOOKUP(FD42,$EG$5:$EG$54,$DM$5:DM$54),IF(AND($CQ$5&gt;$CO$5,$CQ$5&lt;$CN$5),_xlfn.XLOOKUP(FD42,$EG$5:$EG$54,$DO$5:$DO$54),IF(AND($CQ$5&gt;$CN$5,$CQ$5&lt;$CM$5),_xlfn.XLOOKUP(FD42,$EG$5:$EG$54,$DP$5:$DP$54),IF(AND($CQ$5&gt;$CM$5,$CQ$5&lt;$CL$5),_xlfn.XLOOKUP(FD42,$EG$5:$EG$54,$DQ$5:$DQ$54))))))</f>
        <v>0</v>
      </c>
      <c r="FM42" s="44">
        <f t="shared" si="52"/>
        <v>0</v>
      </c>
      <c r="FP42" s="22">
        <f t="shared" si="53"/>
        <v>38</v>
      </c>
      <c r="FR42" s="22">
        <f t="shared" si="54"/>
        <v>38</v>
      </c>
      <c r="FS42" s="138">
        <f t="shared" si="55"/>
        <v>2062</v>
      </c>
      <c r="FT42" s="90">
        <f t="shared" si="38"/>
        <v>58843.799999999996</v>
      </c>
      <c r="FU42" s="90">
        <f t="shared" si="39"/>
        <v>0</v>
      </c>
      <c r="FV42" s="90">
        <f t="shared" si="40"/>
        <v>58843.799999999996</v>
      </c>
      <c r="FW42" s="44">
        <f t="shared" si="56"/>
        <v>35803.149841836734</v>
      </c>
      <c r="FX42" s="90" cm="1">
        <f t="array" ref="FX42">IF($CQ$5&lt;$CP$5,_xlfn.XLOOKUP(FP42,$EG$5:$EG$54,$EK$5:$EK$54),IF(OR(AND($CQ$5&gt;$CP$5,$CQ$5&lt;$CO$5),OR($CQ$5&gt;=$CL$5)),_xlfn.XLOOKUP(FP42,$EG$5:$EG$54,$EJ$5:$EJ$54),IF(AND($CQ$5&gt;$CO$5,$CQ$5&lt;$CN$5),_xlfn.XLOOKUP(FP42,$EG$5:$EG$54,$EL$5:$EL$54),IF(AND($CQ$5&gt;$CN$5,$CQ$5&lt;$CM$5),_xlfn.XLOOKUP(FP42,$EG$5:$EG$54,$EM$5:$EM$54),_xlfn.XLOOKUP(FP42,$EG$5:$EG$54,$EN$5:EN$54,IF(AND($CQ$5&gt;$CM$5,$CQ$5&lt;$CL$5),_xlfn.XLOOKUP(FD41,$EG$5:$EG$54,$EY$5:$EY$54),""))))))</f>
        <v>35803.149841836734</v>
      </c>
      <c r="FY42" s="44">
        <f t="shared" si="57"/>
        <v>34909.467474489793</v>
      </c>
    </row>
    <row r="43" spans="1:181" x14ac:dyDescent="0.25">
      <c r="A43"/>
      <c r="B43"/>
      <c r="C43" s="48">
        <v>37</v>
      </c>
      <c r="D43" s="86"/>
      <c r="E43" s="87"/>
      <c r="F43" s="87"/>
      <c r="G43" s="87"/>
      <c r="H43" s="87"/>
      <c r="I43" s="4"/>
      <c r="J43" s="44"/>
      <c r="K43" s="4"/>
      <c r="L43" s="44"/>
      <c r="M43" s="4"/>
      <c r="N43" s="86"/>
      <c r="O43" s="87"/>
      <c r="P43" s="87"/>
      <c r="Q43" s="87"/>
      <c r="R43" s="87"/>
      <c r="S43" s="4"/>
      <c r="T43" s="44"/>
      <c r="U43" s="4"/>
      <c r="V43" s="44"/>
      <c r="W43" s="4"/>
      <c r="X43" s="87"/>
      <c r="Y43" s="43"/>
      <c r="Z43" s="43"/>
      <c r="AA43" s="43"/>
      <c r="AB43" s="43"/>
      <c r="AC43" s="107"/>
      <c r="AD43" s="104"/>
      <c r="AE43" s="104"/>
      <c r="AF43" s="104"/>
      <c r="AG43" s="104"/>
      <c r="AH43" s="44"/>
      <c r="AI43" s="44"/>
      <c r="AJ43" s="44"/>
      <c r="AK43" s="44"/>
      <c r="AL43" s="44"/>
      <c r="AM43" s="43"/>
      <c r="AN43" s="43"/>
      <c r="AO43" s="43"/>
      <c r="AP43" s="43"/>
      <c r="AQ43" s="43"/>
      <c r="AR43" s="44">
        <f t="shared" si="76"/>
        <v>0</v>
      </c>
      <c r="AS43" s="44"/>
      <c r="AT43" s="44"/>
      <c r="AU43" s="44"/>
      <c r="AV43" s="44"/>
      <c r="AW43" s="43"/>
      <c r="AX43" s="43"/>
      <c r="AY43" s="43"/>
      <c r="AZ43" s="43"/>
      <c r="BA43" s="43"/>
      <c r="BB43" s="45"/>
      <c r="BC43" s="227"/>
      <c r="BD43" s="45"/>
      <c r="BE43" s="45"/>
      <c r="BF43" s="45"/>
      <c r="BG43" s="46"/>
      <c r="BH43" s="60"/>
      <c r="BI43" s="46"/>
      <c r="BJ43" s="46"/>
      <c r="BK43" s="46"/>
      <c r="BL43" s="46"/>
      <c r="BM43" s="60"/>
      <c r="BN43" s="46"/>
      <c r="BO43" s="46"/>
      <c r="BP43" s="46"/>
      <c r="BQ43" s="44">
        <f t="shared" si="82"/>
        <v>114880.07556505126</v>
      </c>
      <c r="BR43" s="100">
        <v>2.564E-2</v>
      </c>
      <c r="BS43" s="44">
        <f t="shared" si="45"/>
        <v>35803.149841836734</v>
      </c>
      <c r="BT43" s="44">
        <f t="shared" si="104"/>
        <v>1317301.7732563773</v>
      </c>
      <c r="BU43" s="44">
        <f t="shared" si="105"/>
        <v>79076.925723214517</v>
      </c>
      <c r="BV43" s="44">
        <f t="shared" si="83"/>
        <v>146913.00291964307</v>
      </c>
      <c r="BW43" s="100">
        <v>2.5000000000000001E-2</v>
      </c>
      <c r="BX43" s="44">
        <f t="shared" si="46"/>
        <v>34909.467474489793</v>
      </c>
      <c r="BY43" s="44">
        <f t="shared" si="106"/>
        <v>1284375.1635344387</v>
      </c>
      <c r="BZ43" s="44">
        <f t="shared" si="107"/>
        <v>112003.53544515328</v>
      </c>
      <c r="CA43" s="44"/>
      <c r="CB43" s="43">
        <f t="shared" si="84"/>
        <v>188809.64999999909</v>
      </c>
      <c r="CC43" s="100">
        <v>2.564E-2</v>
      </c>
      <c r="CD43" s="43">
        <f t="shared" si="47"/>
        <v>58843.799999999996</v>
      </c>
      <c r="CE43" s="43">
        <f t="shared" si="108"/>
        <v>2165034.1500000008</v>
      </c>
      <c r="CF43" s="43">
        <f t="shared" si="109"/>
        <v>129965.8499999991</v>
      </c>
      <c r="CG43" s="43">
        <f t="shared" si="85"/>
        <v>0</v>
      </c>
      <c r="CH43" s="100">
        <v>2.564E-2</v>
      </c>
      <c r="CI43" s="43">
        <f t="shared" si="70"/>
        <v>0</v>
      </c>
      <c r="CJ43" s="43">
        <f t="shared" si="110"/>
        <v>0</v>
      </c>
      <c r="CK43" s="43">
        <f t="shared" si="111"/>
        <v>0</v>
      </c>
      <c r="CR43">
        <f t="shared" si="117"/>
        <v>33</v>
      </c>
      <c r="DB43" s="57"/>
      <c r="DC43" s="57"/>
      <c r="DD43" s="57"/>
      <c r="DJ43" s="22">
        <v>39</v>
      </c>
      <c r="DK43" s="44">
        <f t="shared" si="12"/>
        <v>0</v>
      </c>
      <c r="DL43" s="44">
        <f t="shared" si="130"/>
        <v>0</v>
      </c>
      <c r="DM43" s="44">
        <f t="shared" si="131"/>
        <v>0</v>
      </c>
      <c r="DN43" s="44">
        <f t="shared" si="132"/>
        <v>0</v>
      </c>
      <c r="DO43" s="44">
        <f t="shared" si="14"/>
        <v>0</v>
      </c>
      <c r="DP43" s="44">
        <f t="shared" si="15"/>
        <v>0</v>
      </c>
      <c r="DQ43" s="44">
        <f t="shared" si="16"/>
        <v>0</v>
      </c>
      <c r="DR43" s="44">
        <f t="shared" si="17"/>
        <v>0</v>
      </c>
      <c r="DS43" s="44">
        <f t="shared" si="133"/>
        <v>0</v>
      </c>
      <c r="DT43" s="44"/>
      <c r="DV43" s="44"/>
      <c r="DW43" s="44"/>
      <c r="DX43" s="44"/>
      <c r="DY43" s="44"/>
      <c r="DZ43" s="44"/>
      <c r="EA43" s="44"/>
      <c r="EB43" s="44"/>
      <c r="EC43" s="44"/>
      <c r="ED43" s="44"/>
      <c r="EE43" s="44"/>
      <c r="EG43" s="22">
        <v>39</v>
      </c>
      <c r="EH43" s="44">
        <f t="shared" si="134"/>
        <v>58843.799999999996</v>
      </c>
      <c r="EI43" s="44">
        <f t="shared" si="135"/>
        <v>35803.149841836734</v>
      </c>
      <c r="EJ43" s="44">
        <f t="shared" si="136"/>
        <v>35803.149841836734</v>
      </c>
      <c r="EK43" s="44">
        <f t="shared" si="137"/>
        <v>35803.149841836734</v>
      </c>
      <c r="EL43" s="44">
        <f t="shared" si="25"/>
        <v>35803.149841836734</v>
      </c>
      <c r="EM43" s="44">
        <f t="shared" si="26"/>
        <v>35803.149841836734</v>
      </c>
      <c r="EN43" s="44">
        <f t="shared" si="27"/>
        <v>35803.149841836734</v>
      </c>
      <c r="EO43" s="44">
        <f t="shared" si="28"/>
        <v>35803.149841836734</v>
      </c>
      <c r="EP43" s="44">
        <f t="shared" si="138"/>
        <v>34909.467474489793</v>
      </c>
      <c r="EQ43" s="44">
        <f t="shared" si="29"/>
        <v>0</v>
      </c>
      <c r="ES43" s="44">
        <f t="shared" si="10"/>
        <v>2282721.7500000005</v>
      </c>
      <c r="ET43" s="44">
        <f t="shared" si="124"/>
        <v>63651.423960458022</v>
      </c>
      <c r="EU43" s="44">
        <f t="shared" si="11"/>
        <v>63651.423960458022</v>
      </c>
      <c r="EV43" s="44">
        <f t="shared" si="125"/>
        <v>63651.423960458022</v>
      </c>
      <c r="EW43" s="44">
        <f t="shared" si="127"/>
        <v>63651.423960458022</v>
      </c>
      <c r="EX43" s="44">
        <f t="shared" si="31"/>
        <v>-295797.09644770529</v>
      </c>
      <c r="EY43" s="44">
        <f t="shared" si="32"/>
        <v>-475521.35665178671</v>
      </c>
      <c r="EZ43" s="44">
        <f t="shared" si="33"/>
        <v>-655245.61685586837</v>
      </c>
      <c r="FA43" s="44">
        <f t="shared" si="129"/>
        <v>-600877.14725512941</v>
      </c>
      <c r="FB43" s="44">
        <f t="shared" si="34"/>
        <v>0</v>
      </c>
      <c r="FD43" s="22">
        <f t="shared" si="48"/>
        <v>39</v>
      </c>
      <c r="FF43" s="22">
        <f t="shared" si="49"/>
        <v>39</v>
      </c>
      <c r="FG43" s="138">
        <f t="shared" si="50"/>
        <v>2063</v>
      </c>
      <c r="FH43" s="90">
        <f t="shared" si="35"/>
        <v>0</v>
      </c>
      <c r="FI43" s="90">
        <f t="shared" si="36"/>
        <v>0</v>
      </c>
      <c r="FJ43" s="90">
        <f t="shared" si="37"/>
        <v>0</v>
      </c>
      <c r="FK43" s="44">
        <f t="shared" si="51"/>
        <v>0</v>
      </c>
      <c r="FL43" s="90" cm="1">
        <f t="array" ref="FL43">IF($CQ$5&lt;$CP$5,_xlfn.XLOOKUP(FD43,$EG$5:$EG$54,$DN$5:$DN$54),IF(OR(AND($CQ$5&gt;$CP$5,$CQ$5&lt;$CO$5),OR($CQ$5&gt;=$CL$5)),_xlfn.XLOOKUP(FD43,$EG$5:$EG$54,$DM$5:DM$54),IF(AND($CQ$5&gt;$CO$5,$CQ$5&lt;$CN$5),_xlfn.XLOOKUP(FD43,$EG$5:$EG$54,$DO$5:$DO$54),IF(AND($CQ$5&gt;$CN$5,$CQ$5&lt;$CM$5),_xlfn.XLOOKUP(FD43,$EG$5:$EG$54,$DP$5:$DP$54),IF(AND($CQ$5&gt;$CM$5,$CQ$5&lt;$CL$5),_xlfn.XLOOKUP(FD43,$EG$5:$EG$54,$DQ$5:$DQ$54))))))</f>
        <v>0</v>
      </c>
      <c r="FM43" s="44">
        <f t="shared" si="52"/>
        <v>0</v>
      </c>
      <c r="FP43" s="22">
        <f t="shared" si="53"/>
        <v>39</v>
      </c>
      <c r="FR43" s="22">
        <f t="shared" si="54"/>
        <v>39</v>
      </c>
      <c r="FS43" s="138">
        <f t="shared" si="55"/>
        <v>2063</v>
      </c>
      <c r="FT43" s="90">
        <f t="shared" si="38"/>
        <v>58843.799999999996</v>
      </c>
      <c r="FU43" s="90">
        <f t="shared" si="39"/>
        <v>0</v>
      </c>
      <c r="FV43" s="90">
        <f t="shared" si="40"/>
        <v>58843.799999999996</v>
      </c>
      <c r="FW43" s="44">
        <f t="shared" si="56"/>
        <v>35803.149841836734</v>
      </c>
      <c r="FX43" s="90" cm="1">
        <f t="array" ref="FX43">IF($CQ$5&lt;$CP$5,_xlfn.XLOOKUP(FP43,$EG$5:$EG$54,$EK$5:$EK$54),IF(OR(AND($CQ$5&gt;$CP$5,$CQ$5&lt;$CO$5),OR($CQ$5&gt;=$CL$5)),_xlfn.XLOOKUP(FP43,$EG$5:$EG$54,$EJ$5:$EJ$54),IF(AND($CQ$5&gt;$CO$5,$CQ$5&lt;$CN$5),_xlfn.XLOOKUP(FP43,$EG$5:$EG$54,$EL$5:$EL$54),IF(AND($CQ$5&gt;$CN$5,$CQ$5&lt;$CM$5),_xlfn.XLOOKUP(FP43,$EG$5:$EG$54,$EM$5:$EM$54),_xlfn.XLOOKUP(FP43,$EG$5:$EG$54,$EN$5:EN$54,IF(AND($CQ$5&gt;$CM$5,$CQ$5&lt;$CL$5),_xlfn.XLOOKUP(FD42,$EG$5:$EG$54,$EY$5:$EY$54),""))))))</f>
        <v>35803.149841836734</v>
      </c>
      <c r="FY43" s="44">
        <f t="shared" si="57"/>
        <v>34909.467474489793</v>
      </c>
    </row>
    <row r="44" spans="1:181" x14ac:dyDescent="0.25">
      <c r="A44"/>
      <c r="B44"/>
      <c r="C44" s="48">
        <v>38</v>
      </c>
      <c r="D44" s="86"/>
      <c r="E44" s="87"/>
      <c r="F44" s="87"/>
      <c r="G44" s="87"/>
      <c r="H44" s="87"/>
      <c r="I44" s="4"/>
      <c r="J44" s="44"/>
      <c r="K44" s="4"/>
      <c r="L44" s="44"/>
      <c r="M44" s="4"/>
      <c r="N44" s="86"/>
      <c r="O44" s="87"/>
      <c r="P44" s="87"/>
      <c r="Q44" s="87"/>
      <c r="R44" s="87"/>
      <c r="S44" s="4"/>
      <c r="T44" s="44"/>
      <c r="U44" s="4"/>
      <c r="V44" s="44"/>
      <c r="W44" s="4"/>
      <c r="X44" s="87"/>
      <c r="Y44" s="43"/>
      <c r="Z44" s="43"/>
      <c r="AA44" s="43"/>
      <c r="AB44" s="43"/>
      <c r="AC44" s="107"/>
      <c r="AD44" s="104"/>
      <c r="AE44" s="104"/>
      <c r="AF44" s="104"/>
      <c r="AG44" s="104"/>
      <c r="AH44" s="44"/>
      <c r="AI44" s="44"/>
      <c r="AJ44" s="44"/>
      <c r="AK44" s="44"/>
      <c r="AL44" s="44"/>
      <c r="AM44" s="43"/>
      <c r="AN44" s="43"/>
      <c r="AO44" s="43"/>
      <c r="AP44" s="43"/>
      <c r="AQ44" s="43"/>
      <c r="AR44" s="44">
        <f t="shared" si="76"/>
        <v>0</v>
      </c>
      <c r="AS44" s="44"/>
      <c r="AT44" s="44"/>
      <c r="AU44" s="44"/>
      <c r="AV44" s="44"/>
      <c r="AW44" s="43"/>
      <c r="AX44" s="43"/>
      <c r="AY44" s="43"/>
      <c r="AZ44" s="43"/>
      <c r="BA44" s="43"/>
      <c r="BB44" s="45"/>
      <c r="BC44" s="227"/>
      <c r="BD44" s="45"/>
      <c r="BE44" s="45"/>
      <c r="BF44" s="45"/>
      <c r="BG44" s="46"/>
      <c r="BH44" s="60"/>
      <c r="BI44" s="46"/>
      <c r="BJ44" s="46"/>
      <c r="BK44" s="46"/>
      <c r="BL44" s="46"/>
      <c r="BM44" s="60"/>
      <c r="BN44" s="46"/>
      <c r="BO44" s="46"/>
      <c r="BP44" s="46"/>
      <c r="BQ44" s="44">
        <f t="shared" si="82"/>
        <v>79076.925723214517</v>
      </c>
      <c r="BR44" s="100">
        <v>2.564E-2</v>
      </c>
      <c r="BS44" s="44">
        <f t="shared" si="45"/>
        <v>35803.149841836734</v>
      </c>
      <c r="BT44" s="44">
        <f t="shared" si="104"/>
        <v>1353104.923098214</v>
      </c>
      <c r="BU44" s="44">
        <f t="shared" si="105"/>
        <v>43273.775881377784</v>
      </c>
      <c r="BV44" s="44">
        <f t="shared" si="83"/>
        <v>112003.53544515328</v>
      </c>
      <c r="BW44" s="100">
        <v>2.5000000000000001E-2</v>
      </c>
      <c r="BX44" s="44">
        <f t="shared" si="46"/>
        <v>34909.467474489793</v>
      </c>
      <c r="BY44" s="44">
        <f t="shared" si="106"/>
        <v>1319284.6310089284</v>
      </c>
      <c r="BZ44" s="44">
        <f t="shared" si="107"/>
        <v>77094.067970663484</v>
      </c>
      <c r="CA44" s="44"/>
      <c r="CB44" s="43">
        <f t="shared" si="84"/>
        <v>129965.8499999991</v>
      </c>
      <c r="CC44" s="100">
        <v>2.564E-2</v>
      </c>
      <c r="CD44" s="43">
        <f t="shared" si="47"/>
        <v>58843.799999999996</v>
      </c>
      <c r="CE44" s="43">
        <f t="shared" si="108"/>
        <v>2223877.9500000007</v>
      </c>
      <c r="CF44" s="43">
        <f t="shared" si="109"/>
        <v>71122.049999999115</v>
      </c>
      <c r="CG44" s="43">
        <f t="shared" si="85"/>
        <v>0</v>
      </c>
      <c r="CH44" s="100">
        <v>2.564E-2</v>
      </c>
      <c r="CI44" s="43">
        <f t="shared" si="70"/>
        <v>0</v>
      </c>
      <c r="CJ44" s="43">
        <f t="shared" si="110"/>
        <v>0</v>
      </c>
      <c r="CK44" s="43">
        <f t="shared" si="111"/>
        <v>0</v>
      </c>
      <c r="CR44">
        <f t="shared" si="117"/>
        <v>34</v>
      </c>
      <c r="DB44" s="57"/>
      <c r="DC44" s="57"/>
      <c r="DD44" s="57"/>
      <c r="DJ44" s="22">
        <v>40</v>
      </c>
      <c r="DK44" s="44">
        <f t="shared" si="12"/>
        <v>0</v>
      </c>
      <c r="DL44" s="44">
        <f t="shared" si="130"/>
        <v>0</v>
      </c>
      <c r="DM44" s="44">
        <f t="shared" si="131"/>
        <v>0</v>
      </c>
      <c r="DN44" s="44">
        <f t="shared" si="132"/>
        <v>0</v>
      </c>
      <c r="DO44" s="44">
        <f t="shared" si="14"/>
        <v>0</v>
      </c>
      <c r="DP44" s="44">
        <f t="shared" si="15"/>
        <v>0</v>
      </c>
      <c r="DQ44" s="44">
        <f t="shared" si="16"/>
        <v>0</v>
      </c>
      <c r="DR44" s="44">
        <f t="shared" si="17"/>
        <v>0</v>
      </c>
      <c r="DS44" s="44">
        <f t="shared" si="133"/>
        <v>0</v>
      </c>
      <c r="DT44" s="44"/>
      <c r="DV44" s="44"/>
      <c r="DW44" s="44"/>
      <c r="DX44" s="44"/>
      <c r="DY44" s="44"/>
      <c r="DZ44" s="44"/>
      <c r="EA44" s="44"/>
      <c r="EB44" s="44"/>
      <c r="EC44" s="44"/>
      <c r="ED44" s="44"/>
      <c r="EE44" s="44"/>
      <c r="EG44" s="22">
        <v>40</v>
      </c>
      <c r="EH44" s="44">
        <f t="shared" si="134"/>
        <v>12278.25</v>
      </c>
      <c r="EI44" s="44">
        <f t="shared" si="135"/>
        <v>7470.62603954105</v>
      </c>
      <c r="EJ44" s="44">
        <f t="shared" si="136"/>
        <v>7470.62603954105</v>
      </c>
      <c r="EK44" s="44">
        <f t="shared" si="137"/>
        <v>7470.62603954105</v>
      </c>
      <c r="EL44" s="44">
        <f t="shared" si="25"/>
        <v>7470.62603954105</v>
      </c>
      <c r="EM44" s="44">
        <f t="shared" si="26"/>
        <v>7470.62603954105</v>
      </c>
      <c r="EN44" s="44">
        <f t="shared" si="27"/>
        <v>7470.62603954105</v>
      </c>
      <c r="EO44" s="44">
        <f t="shared" si="28"/>
        <v>7470.62603954105</v>
      </c>
      <c r="EP44" s="44">
        <f t="shared" si="138"/>
        <v>34909.467474489793</v>
      </c>
      <c r="EQ44" s="44">
        <f t="shared" si="29"/>
        <v>0</v>
      </c>
      <c r="ES44" s="44">
        <f t="shared" si="10"/>
        <v>2295000.0000000005</v>
      </c>
      <c r="ET44" s="44">
        <f t="shared" si="124"/>
        <v>12278.249999999534</v>
      </c>
      <c r="EU44" s="44">
        <f t="shared" si="11"/>
        <v>12278.249999999534</v>
      </c>
      <c r="EV44" s="44">
        <f t="shared" si="125"/>
        <v>12278.249999999534</v>
      </c>
      <c r="EW44" s="44">
        <f t="shared" si="127"/>
        <v>12278.249999999534</v>
      </c>
      <c r="EX44" s="44">
        <f t="shared" si="31"/>
        <v>-347170.27040816378</v>
      </c>
      <c r="EY44" s="44">
        <f t="shared" si="32"/>
        <v>-526894.53061224543</v>
      </c>
      <c r="EZ44" s="44">
        <f t="shared" si="33"/>
        <v>-706618.79081632709</v>
      </c>
      <c r="FA44" s="44">
        <f t="shared" si="129"/>
        <v>-624811.47978063952</v>
      </c>
      <c r="FB44" s="44">
        <f t="shared" si="34"/>
        <v>0</v>
      </c>
      <c r="FD44" s="22">
        <f t="shared" si="48"/>
        <v>40</v>
      </c>
      <c r="FF44" s="22">
        <f t="shared" si="49"/>
        <v>40</v>
      </c>
      <c r="FG44" s="138">
        <f t="shared" si="50"/>
        <v>2064</v>
      </c>
      <c r="FH44" s="90">
        <f t="shared" si="35"/>
        <v>0</v>
      </c>
      <c r="FI44" s="90">
        <f t="shared" si="36"/>
        <v>0</v>
      </c>
      <c r="FJ44" s="90">
        <f t="shared" si="37"/>
        <v>0</v>
      </c>
      <c r="FK44" s="44">
        <f t="shared" si="51"/>
        <v>0</v>
      </c>
      <c r="FL44" s="90" cm="1">
        <f t="array" ref="FL44">IF($CQ$5&lt;$CP$5,_xlfn.XLOOKUP(FD44,$EG$5:$EG$54,$DN$5:$DN$54),IF(OR(AND($CQ$5&gt;$CP$5,$CQ$5&lt;$CO$5),OR($CQ$5&gt;=$CL$5)),_xlfn.XLOOKUP(FD44,$EG$5:$EG$54,$DM$5:DM$54),IF(AND($CQ$5&gt;$CO$5,$CQ$5&lt;$CN$5),_xlfn.XLOOKUP(FD44,$EG$5:$EG$54,$DO$5:$DO$54),IF(AND($CQ$5&gt;$CN$5,$CQ$5&lt;$CM$5),_xlfn.XLOOKUP(FD44,$EG$5:$EG$54,$DP$5:$DP$54),IF(AND($CQ$5&gt;$CM$5,$CQ$5&lt;$CL$5),_xlfn.XLOOKUP(FD44,$EG$5:$EG$54,$DQ$5:$DQ$54))))))</f>
        <v>0</v>
      </c>
      <c r="FM44" s="44">
        <f t="shared" si="52"/>
        <v>0</v>
      </c>
      <c r="FP44" s="22">
        <f t="shared" si="53"/>
        <v>40</v>
      </c>
      <c r="FR44" s="22">
        <f t="shared" si="54"/>
        <v>40</v>
      </c>
      <c r="FS44" s="138">
        <f t="shared" si="55"/>
        <v>2064</v>
      </c>
      <c r="FT44" s="90">
        <f t="shared" si="38"/>
        <v>12278.25</v>
      </c>
      <c r="FU44" s="90">
        <f t="shared" si="39"/>
        <v>0</v>
      </c>
      <c r="FV44" s="90">
        <f t="shared" si="40"/>
        <v>12278.25</v>
      </c>
      <c r="FW44" s="44">
        <f t="shared" si="56"/>
        <v>7470.62603954105</v>
      </c>
      <c r="FX44" s="90" cm="1">
        <f t="array" ref="FX44">IF($CQ$5&lt;$CP$5,_xlfn.XLOOKUP(FP44,$EG$5:$EG$54,$EK$5:$EK$54),IF(OR(AND($CQ$5&gt;$CP$5,$CQ$5&lt;$CO$5),OR($CQ$5&gt;=$CL$5)),_xlfn.XLOOKUP(FP44,$EG$5:$EG$54,$EJ$5:$EJ$54),IF(AND($CQ$5&gt;$CO$5,$CQ$5&lt;$CN$5),_xlfn.XLOOKUP(FP44,$EG$5:$EG$54,$EL$5:$EL$54),IF(AND($CQ$5&gt;$CN$5,$CQ$5&lt;$CM$5),_xlfn.XLOOKUP(FP44,$EG$5:$EG$54,$EM$5:$EM$54),_xlfn.XLOOKUP(FP44,$EG$5:$EG$54,$EN$5:EN$54,IF(AND($CQ$5&gt;$CM$5,$CQ$5&lt;$CL$5),_xlfn.XLOOKUP(FD43,$EG$5:$EG$54,$EY$5:$EY$54),""))))))</f>
        <v>7470.62603954105</v>
      </c>
      <c r="FY44" s="44">
        <f t="shared" si="57"/>
        <v>34909.467474489793</v>
      </c>
    </row>
    <row r="45" spans="1:181" x14ac:dyDescent="0.25">
      <c r="A45"/>
      <c r="B45"/>
      <c r="C45" s="48">
        <v>39</v>
      </c>
      <c r="D45" s="86"/>
      <c r="E45" s="87"/>
      <c r="F45" s="87"/>
      <c r="G45" s="87"/>
      <c r="H45" s="87"/>
      <c r="I45" s="4"/>
      <c r="J45" s="44"/>
      <c r="K45" s="4"/>
      <c r="L45" s="44"/>
      <c r="M45" s="4"/>
      <c r="N45" s="86"/>
      <c r="O45" s="87"/>
      <c r="P45" s="87"/>
      <c r="Q45" s="87"/>
      <c r="R45" s="87"/>
      <c r="S45" s="4"/>
      <c r="T45" s="44"/>
      <c r="U45" s="4"/>
      <c r="V45" s="44"/>
      <c r="W45" s="4"/>
      <c r="X45" s="87"/>
      <c r="Y45" s="43"/>
      <c r="Z45" s="43"/>
      <c r="AA45" s="43"/>
      <c r="AB45" s="43"/>
      <c r="AC45" s="107"/>
      <c r="AD45" s="104"/>
      <c r="AE45" s="104"/>
      <c r="AF45" s="104"/>
      <c r="AG45" s="104"/>
      <c r="AH45" s="44"/>
      <c r="AI45" s="44"/>
      <c r="AJ45" s="44"/>
      <c r="AK45" s="44"/>
      <c r="AL45" s="44"/>
      <c r="AM45" s="43"/>
      <c r="AN45" s="43"/>
      <c r="AO45" s="43"/>
      <c r="AP45" s="43"/>
      <c r="AQ45" s="43"/>
      <c r="AR45" s="44">
        <f t="shared" si="76"/>
        <v>0</v>
      </c>
      <c r="AS45" s="44"/>
      <c r="AT45" s="44"/>
      <c r="AU45" s="44"/>
      <c r="AV45" s="44"/>
      <c r="AW45" s="43"/>
      <c r="AX45" s="43"/>
      <c r="AY45" s="43"/>
      <c r="AZ45" s="43"/>
      <c r="BA45" s="43"/>
      <c r="BB45" s="45"/>
      <c r="BC45" s="227"/>
      <c r="BD45" s="45"/>
      <c r="BE45" s="45"/>
      <c r="BF45" s="45"/>
      <c r="BG45" s="46"/>
      <c r="BH45" s="60"/>
      <c r="BI45" s="46"/>
      <c r="BJ45" s="46"/>
      <c r="BK45" s="46"/>
      <c r="BL45" s="46"/>
      <c r="BM45" s="60"/>
      <c r="BN45" s="46"/>
      <c r="BO45" s="46"/>
      <c r="BP45" s="46"/>
      <c r="BQ45" s="44">
        <f t="shared" si="82"/>
        <v>43273.775881377784</v>
      </c>
      <c r="BR45" s="100">
        <v>2.564E-2</v>
      </c>
      <c r="BS45" s="44">
        <f t="shared" si="45"/>
        <v>35803.149841836734</v>
      </c>
      <c r="BT45" s="44">
        <f t="shared" si="104"/>
        <v>1388908.0729400506</v>
      </c>
      <c r="BU45" s="44">
        <f t="shared" si="105"/>
        <v>7470.62603954105</v>
      </c>
      <c r="BV45" s="44">
        <f t="shared" si="83"/>
        <v>77094.067970663484</v>
      </c>
      <c r="BW45" s="100">
        <v>2.5000000000000001E-2</v>
      </c>
      <c r="BX45" s="44">
        <f t="shared" si="46"/>
        <v>34909.467474489793</v>
      </c>
      <c r="BY45" s="44">
        <f t="shared" si="106"/>
        <v>1354194.0984834181</v>
      </c>
      <c r="BZ45" s="44">
        <f t="shared" si="107"/>
        <v>42184.600496173691</v>
      </c>
      <c r="CA45" s="44"/>
      <c r="CB45" s="43">
        <f t="shared" si="84"/>
        <v>71122.049999999115</v>
      </c>
      <c r="CC45" s="100">
        <v>2.564E-2</v>
      </c>
      <c r="CD45" s="43">
        <f t="shared" si="47"/>
        <v>58843.799999999996</v>
      </c>
      <c r="CE45" s="43">
        <f t="shared" si="108"/>
        <v>2282721.7500000005</v>
      </c>
      <c r="CF45" s="43">
        <f t="shared" si="109"/>
        <v>12278.24999999912</v>
      </c>
      <c r="CG45" s="43">
        <f t="shared" si="85"/>
        <v>0</v>
      </c>
      <c r="CH45" s="100">
        <v>2.564E-2</v>
      </c>
      <c r="CI45" s="43">
        <f t="shared" si="70"/>
        <v>0</v>
      </c>
      <c r="CJ45" s="43">
        <f t="shared" si="110"/>
        <v>0</v>
      </c>
      <c r="CK45" s="43">
        <f t="shared" si="111"/>
        <v>0</v>
      </c>
      <c r="CR45">
        <f t="shared" si="117"/>
        <v>35</v>
      </c>
      <c r="DB45" s="57"/>
      <c r="DC45" s="57"/>
      <c r="DD45" s="57"/>
      <c r="DJ45" s="22">
        <v>41</v>
      </c>
      <c r="DK45" s="44">
        <f t="shared" si="12"/>
        <v>0</v>
      </c>
      <c r="DL45" s="44">
        <f t="shared" si="130"/>
        <v>0</v>
      </c>
      <c r="DM45" s="44">
        <f t="shared" si="131"/>
        <v>0</v>
      </c>
      <c r="DN45" s="44">
        <f t="shared" si="132"/>
        <v>0</v>
      </c>
      <c r="DO45" s="44">
        <f t="shared" si="14"/>
        <v>0</v>
      </c>
      <c r="DP45" s="44">
        <f t="shared" si="15"/>
        <v>0</v>
      </c>
      <c r="DQ45" s="44">
        <f t="shared" si="16"/>
        <v>0</v>
      </c>
      <c r="DR45" s="44">
        <f t="shared" si="17"/>
        <v>0</v>
      </c>
      <c r="DS45" s="44">
        <f t="shared" si="133"/>
        <v>0</v>
      </c>
      <c r="DT45" s="44"/>
      <c r="DV45" s="44"/>
      <c r="DW45" s="44"/>
      <c r="DX45" s="44"/>
      <c r="DY45" s="44"/>
      <c r="DZ45" s="44"/>
      <c r="EA45" s="44"/>
      <c r="EB45" s="44"/>
      <c r="EC45" s="44"/>
      <c r="ED45" s="44"/>
      <c r="EE45" s="44"/>
      <c r="EG45" s="22">
        <v>41</v>
      </c>
      <c r="EH45" s="44">
        <f t="shared" si="134"/>
        <v>0</v>
      </c>
      <c r="EI45" s="44">
        <f t="shared" si="135"/>
        <v>0</v>
      </c>
      <c r="EJ45" s="44">
        <f t="shared" si="136"/>
        <v>0</v>
      </c>
      <c r="EK45" s="44">
        <f t="shared" si="137"/>
        <v>0</v>
      </c>
      <c r="EL45" s="44"/>
      <c r="EM45" s="44">
        <f t="shared" si="26"/>
        <v>0</v>
      </c>
      <c r="EN45" s="44">
        <f t="shared" si="27"/>
        <v>0</v>
      </c>
      <c r="EO45" s="44">
        <f t="shared" si="28"/>
        <v>0</v>
      </c>
      <c r="EP45" s="44">
        <f t="shared" si="138"/>
        <v>7275.1330216836732</v>
      </c>
      <c r="EQ45" s="44">
        <f t="shared" si="29"/>
        <v>0</v>
      </c>
      <c r="ES45" s="44">
        <f t="shared" si="10"/>
        <v>0</v>
      </c>
      <c r="ET45" s="44"/>
      <c r="EU45" s="44"/>
      <c r="EV45" s="44"/>
      <c r="EW45" s="44"/>
      <c r="EX45" s="44"/>
      <c r="EY45" s="44"/>
      <c r="EZ45" s="44"/>
      <c r="FA45" s="44"/>
      <c r="FB45" s="44">
        <f t="shared" si="34"/>
        <v>0</v>
      </c>
      <c r="FD45" s="22">
        <f t="shared" si="48"/>
        <v>41</v>
      </c>
      <c r="FF45" s="22">
        <f t="shared" si="49"/>
        <v>41</v>
      </c>
      <c r="FG45" s="138">
        <f t="shared" si="50"/>
        <v>2065</v>
      </c>
      <c r="FH45" s="90">
        <f t="shared" si="35"/>
        <v>0</v>
      </c>
      <c r="FI45" s="90">
        <f t="shared" si="36"/>
        <v>0</v>
      </c>
      <c r="FJ45" s="90">
        <f t="shared" si="37"/>
        <v>0</v>
      </c>
      <c r="FK45" s="44">
        <f t="shared" si="51"/>
        <v>0</v>
      </c>
      <c r="FL45" s="90" cm="1">
        <f t="array" ref="FL45">IF($CQ$5&lt;$CP$5,_xlfn.XLOOKUP(FD45,$EG$5:$EG$54,$DN$5:$DN$54),IF(OR(AND($CQ$5&gt;$CP$5,$CQ$5&lt;$CO$5),OR($CQ$5&gt;=$CL$5)),_xlfn.XLOOKUP(FD45,$EG$5:$EG$54,$DM$5:DM$54),IF(AND($CQ$5&gt;$CO$5,$CQ$5&lt;$CN$5),_xlfn.XLOOKUP(FD45,$EG$5:$EG$54,$DO$5:$DO$54),IF(AND($CQ$5&gt;$CN$5,$CQ$5&lt;$CM$5),_xlfn.XLOOKUP(FD45,$EG$5:$EG$54,$DP$5:$DP$54),IF(AND($CQ$5&gt;$CM$5,$CQ$5&lt;$CL$5),_xlfn.XLOOKUP(FD45,$EG$5:$EG$54,$DQ$5:$DQ$54))))))</f>
        <v>0</v>
      </c>
      <c r="FM45" s="44">
        <f t="shared" si="52"/>
        <v>0</v>
      </c>
      <c r="FP45" s="22">
        <f t="shared" si="53"/>
        <v>41</v>
      </c>
      <c r="FR45" s="22">
        <f t="shared" si="54"/>
        <v>41</v>
      </c>
      <c r="FS45" s="138">
        <f t="shared" si="55"/>
        <v>2065</v>
      </c>
      <c r="FT45" s="90">
        <f t="shared" si="38"/>
        <v>0</v>
      </c>
      <c r="FU45" s="90">
        <f t="shared" si="39"/>
        <v>0</v>
      </c>
      <c r="FV45" s="90">
        <f t="shared" si="40"/>
        <v>0</v>
      </c>
      <c r="FW45" s="44">
        <f t="shared" si="56"/>
        <v>0</v>
      </c>
      <c r="FX45" s="90" cm="1">
        <f t="array" ref="FX45">IF($CQ$5&lt;$CP$5,_xlfn.XLOOKUP(FP45,$EG$5:$EG$54,$EK$5:$EK$54),IF(OR(AND($CQ$5&gt;$CP$5,$CQ$5&lt;$CO$5),OR($CQ$5&gt;=$CL$5)),_xlfn.XLOOKUP(FP45,$EG$5:$EG$54,$EJ$5:$EJ$54),IF(AND($CQ$5&gt;$CO$5,$CQ$5&lt;$CN$5),_xlfn.XLOOKUP(FP45,$EG$5:$EG$54,$EL$5:$EL$54),IF(AND($CQ$5&gt;$CN$5,$CQ$5&lt;$CM$5),_xlfn.XLOOKUP(FP45,$EG$5:$EG$54,$EM$5:$EM$54),_xlfn.XLOOKUP(FP45,$EG$5:$EG$54,$EN$5:EN$54,IF(AND($CQ$5&gt;$CM$5,$CQ$5&lt;$CL$5),_xlfn.XLOOKUP(FD44,$EG$5:$EG$54,$EY$5:$EY$54),""))))))</f>
        <v>0</v>
      </c>
      <c r="FY45" s="44">
        <f t="shared" si="57"/>
        <v>7275.1330216836732</v>
      </c>
    </row>
    <row r="46" spans="1:181" x14ac:dyDescent="0.25">
      <c r="A46"/>
      <c r="B46"/>
      <c r="C46" s="48">
        <v>40</v>
      </c>
      <c r="D46" s="42"/>
      <c r="E46" s="43"/>
      <c r="F46" s="43"/>
      <c r="G46" s="43"/>
      <c r="H46" s="43"/>
      <c r="I46" s="4"/>
      <c r="J46" s="44"/>
      <c r="K46" s="4"/>
      <c r="L46" s="44"/>
      <c r="M46" s="4"/>
      <c r="N46" s="42"/>
      <c r="O46" s="43"/>
      <c r="P46" s="43"/>
      <c r="Q46" s="43"/>
      <c r="R46" s="43"/>
      <c r="S46" s="4"/>
      <c r="T46" s="44"/>
      <c r="U46" s="4"/>
      <c r="V46" s="44"/>
      <c r="W46" s="4"/>
      <c r="X46" s="87"/>
      <c r="Y46" s="43"/>
      <c r="Z46" s="43"/>
      <c r="AA46" s="43"/>
      <c r="AB46" s="43"/>
      <c r="AC46" s="107"/>
      <c r="AD46" s="104"/>
      <c r="AE46" s="104"/>
      <c r="AF46" s="104"/>
      <c r="AG46" s="104"/>
      <c r="AH46" s="44"/>
      <c r="AI46" s="44"/>
      <c r="AJ46" s="44"/>
      <c r="AK46" s="44"/>
      <c r="AL46" s="44"/>
      <c r="AM46" s="43"/>
      <c r="AN46" s="43"/>
      <c r="AO46" s="43"/>
      <c r="AP46" s="43"/>
      <c r="AQ46" s="43"/>
      <c r="AR46" s="44">
        <f t="shared" si="76"/>
        <v>0</v>
      </c>
      <c r="AS46" s="44"/>
      <c r="AT46" s="44"/>
      <c r="AU46" s="44"/>
      <c r="AV46" s="44"/>
      <c r="AW46" s="43"/>
      <c r="AX46" s="43"/>
      <c r="AY46" s="43"/>
      <c r="AZ46" s="43"/>
      <c r="BA46" s="43"/>
      <c r="BB46" s="45"/>
      <c r="BC46" s="227"/>
      <c r="BD46" s="45"/>
      <c r="BE46" s="45"/>
      <c r="BF46" s="45"/>
      <c r="BG46" s="46"/>
      <c r="BH46" s="60"/>
      <c r="BI46" s="46"/>
      <c r="BJ46" s="46"/>
      <c r="BK46" s="46"/>
      <c r="BL46" s="46"/>
      <c r="BM46" s="60"/>
      <c r="BN46" s="46"/>
      <c r="BO46" s="46"/>
      <c r="BP46" s="46"/>
      <c r="BQ46" s="44">
        <f t="shared" si="82"/>
        <v>7470.62603954105</v>
      </c>
      <c r="BR46" s="100">
        <f>VLOOKUP($CQ$6,$CM$125:$CO$136,3,FALSE)</f>
        <v>5.3499999999999997E-3</v>
      </c>
      <c r="BS46" s="44">
        <f>BQ46</f>
        <v>7470.62603954105</v>
      </c>
      <c r="BT46" s="44">
        <f t="shared" si="104"/>
        <v>1396378.6989795917</v>
      </c>
      <c r="BU46" s="44">
        <f t="shared" si="105"/>
        <v>0</v>
      </c>
      <c r="BV46" s="44">
        <f t="shared" ref="BV46" si="139">BZ45</f>
        <v>42184.600496173691</v>
      </c>
      <c r="BW46" s="100">
        <v>2.5000000000000001E-2</v>
      </c>
      <c r="BX46" s="44">
        <f t="shared" ref="BX46:BX47" si="140">$BQ$3*BW46</f>
        <v>34909.467474489793</v>
      </c>
      <c r="BY46" s="44">
        <f t="shared" si="106"/>
        <v>1389103.5659579078</v>
      </c>
      <c r="BZ46" s="44">
        <f t="shared" ref="BZ46" si="141">BV46-BX46</f>
        <v>7275.1330216838978</v>
      </c>
      <c r="CA46" s="44"/>
      <c r="CB46" s="43">
        <f>CF45</f>
        <v>12278.24999999912</v>
      </c>
      <c r="CC46" s="100">
        <f>VLOOKUP($CQ$6,$CM$125:$CO$136,3,FALSE)</f>
        <v>5.3499999999999997E-3</v>
      </c>
      <c r="CD46" s="43">
        <f t="shared" ref="CD46" si="142">$CB$3*CC46</f>
        <v>12278.25</v>
      </c>
      <c r="CE46" s="43">
        <f t="shared" si="108"/>
        <v>2295000.0000000005</v>
      </c>
      <c r="CF46" s="43">
        <f t="shared" si="109"/>
        <v>-8.8039087131619453E-10</v>
      </c>
      <c r="CG46" s="43">
        <f>CK45</f>
        <v>0</v>
      </c>
      <c r="CH46" s="100">
        <f>VLOOKUP($CQ$13,$CM$125:$CO$136,3,FALSE)</f>
        <v>2.461E-2</v>
      </c>
      <c r="CI46" s="43">
        <f t="shared" si="70"/>
        <v>0</v>
      </c>
      <c r="CJ46" s="43">
        <f t="shared" si="110"/>
        <v>0</v>
      </c>
      <c r="CK46" s="43">
        <f t="shared" si="111"/>
        <v>0</v>
      </c>
      <c r="CR46">
        <f t="shared" si="117"/>
        <v>36</v>
      </c>
      <c r="DB46" s="57"/>
      <c r="DC46" s="57"/>
      <c r="DD46" s="57"/>
      <c r="DJ46" s="22">
        <v>42</v>
      </c>
      <c r="DK46" s="44">
        <f t="shared" si="12"/>
        <v>0</v>
      </c>
      <c r="DL46" s="44">
        <f t="shared" si="130"/>
        <v>0</v>
      </c>
      <c r="DM46" s="44">
        <f t="shared" si="131"/>
        <v>0</v>
      </c>
      <c r="DN46" s="44">
        <f t="shared" si="132"/>
        <v>0</v>
      </c>
      <c r="DO46" s="44">
        <f t="shared" si="14"/>
        <v>0</v>
      </c>
      <c r="DP46" s="44">
        <f t="shared" si="15"/>
        <v>0</v>
      </c>
      <c r="DQ46" s="44">
        <f t="shared" si="16"/>
        <v>0</v>
      </c>
      <c r="DR46" s="44">
        <f t="shared" si="17"/>
        <v>0</v>
      </c>
      <c r="DS46" s="44">
        <f t="shared" si="133"/>
        <v>0</v>
      </c>
      <c r="DT46" s="44"/>
      <c r="DV46" s="44"/>
      <c r="DW46" s="44"/>
      <c r="DX46" s="44"/>
      <c r="DY46" s="44"/>
      <c r="DZ46" s="44"/>
      <c r="EA46" s="44"/>
      <c r="EB46" s="44"/>
      <c r="EC46" s="44"/>
      <c r="ED46" s="44"/>
      <c r="EE46" s="44"/>
      <c r="EG46" s="22">
        <v>42</v>
      </c>
      <c r="EH46" s="44">
        <f t="shared" si="134"/>
        <v>0</v>
      </c>
      <c r="EI46" s="44">
        <f t="shared" si="135"/>
        <v>0</v>
      </c>
      <c r="EJ46" s="44">
        <f t="shared" si="136"/>
        <v>0</v>
      </c>
      <c r="EK46" s="44">
        <f t="shared" si="137"/>
        <v>0</v>
      </c>
      <c r="EL46" s="44"/>
      <c r="EM46" s="44">
        <f t="shared" si="26"/>
        <v>0</v>
      </c>
      <c r="EN46" s="44">
        <f t="shared" si="27"/>
        <v>0</v>
      </c>
      <c r="EO46" s="44">
        <f t="shared" si="28"/>
        <v>0</v>
      </c>
      <c r="EP46" s="44">
        <f t="shared" si="138"/>
        <v>0</v>
      </c>
      <c r="EQ46" s="44">
        <f t="shared" si="29"/>
        <v>0</v>
      </c>
      <c r="ES46" s="44">
        <f t="shared" si="10"/>
        <v>0</v>
      </c>
      <c r="ET46" s="44"/>
      <c r="EU46" s="44"/>
      <c r="EV46" s="44"/>
      <c r="EW46" s="44"/>
      <c r="EX46" s="44"/>
      <c r="EY46" s="44"/>
      <c r="EZ46" s="44"/>
      <c r="FA46" s="44"/>
      <c r="FB46" s="44">
        <f t="shared" si="34"/>
        <v>0</v>
      </c>
      <c r="FD46" s="22">
        <f t="shared" si="48"/>
        <v>42</v>
      </c>
      <c r="FF46" s="22">
        <f t="shared" si="49"/>
        <v>42</v>
      </c>
      <c r="FG46" s="138">
        <f t="shared" si="50"/>
        <v>2066</v>
      </c>
      <c r="FH46" s="90">
        <f t="shared" si="35"/>
        <v>0</v>
      </c>
      <c r="FI46" s="90">
        <f t="shared" si="36"/>
        <v>0</v>
      </c>
      <c r="FJ46" s="90">
        <f t="shared" si="37"/>
        <v>0</v>
      </c>
      <c r="FK46" s="44">
        <f t="shared" si="51"/>
        <v>0</v>
      </c>
      <c r="FL46" s="90" cm="1">
        <f t="array" ref="FL46">IF($CQ$5&lt;$CP$5,_xlfn.XLOOKUP(FD46,$EG$5:$EG$54,$DN$5:$DN$54),IF(OR(AND($CQ$5&gt;$CP$5,$CQ$5&lt;$CO$5),OR($CQ$5&gt;=$CL$5)),_xlfn.XLOOKUP(FD46,$EG$5:$EG$54,$DM$5:DM$54),IF(AND($CQ$5&gt;$CO$5,$CQ$5&lt;$CN$5),_xlfn.XLOOKUP(FD46,$EG$5:$EG$54,$DO$5:$DO$54),IF(AND($CQ$5&gt;$CN$5,$CQ$5&lt;$CM$5),_xlfn.XLOOKUP(FD46,$EG$5:$EG$54,$DP$5:$DP$54),IF(AND($CQ$5&gt;$CM$5,$CQ$5&lt;$CL$5),_xlfn.XLOOKUP(FD46,$EG$5:$EG$54,$DQ$5:$DQ$54))))))</f>
        <v>0</v>
      </c>
      <c r="FM46" s="44">
        <f t="shared" si="52"/>
        <v>0</v>
      </c>
      <c r="FP46" s="22">
        <f t="shared" si="53"/>
        <v>42</v>
      </c>
      <c r="FR46" s="22">
        <f t="shared" si="54"/>
        <v>42</v>
      </c>
      <c r="FS46" s="138">
        <f t="shared" si="55"/>
        <v>2066</v>
      </c>
      <c r="FT46" s="90">
        <f t="shared" si="38"/>
        <v>0</v>
      </c>
      <c r="FU46" s="90">
        <f t="shared" si="39"/>
        <v>0</v>
      </c>
      <c r="FV46" s="90">
        <f t="shared" si="40"/>
        <v>0</v>
      </c>
      <c r="FW46" s="44">
        <f t="shared" si="56"/>
        <v>0</v>
      </c>
      <c r="FX46" s="90" cm="1">
        <f t="array" ref="FX46">IF($CQ$5&lt;$CP$5,_xlfn.XLOOKUP(FP46,$EG$5:$EG$54,$EK$5:$EK$54),IF(OR(AND($CQ$5&gt;$CP$5,$CQ$5&lt;$CO$5),OR($CQ$5&gt;=$CL$5)),_xlfn.XLOOKUP(FP46,$EG$5:$EG$54,$EJ$5:$EJ$54),IF(AND($CQ$5&gt;$CO$5,$CQ$5&lt;$CN$5),_xlfn.XLOOKUP(FP46,$EG$5:$EG$54,$EL$5:$EL$54),IF(AND($CQ$5&gt;$CN$5,$CQ$5&lt;$CM$5),_xlfn.XLOOKUP(FP46,$EG$5:$EG$54,$EM$5:$EM$54),_xlfn.XLOOKUP(FP46,$EG$5:$EG$54,$EN$5:EN$54,IF(AND($CQ$5&gt;$CM$5,$CQ$5&lt;$CL$5),_xlfn.XLOOKUP(FD45,$EG$5:$EG$54,$EY$5:$EY$54),""))))))</f>
        <v>0</v>
      </c>
      <c r="FY46" s="44">
        <f t="shared" si="57"/>
        <v>0</v>
      </c>
    </row>
    <row r="47" spans="1:181" x14ac:dyDescent="0.25">
      <c r="A47"/>
      <c r="B47"/>
      <c r="C47" s="48">
        <v>41</v>
      </c>
      <c r="D47" s="42"/>
      <c r="E47" s="43"/>
      <c r="F47" s="43"/>
      <c r="G47" s="43"/>
      <c r="H47" s="43"/>
      <c r="I47" s="4"/>
      <c r="J47" s="44"/>
      <c r="K47" s="4"/>
      <c r="L47" s="44"/>
      <c r="M47" s="4"/>
      <c r="N47" s="42"/>
      <c r="O47" s="43"/>
      <c r="P47" s="43"/>
      <c r="Q47" s="43"/>
      <c r="R47" s="43"/>
      <c r="S47" s="4"/>
      <c r="T47" s="44"/>
      <c r="U47" s="4"/>
      <c r="V47" s="44"/>
      <c r="W47" s="4"/>
      <c r="X47" s="87"/>
      <c r="Y47" s="43"/>
      <c r="Z47" s="43"/>
      <c r="AA47" s="43"/>
      <c r="AB47" s="43"/>
      <c r="AC47" s="107"/>
      <c r="AD47" s="104"/>
      <c r="AE47" s="104"/>
      <c r="AF47" s="104"/>
      <c r="AG47" s="104"/>
      <c r="AH47" s="44"/>
      <c r="AI47" s="44"/>
      <c r="AJ47" s="44"/>
      <c r="AK47" s="44"/>
      <c r="AL47" s="44"/>
      <c r="AM47" s="43"/>
      <c r="AN47" s="43"/>
      <c r="AO47" s="43"/>
      <c r="AP47" s="43"/>
      <c r="AQ47" s="43"/>
      <c r="AR47" s="44">
        <f t="shared" si="76"/>
        <v>0</v>
      </c>
      <c r="AS47" s="44"/>
      <c r="AT47" s="44"/>
      <c r="AU47" s="44"/>
      <c r="AV47" s="44"/>
      <c r="AW47" s="43"/>
      <c r="AX47" s="43"/>
      <c r="AY47" s="43"/>
      <c r="AZ47" s="43"/>
      <c r="BA47" s="43"/>
      <c r="BB47" s="45"/>
      <c r="BC47" s="227"/>
      <c r="BD47" s="45"/>
      <c r="BE47" s="45"/>
      <c r="BF47" s="45"/>
      <c r="BG47" s="46"/>
      <c r="BH47" s="46"/>
      <c r="BI47" s="46"/>
      <c r="BJ47" s="46"/>
      <c r="BK47" s="46"/>
      <c r="BL47" s="46"/>
      <c r="BM47" s="46"/>
      <c r="BN47" s="46"/>
      <c r="BO47" s="46"/>
      <c r="BP47" s="46"/>
      <c r="BQ47" s="44"/>
      <c r="BR47" s="44"/>
      <c r="BS47" s="44"/>
      <c r="BT47" s="44"/>
      <c r="BU47" s="44"/>
      <c r="BV47" s="44">
        <f>BZ46</f>
        <v>7275.1330216838978</v>
      </c>
      <c r="BW47" s="100">
        <f>VLOOKUP($CQ$6,CM88:CP99,4,FALSE)</f>
        <v>5.2100000000000002E-3</v>
      </c>
      <c r="BX47" s="44">
        <f t="shared" si="140"/>
        <v>7275.1330216836732</v>
      </c>
      <c r="BY47" s="44">
        <f t="shared" si="106"/>
        <v>1396378.6989795915</v>
      </c>
      <c r="BZ47" s="44">
        <f t="shared" si="107"/>
        <v>2.2464519133791327E-10</v>
      </c>
      <c r="CA47" s="44"/>
      <c r="CB47" s="43"/>
      <c r="CC47" s="43"/>
      <c r="CD47" s="43"/>
      <c r="CE47" s="43"/>
      <c r="CF47" s="43"/>
      <c r="CG47" s="43"/>
      <c r="CH47" s="43"/>
      <c r="CI47" s="43"/>
      <c r="CJ47" s="43"/>
      <c r="CK47" s="43"/>
      <c r="CR47">
        <f t="shared" si="117"/>
        <v>37</v>
      </c>
      <c r="DB47" s="57"/>
      <c r="DC47" s="57"/>
      <c r="DD47" s="57"/>
      <c r="DJ47" s="22">
        <v>43</v>
      </c>
      <c r="DK47" s="44">
        <f t="shared" si="12"/>
        <v>0</v>
      </c>
      <c r="DL47" s="44">
        <f t="shared" si="130"/>
        <v>0</v>
      </c>
      <c r="DM47" s="44">
        <f t="shared" si="131"/>
        <v>0</v>
      </c>
      <c r="DN47" s="44">
        <f t="shared" si="132"/>
        <v>0</v>
      </c>
      <c r="DO47" s="44">
        <f t="shared" si="14"/>
        <v>0</v>
      </c>
      <c r="DP47" s="44">
        <f t="shared" si="15"/>
        <v>0</v>
      </c>
      <c r="DQ47" s="44">
        <f t="shared" si="16"/>
        <v>0</v>
      </c>
      <c r="DR47" s="44">
        <f t="shared" si="17"/>
        <v>0</v>
      </c>
      <c r="DS47" s="44">
        <f t="shared" si="133"/>
        <v>0</v>
      </c>
      <c r="DT47" s="44"/>
      <c r="DV47" s="44"/>
      <c r="DW47" s="44"/>
      <c r="DX47" s="44"/>
      <c r="DY47" s="44"/>
      <c r="DZ47" s="44"/>
      <c r="EA47" s="44"/>
      <c r="EB47" s="44"/>
      <c r="EC47" s="44"/>
      <c r="ED47" s="44"/>
      <c r="EE47" s="44"/>
      <c r="EG47" s="22">
        <v>43</v>
      </c>
      <c r="EH47" s="44">
        <f t="shared" si="134"/>
        <v>0</v>
      </c>
      <c r="EI47" s="44">
        <f t="shared" si="135"/>
        <v>0</v>
      </c>
      <c r="EJ47" s="44">
        <f t="shared" si="136"/>
        <v>0</v>
      </c>
      <c r="EK47" s="44">
        <f t="shared" si="137"/>
        <v>0</v>
      </c>
      <c r="EL47" s="44"/>
      <c r="EM47" s="44">
        <f t="shared" si="26"/>
        <v>0</v>
      </c>
      <c r="EN47" s="44">
        <f t="shared" si="27"/>
        <v>0</v>
      </c>
      <c r="EO47" s="44">
        <f t="shared" si="28"/>
        <v>0</v>
      </c>
      <c r="EP47" s="44">
        <f t="shared" si="138"/>
        <v>0</v>
      </c>
      <c r="EQ47" s="44">
        <f t="shared" si="29"/>
        <v>0</v>
      </c>
      <c r="ES47" s="44">
        <f t="shared" si="10"/>
        <v>0</v>
      </c>
      <c r="ET47" s="44"/>
      <c r="EU47" s="44"/>
      <c r="EV47" s="44"/>
      <c r="EW47" s="44"/>
      <c r="EX47" s="44"/>
      <c r="EY47" s="44"/>
      <c r="EZ47" s="44"/>
      <c r="FA47" s="44"/>
      <c r="FB47" s="44">
        <f t="shared" si="34"/>
        <v>0</v>
      </c>
      <c r="FD47" s="22">
        <f t="shared" si="48"/>
        <v>43</v>
      </c>
      <c r="FF47" s="22">
        <f t="shared" si="49"/>
        <v>43</v>
      </c>
      <c r="FG47" s="138">
        <f t="shared" si="50"/>
        <v>2067</v>
      </c>
      <c r="FH47" s="90">
        <f t="shared" si="35"/>
        <v>0</v>
      </c>
      <c r="FI47" s="90">
        <f t="shared" si="36"/>
        <v>0</v>
      </c>
      <c r="FJ47" s="90">
        <f t="shared" si="37"/>
        <v>0</v>
      </c>
      <c r="FK47" s="44">
        <f t="shared" si="51"/>
        <v>0</v>
      </c>
      <c r="FL47" s="90" cm="1">
        <f t="array" ref="FL47">IF($CQ$5&lt;$CP$5,_xlfn.XLOOKUP(FD47,$EG$5:$EG$54,$DN$5:$DN$54),IF(OR(AND($CQ$5&gt;$CP$5,$CQ$5&lt;$CO$5),OR($CQ$5&gt;=$CL$5)),_xlfn.XLOOKUP(FD47,$EG$5:$EG$54,$DM$5:DM$54),IF(AND($CQ$5&gt;$CO$5,$CQ$5&lt;$CN$5),_xlfn.XLOOKUP(FD47,$EG$5:$EG$54,$DO$5:$DO$54),IF(AND($CQ$5&gt;$CN$5,$CQ$5&lt;$CM$5),_xlfn.XLOOKUP(FD47,$EG$5:$EG$54,$DP$5:$DP$54),IF(AND($CQ$5&gt;$CM$5,$CQ$5&lt;$CL$5),_xlfn.XLOOKUP(FD47,$EG$5:$EG$54,$DQ$5:$DQ$54))))))</f>
        <v>0</v>
      </c>
      <c r="FM47" s="44">
        <f t="shared" si="52"/>
        <v>0</v>
      </c>
      <c r="FP47" s="22">
        <f t="shared" si="53"/>
        <v>43</v>
      </c>
      <c r="FR47" s="22">
        <f t="shared" si="54"/>
        <v>43</v>
      </c>
      <c r="FS47" s="138">
        <f t="shared" si="55"/>
        <v>2067</v>
      </c>
      <c r="FT47" s="90">
        <f t="shared" si="38"/>
        <v>0</v>
      </c>
      <c r="FU47" s="90">
        <f t="shared" si="39"/>
        <v>0</v>
      </c>
      <c r="FV47" s="90">
        <f t="shared" si="40"/>
        <v>0</v>
      </c>
      <c r="FW47" s="44">
        <f t="shared" si="56"/>
        <v>0</v>
      </c>
      <c r="FX47" s="90" cm="1">
        <f t="array" ref="FX47">IF($CQ$5&lt;$CP$5,_xlfn.XLOOKUP(FP47,$EG$5:$EG$54,$EK$5:$EK$54),IF(OR(AND($CQ$5&gt;$CP$5,$CQ$5&lt;$CO$5),OR($CQ$5&gt;=$CL$5)),_xlfn.XLOOKUP(FP47,$EG$5:$EG$54,$EJ$5:$EJ$54),IF(AND($CQ$5&gt;$CO$5,$CQ$5&lt;$CN$5),_xlfn.XLOOKUP(FP47,$EG$5:$EG$54,$EL$5:$EL$54),IF(AND($CQ$5&gt;$CN$5,$CQ$5&lt;$CM$5),_xlfn.XLOOKUP(FP47,$EG$5:$EG$54,$EM$5:$EM$54),_xlfn.XLOOKUP(FP47,$EG$5:$EG$54,$EN$5:EN$54,IF(AND($CQ$5&gt;$CM$5,$CQ$5&lt;$CL$5),_xlfn.XLOOKUP(FD46,$EG$5:$EG$54,$EY$5:$EY$54),""))))))</f>
        <v>0</v>
      </c>
      <c r="FY47" s="44">
        <f t="shared" si="57"/>
        <v>0</v>
      </c>
    </row>
    <row r="48" spans="1:181" x14ac:dyDescent="0.25">
      <c r="C48" s="48">
        <v>42</v>
      </c>
      <c r="D48" s="42"/>
      <c r="E48" s="43"/>
      <c r="F48" s="43"/>
      <c r="G48" s="43"/>
      <c r="H48" s="43"/>
      <c r="I48" s="44"/>
      <c r="J48" s="44"/>
      <c r="K48" s="44"/>
      <c r="L48" s="44"/>
      <c r="M48" s="44"/>
      <c r="N48" s="42"/>
      <c r="O48" s="43"/>
      <c r="P48" s="43"/>
      <c r="Q48" s="43"/>
      <c r="R48" s="43"/>
      <c r="S48" s="44"/>
      <c r="T48" s="44"/>
      <c r="U48" s="44"/>
      <c r="V48" s="44"/>
      <c r="W48" s="44"/>
      <c r="X48" s="43"/>
      <c r="Y48" s="43"/>
      <c r="Z48" s="43"/>
      <c r="AA48" s="43"/>
      <c r="AB48" s="43"/>
      <c r="AC48" s="107"/>
      <c r="AD48" s="104"/>
      <c r="AE48" s="104"/>
      <c r="AF48" s="104"/>
      <c r="AG48" s="104"/>
      <c r="AH48" s="44"/>
      <c r="AI48" s="44"/>
      <c r="AJ48" s="44"/>
      <c r="AK48" s="44"/>
      <c r="AL48" s="44"/>
      <c r="AM48" s="43"/>
      <c r="AN48" s="43"/>
      <c r="AO48" s="43"/>
      <c r="AP48" s="43"/>
      <c r="AQ48" s="43"/>
      <c r="AR48" s="44">
        <f t="shared" si="76"/>
        <v>0</v>
      </c>
      <c r="AS48" s="44"/>
      <c r="AT48" s="44"/>
      <c r="AU48" s="44"/>
      <c r="AV48" s="44"/>
      <c r="AW48" s="43"/>
      <c r="AX48" s="43"/>
      <c r="AY48" s="43"/>
      <c r="AZ48" s="43"/>
      <c r="BA48" s="43"/>
      <c r="BB48" s="45"/>
      <c r="BC48" s="227"/>
      <c r="BD48" s="45"/>
      <c r="BE48" s="45"/>
      <c r="BF48" s="45"/>
      <c r="BG48" s="46"/>
      <c r="BH48" s="46"/>
      <c r="BI48" s="46"/>
      <c r="BJ48" s="46"/>
      <c r="BK48" s="46"/>
      <c r="BL48" s="46"/>
      <c r="BM48" s="46"/>
      <c r="BN48" s="46"/>
      <c r="BO48" s="46"/>
      <c r="BP48" s="46"/>
      <c r="BQ48" s="44"/>
      <c r="BR48" s="44"/>
      <c r="BS48" s="44"/>
      <c r="BT48" s="44"/>
      <c r="BU48" s="44"/>
      <c r="BV48" s="44"/>
      <c r="BW48" s="44"/>
      <c r="BX48" s="44"/>
      <c r="BY48" s="44"/>
      <c r="BZ48" s="44"/>
      <c r="CA48" s="44"/>
      <c r="CB48" s="43"/>
      <c r="CC48" s="43"/>
      <c r="CD48" s="43"/>
      <c r="CE48" s="43"/>
      <c r="CF48" s="43"/>
      <c r="CG48" s="43"/>
      <c r="CH48" s="43"/>
      <c r="CI48" s="43"/>
      <c r="CJ48" s="43"/>
      <c r="CK48" s="43"/>
      <c r="CR48">
        <f t="shared" si="117"/>
        <v>38</v>
      </c>
      <c r="DB48" s="57"/>
      <c r="DC48" s="57"/>
      <c r="DD48" s="57"/>
      <c r="DJ48" s="22">
        <v>44</v>
      </c>
      <c r="DK48" s="44">
        <f t="shared" si="12"/>
        <v>0</v>
      </c>
      <c r="DL48" s="44">
        <f t="shared" si="130"/>
        <v>0</v>
      </c>
      <c r="DM48" s="44">
        <f t="shared" si="131"/>
        <v>0</v>
      </c>
      <c r="DN48" s="44">
        <f t="shared" si="132"/>
        <v>0</v>
      </c>
      <c r="DO48" s="44">
        <f t="shared" si="14"/>
        <v>0</v>
      </c>
      <c r="DP48" s="44">
        <f t="shared" si="15"/>
        <v>0</v>
      </c>
      <c r="DQ48" s="44">
        <f t="shared" si="16"/>
        <v>0</v>
      </c>
      <c r="DR48" s="44">
        <f t="shared" si="17"/>
        <v>0</v>
      </c>
      <c r="DS48" s="44">
        <f t="shared" si="133"/>
        <v>0</v>
      </c>
      <c r="DT48" s="44"/>
      <c r="DV48" s="44"/>
      <c r="DW48" s="44"/>
      <c r="DX48" s="44"/>
      <c r="DY48" s="44"/>
      <c r="DZ48" s="44"/>
      <c r="EA48" s="44"/>
      <c r="EB48" s="44"/>
      <c r="EC48" s="44"/>
      <c r="ED48" s="44"/>
      <c r="EE48" s="44"/>
      <c r="EG48" s="22">
        <v>44</v>
      </c>
      <c r="EH48" s="44">
        <f t="shared" si="134"/>
        <v>0</v>
      </c>
      <c r="EI48" s="44">
        <f t="shared" si="135"/>
        <v>0</v>
      </c>
      <c r="EJ48" s="44">
        <f t="shared" si="136"/>
        <v>0</v>
      </c>
      <c r="EK48" s="44">
        <f t="shared" si="137"/>
        <v>0</v>
      </c>
      <c r="EL48" s="44"/>
      <c r="EM48" s="44">
        <f t="shared" si="26"/>
        <v>0</v>
      </c>
      <c r="EN48" s="44">
        <f t="shared" si="27"/>
        <v>0</v>
      </c>
      <c r="EO48" s="44">
        <f t="shared" si="28"/>
        <v>0</v>
      </c>
      <c r="EP48" s="44">
        <f t="shared" si="138"/>
        <v>0</v>
      </c>
      <c r="EQ48" s="44">
        <f t="shared" si="29"/>
        <v>0</v>
      </c>
      <c r="ES48" s="44">
        <f t="shared" si="10"/>
        <v>0</v>
      </c>
      <c r="ET48" s="44"/>
      <c r="EU48" s="44"/>
      <c r="EV48" s="44"/>
      <c r="EW48" s="44"/>
      <c r="EX48" s="44"/>
      <c r="EY48" s="44"/>
      <c r="EZ48" s="44"/>
      <c r="FA48" s="44"/>
      <c r="FB48" s="44">
        <f t="shared" si="34"/>
        <v>0</v>
      </c>
      <c r="FD48" s="22">
        <f t="shared" si="48"/>
        <v>44</v>
      </c>
      <c r="FF48" s="22">
        <f t="shared" si="49"/>
        <v>44</v>
      </c>
      <c r="FG48" s="138">
        <f t="shared" si="50"/>
        <v>2068</v>
      </c>
      <c r="FH48" s="90">
        <f t="shared" si="35"/>
        <v>0</v>
      </c>
      <c r="FI48" s="90">
        <f t="shared" si="36"/>
        <v>0</v>
      </c>
      <c r="FJ48" s="90">
        <f t="shared" si="37"/>
        <v>0</v>
      </c>
      <c r="FK48" s="44">
        <f t="shared" si="51"/>
        <v>0</v>
      </c>
      <c r="FL48" s="90" cm="1">
        <f t="array" ref="FL48">IF($CQ$5&lt;$CP$5,_xlfn.XLOOKUP(FD48,$EG$5:$EG$54,$DN$5:$DN$54),IF(OR(AND($CQ$5&gt;$CP$5,$CQ$5&lt;$CO$5),OR($CQ$5&gt;=$CL$5)),_xlfn.XLOOKUP(FD48,$EG$5:$EG$54,$DM$5:DM$54),IF(AND($CQ$5&gt;$CO$5,$CQ$5&lt;$CN$5),_xlfn.XLOOKUP(FD48,$EG$5:$EG$54,$DO$5:$DO$54),IF(AND($CQ$5&gt;$CN$5,$CQ$5&lt;$CM$5),_xlfn.XLOOKUP(FD48,$EG$5:$EG$54,$DP$5:$DP$54),IF(AND($CQ$5&gt;$CM$5,$CQ$5&lt;$CL$5),_xlfn.XLOOKUP(FD48,$EG$5:$EG$54,$DQ$5:$DQ$54))))))</f>
        <v>0</v>
      </c>
      <c r="FM48" s="44">
        <f t="shared" si="52"/>
        <v>0</v>
      </c>
      <c r="FP48" s="22">
        <f t="shared" si="53"/>
        <v>44</v>
      </c>
      <c r="FR48" s="22">
        <f t="shared" si="54"/>
        <v>44</v>
      </c>
      <c r="FS48" s="138">
        <f t="shared" si="55"/>
        <v>2068</v>
      </c>
      <c r="FT48" s="90">
        <f t="shared" si="38"/>
        <v>0</v>
      </c>
      <c r="FU48" s="90">
        <f t="shared" si="39"/>
        <v>0</v>
      </c>
      <c r="FV48" s="90">
        <f t="shared" si="40"/>
        <v>0</v>
      </c>
      <c r="FW48" s="44">
        <f t="shared" si="56"/>
        <v>0</v>
      </c>
      <c r="FX48" s="90" cm="1">
        <f t="array" ref="FX48">IF($CQ$5&lt;$CP$5,_xlfn.XLOOKUP(FP48,$EG$5:$EG$54,$EK$5:$EK$54),IF(OR(AND($CQ$5&gt;$CP$5,$CQ$5&lt;$CO$5),OR($CQ$5&gt;=$CL$5)),_xlfn.XLOOKUP(FP48,$EG$5:$EG$54,$EJ$5:$EJ$54),IF(AND($CQ$5&gt;$CO$5,$CQ$5&lt;$CN$5),_xlfn.XLOOKUP(FP48,$EG$5:$EG$54,$EL$5:$EL$54),IF(AND($CQ$5&gt;$CN$5,$CQ$5&lt;$CM$5),_xlfn.XLOOKUP(FP48,$EG$5:$EG$54,$EM$5:$EM$54),_xlfn.XLOOKUP(FP48,$EG$5:$EG$54,$EN$5:EN$54,IF(AND($CQ$5&gt;$CM$5,$CQ$5&lt;$CL$5),_xlfn.XLOOKUP(FD47,$EG$5:$EG$54,$EY$5:$EY$54),""))))))</f>
        <v>0</v>
      </c>
      <c r="FY48" s="44">
        <f t="shared" si="57"/>
        <v>0</v>
      </c>
    </row>
    <row r="49" spans="3:181" x14ac:dyDescent="0.25">
      <c r="C49" s="48">
        <v>43</v>
      </c>
      <c r="D49" s="42"/>
      <c r="E49" s="43"/>
      <c r="F49" s="43"/>
      <c r="G49" s="43"/>
      <c r="H49" s="43"/>
      <c r="I49" s="44"/>
      <c r="J49" s="44"/>
      <c r="K49" s="44"/>
      <c r="L49" s="44"/>
      <c r="M49" s="44"/>
      <c r="N49" s="42"/>
      <c r="O49" s="43"/>
      <c r="P49" s="43"/>
      <c r="Q49" s="43"/>
      <c r="R49" s="43"/>
      <c r="S49" s="44"/>
      <c r="T49" s="44"/>
      <c r="U49" s="44"/>
      <c r="V49" s="44"/>
      <c r="W49" s="44"/>
      <c r="X49" s="43"/>
      <c r="Y49" s="43"/>
      <c r="Z49" s="43"/>
      <c r="AA49" s="43"/>
      <c r="AB49" s="43"/>
      <c r="AC49" s="107"/>
      <c r="AD49" s="104"/>
      <c r="AE49" s="104"/>
      <c r="AF49" s="104"/>
      <c r="AG49" s="104"/>
      <c r="AH49" s="44"/>
      <c r="AI49" s="44"/>
      <c r="AJ49" s="44"/>
      <c r="AK49" s="44"/>
      <c r="AL49" s="44"/>
      <c r="AM49" s="43"/>
      <c r="AN49" s="43"/>
      <c r="AO49" s="43"/>
      <c r="AP49" s="43"/>
      <c r="AQ49" s="43"/>
      <c r="AR49" s="44">
        <f t="shared" si="76"/>
        <v>0</v>
      </c>
      <c r="AS49" s="44"/>
      <c r="AT49" s="44"/>
      <c r="AU49" s="44"/>
      <c r="AV49" s="44"/>
      <c r="AW49" s="43"/>
      <c r="AX49" s="43"/>
      <c r="AY49" s="43"/>
      <c r="AZ49" s="43"/>
      <c r="BA49" s="43"/>
      <c r="BB49" s="45"/>
      <c r="BC49" s="227"/>
      <c r="BD49" s="45"/>
      <c r="BE49" s="45"/>
      <c r="BF49" s="45"/>
      <c r="BG49" s="46"/>
      <c r="BH49" s="46"/>
      <c r="BI49" s="46"/>
      <c r="BJ49" s="46"/>
      <c r="BK49" s="46"/>
      <c r="BL49" s="46"/>
      <c r="BM49" s="46"/>
      <c r="BN49" s="46"/>
      <c r="BO49" s="46"/>
      <c r="BP49" s="46"/>
      <c r="BQ49" s="44"/>
      <c r="BR49" s="44"/>
      <c r="BS49" s="44"/>
      <c r="BT49" s="44"/>
      <c r="BU49" s="44"/>
      <c r="BV49" s="44"/>
      <c r="BW49" s="44"/>
      <c r="BX49" s="44"/>
      <c r="BY49" s="44"/>
      <c r="BZ49" s="44"/>
      <c r="CA49" s="44"/>
      <c r="CB49" s="43"/>
      <c r="CC49" s="43"/>
      <c r="CD49" s="43"/>
      <c r="CE49" s="43"/>
      <c r="CF49" s="43"/>
      <c r="CG49" s="43"/>
      <c r="CH49" s="43"/>
      <c r="CI49" s="43"/>
      <c r="CJ49" s="43"/>
      <c r="CK49" s="43"/>
      <c r="CR49">
        <f t="shared" si="117"/>
        <v>39</v>
      </c>
      <c r="DB49" s="57"/>
      <c r="DC49" s="57"/>
      <c r="DD49" s="57"/>
      <c r="DJ49" s="22">
        <v>45</v>
      </c>
      <c r="DK49" s="44">
        <f t="shared" si="12"/>
        <v>0</v>
      </c>
      <c r="DL49" s="44">
        <f t="shared" si="130"/>
        <v>0</v>
      </c>
      <c r="DM49" s="44">
        <f t="shared" si="131"/>
        <v>0</v>
      </c>
      <c r="DN49" s="44">
        <f t="shared" si="132"/>
        <v>0</v>
      </c>
      <c r="DO49" s="44">
        <f t="shared" si="14"/>
        <v>0</v>
      </c>
      <c r="DP49" s="44">
        <f t="shared" si="15"/>
        <v>0</v>
      </c>
      <c r="DQ49" s="44">
        <f t="shared" si="16"/>
        <v>0</v>
      </c>
      <c r="DR49" s="44">
        <f t="shared" si="17"/>
        <v>0</v>
      </c>
      <c r="DS49" s="44">
        <f t="shared" si="133"/>
        <v>0</v>
      </c>
      <c r="DT49" s="44"/>
      <c r="DV49" s="44"/>
      <c r="DW49" s="44"/>
      <c r="DX49" s="44"/>
      <c r="DY49" s="44"/>
      <c r="DZ49" s="44"/>
      <c r="EA49" s="44"/>
      <c r="EB49" s="44"/>
      <c r="EC49" s="44"/>
      <c r="ED49" s="44"/>
      <c r="EE49" s="44"/>
      <c r="EG49" s="22">
        <v>45</v>
      </c>
      <c r="EH49" s="44">
        <f t="shared" si="134"/>
        <v>0</v>
      </c>
      <c r="EI49" s="44">
        <f t="shared" si="135"/>
        <v>0</v>
      </c>
      <c r="EJ49" s="44">
        <f t="shared" si="136"/>
        <v>0</v>
      </c>
      <c r="EK49" s="44">
        <f t="shared" si="137"/>
        <v>0</v>
      </c>
      <c r="EL49" s="44"/>
      <c r="EM49" s="44">
        <f t="shared" si="26"/>
        <v>0</v>
      </c>
      <c r="EN49" s="44">
        <f t="shared" si="27"/>
        <v>0</v>
      </c>
      <c r="EO49" s="44">
        <f t="shared" si="28"/>
        <v>0</v>
      </c>
      <c r="EP49" s="44">
        <f t="shared" si="138"/>
        <v>0</v>
      </c>
      <c r="EQ49" s="44">
        <f t="shared" si="29"/>
        <v>0</v>
      </c>
      <c r="ES49" s="44">
        <f t="shared" si="10"/>
        <v>0</v>
      </c>
      <c r="ET49" s="44"/>
      <c r="EU49" s="44"/>
      <c r="EV49" s="44"/>
      <c r="EW49" s="44"/>
      <c r="EX49" s="44"/>
      <c r="EY49" s="44"/>
      <c r="EZ49" s="44"/>
      <c r="FA49" s="44"/>
      <c r="FB49" s="44">
        <f t="shared" si="34"/>
        <v>0</v>
      </c>
      <c r="FD49" s="22">
        <f t="shared" si="48"/>
        <v>45</v>
      </c>
      <c r="FF49" s="22">
        <f t="shared" si="49"/>
        <v>45</v>
      </c>
      <c r="FG49" s="138">
        <f t="shared" si="50"/>
        <v>2069</v>
      </c>
      <c r="FH49" s="90">
        <f t="shared" si="35"/>
        <v>0</v>
      </c>
      <c r="FI49" s="90">
        <f t="shared" si="36"/>
        <v>0</v>
      </c>
      <c r="FJ49" s="90">
        <f t="shared" si="37"/>
        <v>0</v>
      </c>
      <c r="FK49" s="44">
        <f t="shared" si="51"/>
        <v>0</v>
      </c>
      <c r="FL49" s="90" cm="1">
        <f t="array" ref="FL49">IF($CQ$5&lt;$CP$5,_xlfn.XLOOKUP(FD49,$EG$5:$EG$54,$DN$5:$DN$54),IF(OR(AND($CQ$5&gt;$CP$5,$CQ$5&lt;$CO$5),OR($CQ$5&gt;=$CL$5)),_xlfn.XLOOKUP(FD49,$EG$5:$EG$54,$DM$5:DM$54),IF(AND($CQ$5&gt;$CO$5,$CQ$5&lt;$CN$5),_xlfn.XLOOKUP(FD49,$EG$5:$EG$54,$DO$5:$DO$54),IF(AND($CQ$5&gt;$CN$5,$CQ$5&lt;$CM$5),_xlfn.XLOOKUP(FD49,$EG$5:$EG$54,$DP$5:$DP$54),IF(AND($CQ$5&gt;$CM$5,$CQ$5&lt;$CL$5),_xlfn.XLOOKUP(FD49,$EG$5:$EG$54,$DQ$5:$DQ$54))))))</f>
        <v>0</v>
      </c>
      <c r="FM49" s="44">
        <f t="shared" si="52"/>
        <v>0</v>
      </c>
      <c r="FP49" s="22">
        <f t="shared" si="53"/>
        <v>45</v>
      </c>
      <c r="FR49" s="22">
        <f t="shared" si="54"/>
        <v>45</v>
      </c>
      <c r="FS49" s="138">
        <f t="shared" si="55"/>
        <v>2069</v>
      </c>
      <c r="FT49" s="90">
        <f t="shared" si="38"/>
        <v>0</v>
      </c>
      <c r="FU49" s="90">
        <f t="shared" si="39"/>
        <v>0</v>
      </c>
      <c r="FV49" s="90">
        <f t="shared" si="40"/>
        <v>0</v>
      </c>
      <c r="FW49" s="44">
        <f t="shared" si="56"/>
        <v>0</v>
      </c>
      <c r="FX49" s="90" cm="1">
        <f t="array" ref="FX49">IF($CQ$5&lt;$CP$5,_xlfn.XLOOKUP(FP49,$EG$5:$EG$54,$EK$5:$EK$54),IF(OR(AND($CQ$5&gt;$CP$5,$CQ$5&lt;$CO$5),OR($CQ$5&gt;=$CL$5)),_xlfn.XLOOKUP(FP49,$EG$5:$EG$54,$EJ$5:$EJ$54),IF(AND($CQ$5&gt;$CO$5,$CQ$5&lt;$CN$5),_xlfn.XLOOKUP(FP49,$EG$5:$EG$54,$EL$5:$EL$54),IF(AND($CQ$5&gt;$CN$5,$CQ$5&lt;$CM$5),_xlfn.XLOOKUP(FP49,$EG$5:$EG$54,$EM$5:$EM$54),_xlfn.XLOOKUP(FP49,$EG$5:$EG$54,$EN$5:EN$54,IF(AND($CQ$5&gt;$CM$5,$CQ$5&lt;$CL$5),_xlfn.XLOOKUP(FD48,$EG$5:$EG$54,$EY$5:$EY$54),""))))))</f>
        <v>0</v>
      </c>
      <c r="FY49" s="44">
        <f t="shared" si="57"/>
        <v>0</v>
      </c>
    </row>
    <row r="50" spans="3:181" x14ac:dyDescent="0.25">
      <c r="C50" s="48">
        <v>44</v>
      </c>
      <c r="D50" s="42"/>
      <c r="E50" s="43"/>
      <c r="F50" s="43"/>
      <c r="G50" s="43"/>
      <c r="H50" s="43"/>
      <c r="I50" s="44"/>
      <c r="J50" s="44"/>
      <c r="K50" s="44"/>
      <c r="L50" s="44"/>
      <c r="M50" s="44"/>
      <c r="N50" s="42"/>
      <c r="O50" s="43"/>
      <c r="P50" s="43"/>
      <c r="Q50" s="43"/>
      <c r="R50" s="43"/>
      <c r="S50" s="44"/>
      <c r="T50" s="44"/>
      <c r="U50" s="44"/>
      <c r="V50" s="44"/>
      <c r="W50" s="44"/>
      <c r="X50" s="43"/>
      <c r="Y50" s="43"/>
      <c r="Z50" s="43"/>
      <c r="AA50" s="43"/>
      <c r="AB50" s="43"/>
      <c r="AC50" s="107"/>
      <c r="AD50" s="104"/>
      <c r="AE50" s="104"/>
      <c r="AF50" s="104"/>
      <c r="AG50" s="104"/>
      <c r="AH50" s="44"/>
      <c r="AI50" s="44"/>
      <c r="AJ50" s="44"/>
      <c r="AK50" s="44"/>
      <c r="AL50" s="44"/>
      <c r="AM50" s="43"/>
      <c r="AN50" s="43"/>
      <c r="AO50" s="43"/>
      <c r="AP50" s="43"/>
      <c r="AQ50" s="43"/>
      <c r="AR50" s="44">
        <f t="shared" si="76"/>
        <v>0</v>
      </c>
      <c r="AS50" s="44"/>
      <c r="AT50" s="44"/>
      <c r="AU50" s="44"/>
      <c r="AV50" s="44"/>
      <c r="AW50" s="43"/>
      <c r="AX50" s="43"/>
      <c r="AY50" s="43"/>
      <c r="AZ50" s="43"/>
      <c r="BA50" s="43"/>
      <c r="BB50" s="45"/>
      <c r="BC50" s="227"/>
      <c r="BD50" s="45"/>
      <c r="BE50" s="45"/>
      <c r="BF50" s="45"/>
      <c r="BG50" s="46"/>
      <c r="BH50" s="46"/>
      <c r="BI50" s="46"/>
      <c r="BJ50" s="46"/>
      <c r="BK50" s="46"/>
      <c r="BL50" s="46"/>
      <c r="BM50" s="46"/>
      <c r="BN50" s="46"/>
      <c r="BO50" s="46"/>
      <c r="BP50" s="46"/>
      <c r="BQ50" s="44"/>
      <c r="BR50" s="44"/>
      <c r="BS50" s="44"/>
      <c r="BT50" s="44"/>
      <c r="BU50" s="44"/>
      <c r="BV50" s="44"/>
      <c r="BW50" s="44"/>
      <c r="BX50" s="44"/>
      <c r="BY50" s="44"/>
      <c r="BZ50" s="44"/>
      <c r="CA50" s="44"/>
      <c r="CB50" s="43"/>
      <c r="CC50" s="43"/>
      <c r="CD50" s="43"/>
      <c r="CE50" s="43"/>
      <c r="CF50" s="43"/>
      <c r="CG50" s="43"/>
      <c r="CH50" s="43"/>
      <c r="CI50" s="43"/>
      <c r="CJ50" s="43"/>
      <c r="CK50" s="43"/>
      <c r="CR50">
        <f t="shared" si="117"/>
        <v>40</v>
      </c>
      <c r="DB50" s="57"/>
      <c r="DC50" s="57"/>
      <c r="DD50" s="57"/>
      <c r="DJ50" s="22">
        <v>46</v>
      </c>
      <c r="DK50" s="44">
        <f t="shared" si="12"/>
        <v>0</v>
      </c>
      <c r="DL50" s="44">
        <f t="shared" si="130"/>
        <v>0</v>
      </c>
      <c r="DM50" s="44">
        <f t="shared" si="131"/>
        <v>0</v>
      </c>
      <c r="DN50" s="44">
        <f t="shared" si="132"/>
        <v>0</v>
      </c>
      <c r="DO50" s="44">
        <f t="shared" si="14"/>
        <v>0</v>
      </c>
      <c r="DP50" s="44">
        <f t="shared" si="15"/>
        <v>0</v>
      </c>
      <c r="DQ50" s="44">
        <f t="shared" si="16"/>
        <v>0</v>
      </c>
      <c r="DR50" s="44">
        <f t="shared" si="17"/>
        <v>0</v>
      </c>
      <c r="DS50" s="44">
        <f t="shared" si="133"/>
        <v>0</v>
      </c>
      <c r="DT50" s="44"/>
      <c r="DV50" s="44"/>
      <c r="DW50" s="44"/>
      <c r="DX50" s="44"/>
      <c r="DY50" s="44"/>
      <c r="DZ50" s="44"/>
      <c r="EA50" s="44"/>
      <c r="EB50" s="44"/>
      <c r="EC50" s="44"/>
      <c r="ED50" s="44"/>
      <c r="EE50" s="44"/>
      <c r="EG50" s="22">
        <v>46</v>
      </c>
      <c r="EH50" s="44">
        <f t="shared" si="134"/>
        <v>0</v>
      </c>
      <c r="EI50" s="44">
        <f t="shared" si="135"/>
        <v>0</v>
      </c>
      <c r="EJ50" s="44">
        <f t="shared" si="136"/>
        <v>0</v>
      </c>
      <c r="EK50" s="44">
        <f t="shared" si="137"/>
        <v>0</v>
      </c>
      <c r="EL50" s="44"/>
      <c r="EM50" s="44">
        <f t="shared" si="26"/>
        <v>0</v>
      </c>
      <c r="EN50" s="44">
        <f t="shared" si="27"/>
        <v>0</v>
      </c>
      <c r="EO50" s="44">
        <f t="shared" si="28"/>
        <v>0</v>
      </c>
      <c r="EP50" s="44">
        <f t="shared" si="138"/>
        <v>0</v>
      </c>
      <c r="EQ50" s="44">
        <f t="shared" si="29"/>
        <v>0</v>
      </c>
      <c r="ES50" s="44"/>
      <c r="ET50" s="44"/>
      <c r="EU50" s="44"/>
      <c r="EV50" s="44"/>
      <c r="EW50" s="44"/>
      <c r="EX50" s="44"/>
      <c r="EY50" s="44"/>
      <c r="EZ50" s="44"/>
      <c r="FA50" s="44"/>
      <c r="FB50" s="44">
        <f t="shared" si="34"/>
        <v>0</v>
      </c>
      <c r="FD50" s="22">
        <f t="shared" si="48"/>
        <v>46</v>
      </c>
      <c r="FF50" s="22">
        <f t="shared" si="49"/>
        <v>46</v>
      </c>
      <c r="FG50" s="138">
        <f t="shared" si="50"/>
        <v>2070</v>
      </c>
      <c r="FH50" s="90">
        <f t="shared" si="35"/>
        <v>0</v>
      </c>
      <c r="FI50" s="90">
        <f t="shared" si="36"/>
        <v>0</v>
      </c>
      <c r="FJ50" s="90">
        <f t="shared" si="37"/>
        <v>0</v>
      </c>
      <c r="FK50" s="44">
        <f t="shared" si="51"/>
        <v>0</v>
      </c>
      <c r="FL50" s="90" cm="1">
        <f t="array" ref="FL50">IF($CQ$5&lt;$CP$5,_xlfn.XLOOKUP(FD50,$EG$5:$EG$54,$DN$5:$DN$54),IF(OR(AND($CQ$5&gt;$CP$5,$CQ$5&lt;$CO$5),OR($CQ$5&gt;=$CL$5)),_xlfn.XLOOKUP(FD50,$EG$5:$EG$54,$DM$5:DM$54),IF(AND($CQ$5&gt;$CO$5,$CQ$5&lt;$CN$5),_xlfn.XLOOKUP(FD50,$EG$5:$EG$54,$DO$5:$DO$54),IF(AND($CQ$5&gt;$CN$5,$CQ$5&lt;$CM$5),_xlfn.XLOOKUP(FD50,$EG$5:$EG$54,$DP$5:$DP$54),IF(AND($CQ$5&gt;$CM$5,$CQ$5&lt;$CL$5),_xlfn.XLOOKUP(FD50,$EG$5:$EG$54,$DQ$5:$DQ$54))))))</f>
        <v>0</v>
      </c>
      <c r="FM50" s="44">
        <f t="shared" si="52"/>
        <v>0</v>
      </c>
      <c r="FP50" s="22">
        <f t="shared" si="53"/>
        <v>46</v>
      </c>
      <c r="FR50" s="22">
        <f t="shared" si="54"/>
        <v>46</v>
      </c>
      <c r="FS50" s="138">
        <f t="shared" si="55"/>
        <v>2070</v>
      </c>
      <c r="FT50" s="90">
        <f t="shared" si="38"/>
        <v>0</v>
      </c>
      <c r="FU50" s="90">
        <f t="shared" si="39"/>
        <v>0</v>
      </c>
      <c r="FV50" s="90">
        <f t="shared" si="40"/>
        <v>0</v>
      </c>
      <c r="FW50" s="44">
        <f t="shared" si="56"/>
        <v>0</v>
      </c>
      <c r="FX50" s="90" cm="1">
        <f t="array" ref="FX50">IF($CQ$5&lt;$CP$5,_xlfn.XLOOKUP(FP50,$EG$5:$EG$54,$EK$5:$EK$54),IF(OR(AND($CQ$5&gt;$CP$5,$CQ$5&lt;$CO$5),OR($CQ$5&gt;=$CL$5)),_xlfn.XLOOKUP(FP50,$EG$5:$EG$54,$EJ$5:$EJ$54),IF(AND($CQ$5&gt;$CO$5,$CQ$5&lt;$CN$5),_xlfn.XLOOKUP(FP50,$EG$5:$EG$54,$EL$5:$EL$54),IF(AND($CQ$5&gt;$CN$5,$CQ$5&lt;$CM$5),_xlfn.XLOOKUP(FP50,$EG$5:$EG$54,$EM$5:$EM$54),_xlfn.XLOOKUP(FP50,$EG$5:$EG$54,$EN$5:EN$54,IF(AND($CQ$5&gt;$CM$5,$CQ$5&lt;$CL$5),_xlfn.XLOOKUP(FD49,$EG$5:$EG$54,$EY$5:$EY$54),""))))))</f>
        <v>0</v>
      </c>
      <c r="FY50" s="44">
        <f t="shared" si="57"/>
        <v>0</v>
      </c>
    </row>
    <row r="51" spans="3:181" x14ac:dyDescent="0.25">
      <c r="C51" s="48">
        <v>45</v>
      </c>
      <c r="D51" s="42"/>
      <c r="E51" s="43"/>
      <c r="F51" s="43"/>
      <c r="G51" s="43"/>
      <c r="H51" s="43"/>
      <c r="I51" s="44"/>
      <c r="J51" s="44"/>
      <c r="K51" s="44"/>
      <c r="L51" s="44"/>
      <c r="M51" s="44"/>
      <c r="N51" s="42"/>
      <c r="O51" s="43"/>
      <c r="P51" s="43"/>
      <c r="Q51" s="43"/>
      <c r="R51" s="43"/>
      <c r="S51" s="44"/>
      <c r="T51" s="44"/>
      <c r="U51" s="44"/>
      <c r="V51" s="44"/>
      <c r="W51" s="44"/>
      <c r="X51" s="43"/>
      <c r="Y51" s="43"/>
      <c r="Z51" s="43"/>
      <c r="AA51" s="43"/>
      <c r="AB51" s="43"/>
      <c r="AC51" s="104"/>
      <c r="AD51" s="104"/>
      <c r="AE51" s="104"/>
      <c r="AF51" s="104"/>
      <c r="AG51" s="104"/>
      <c r="AH51" s="44"/>
      <c r="AI51" s="44"/>
      <c r="AJ51" s="44"/>
      <c r="AK51" s="44"/>
      <c r="AL51" s="44"/>
      <c r="AM51" s="43"/>
      <c r="AN51" s="43"/>
      <c r="AO51" s="43"/>
      <c r="AP51" s="43"/>
      <c r="AQ51" s="43"/>
      <c r="AR51" s="44">
        <f t="shared" si="76"/>
        <v>0</v>
      </c>
      <c r="AS51" s="44"/>
      <c r="AT51" s="44"/>
      <c r="AU51" s="44"/>
      <c r="AV51" s="44"/>
      <c r="AW51" s="43"/>
      <c r="AX51" s="43"/>
      <c r="AY51" s="43"/>
      <c r="AZ51" s="43"/>
      <c r="BA51" s="43"/>
      <c r="BB51" s="45"/>
      <c r="BC51" s="227"/>
      <c r="BD51" s="45"/>
      <c r="BE51" s="45"/>
      <c r="BF51" s="45"/>
      <c r="BG51" s="46"/>
      <c r="BH51" s="46"/>
      <c r="BI51" s="46"/>
      <c r="BJ51" s="46"/>
      <c r="BK51" s="46"/>
      <c r="BL51" s="46"/>
      <c r="BM51" s="46"/>
      <c r="BN51" s="46"/>
      <c r="BO51" s="46"/>
      <c r="BP51" s="46"/>
      <c r="BQ51" s="44"/>
      <c r="BR51" s="44"/>
      <c r="BS51" s="44"/>
      <c r="BT51" s="44"/>
      <c r="BU51" s="44"/>
      <c r="BV51" s="44"/>
      <c r="BW51" s="44"/>
      <c r="BX51" s="44"/>
      <c r="BY51" s="44"/>
      <c r="BZ51" s="44"/>
      <c r="CA51" s="44"/>
      <c r="CB51" s="43"/>
      <c r="CC51" s="43"/>
      <c r="CD51" s="43"/>
      <c r="CE51" s="43"/>
      <c r="CF51" s="43"/>
      <c r="CG51" s="43"/>
      <c r="CH51" s="43"/>
      <c r="CI51" s="43"/>
      <c r="CJ51" s="43"/>
      <c r="CK51" s="43"/>
      <c r="CR51">
        <f t="shared" si="117"/>
        <v>41</v>
      </c>
      <c r="DB51" s="57"/>
      <c r="DC51" s="57"/>
      <c r="DD51" s="57"/>
      <c r="DJ51" s="22">
        <v>47</v>
      </c>
      <c r="DK51" s="44">
        <f t="shared" si="12"/>
        <v>0</v>
      </c>
      <c r="DL51" s="44">
        <f t="shared" si="130"/>
        <v>0</v>
      </c>
      <c r="DM51" s="44">
        <f t="shared" si="131"/>
        <v>0</v>
      </c>
      <c r="DN51" s="44">
        <f t="shared" si="132"/>
        <v>0</v>
      </c>
      <c r="DO51" s="44">
        <f t="shared" si="14"/>
        <v>0</v>
      </c>
      <c r="DP51" s="44">
        <f t="shared" si="15"/>
        <v>0</v>
      </c>
      <c r="DQ51" s="44">
        <f t="shared" si="16"/>
        <v>0</v>
      </c>
      <c r="DR51" s="44">
        <f t="shared" si="17"/>
        <v>0</v>
      </c>
      <c r="DS51" s="44">
        <f t="shared" si="133"/>
        <v>0</v>
      </c>
      <c r="DT51" s="44"/>
      <c r="DV51" s="44"/>
      <c r="DW51" s="44"/>
      <c r="DX51" s="44"/>
      <c r="DY51" s="44"/>
      <c r="DZ51" s="44"/>
      <c r="EA51" s="44"/>
      <c r="EB51" s="44"/>
      <c r="EC51" s="44"/>
      <c r="ED51" s="44"/>
      <c r="EE51" s="44"/>
      <c r="EG51" s="22">
        <v>47</v>
      </c>
      <c r="EH51" s="44">
        <f t="shared" si="134"/>
        <v>0</v>
      </c>
      <c r="EI51" s="44">
        <f t="shared" si="135"/>
        <v>0</v>
      </c>
      <c r="EJ51" s="44">
        <f t="shared" si="136"/>
        <v>0</v>
      </c>
      <c r="EK51" s="44">
        <f t="shared" si="137"/>
        <v>0</v>
      </c>
      <c r="EL51" s="44"/>
      <c r="EM51" s="44">
        <f t="shared" si="26"/>
        <v>0</v>
      </c>
      <c r="EN51" s="44">
        <f t="shared" si="27"/>
        <v>0</v>
      </c>
      <c r="EO51" s="44">
        <f t="shared" si="28"/>
        <v>0</v>
      </c>
      <c r="EP51" s="44">
        <f t="shared" si="138"/>
        <v>0</v>
      </c>
      <c r="EQ51" s="44">
        <f t="shared" si="29"/>
        <v>0</v>
      </c>
      <c r="ES51" s="44"/>
      <c r="ET51" s="44"/>
      <c r="EU51" s="44"/>
      <c r="EV51" s="44"/>
      <c r="EW51" s="44"/>
      <c r="EX51" s="44"/>
      <c r="EY51" s="44"/>
      <c r="EZ51" s="44"/>
      <c r="FA51" s="44"/>
      <c r="FB51" s="44">
        <f t="shared" si="34"/>
        <v>0</v>
      </c>
      <c r="FD51" s="22">
        <f t="shared" si="48"/>
        <v>47</v>
      </c>
      <c r="FF51" s="22">
        <f t="shared" si="49"/>
        <v>47</v>
      </c>
      <c r="FG51" s="138">
        <f t="shared" si="50"/>
        <v>2071</v>
      </c>
      <c r="FH51" s="90">
        <f t="shared" si="35"/>
        <v>0</v>
      </c>
      <c r="FI51" s="90">
        <f t="shared" si="36"/>
        <v>0</v>
      </c>
      <c r="FJ51" s="90">
        <f t="shared" si="37"/>
        <v>0</v>
      </c>
      <c r="FK51" s="44">
        <f t="shared" si="51"/>
        <v>0</v>
      </c>
      <c r="FL51" s="90" cm="1">
        <f t="array" ref="FL51">IF($CQ$5&lt;$CP$5,_xlfn.XLOOKUP(FD51,$EG$5:$EG$54,$DN$5:$DN$54),IF(OR(AND($CQ$5&gt;$CP$5,$CQ$5&lt;$CO$5),OR($CQ$5&gt;=$CL$5)),_xlfn.XLOOKUP(FD51,$EG$5:$EG$54,$DM$5:DM$54),IF(AND($CQ$5&gt;$CO$5,$CQ$5&lt;$CN$5),_xlfn.XLOOKUP(FD51,$EG$5:$EG$54,$DO$5:$DO$54),IF(AND($CQ$5&gt;$CN$5,$CQ$5&lt;$CM$5),_xlfn.XLOOKUP(FD51,$EG$5:$EG$54,$DP$5:$DP$54),IF(AND($CQ$5&gt;$CM$5,$CQ$5&lt;$CL$5),_xlfn.XLOOKUP(FD51,$EG$5:$EG$54,$DQ$5:$DQ$54))))))</f>
        <v>0</v>
      </c>
      <c r="FM51" s="44">
        <f t="shared" si="52"/>
        <v>0</v>
      </c>
      <c r="FP51" s="22">
        <f t="shared" si="53"/>
        <v>47</v>
      </c>
      <c r="FR51" s="22">
        <f t="shared" si="54"/>
        <v>47</v>
      </c>
      <c r="FS51" s="138">
        <f t="shared" si="55"/>
        <v>2071</v>
      </c>
      <c r="FT51" s="90">
        <f t="shared" si="38"/>
        <v>0</v>
      </c>
      <c r="FU51" s="90">
        <f t="shared" si="39"/>
        <v>0</v>
      </c>
      <c r="FV51" s="90">
        <f t="shared" si="40"/>
        <v>0</v>
      </c>
      <c r="FW51" s="44">
        <f t="shared" si="56"/>
        <v>0</v>
      </c>
      <c r="FX51" s="90" cm="1">
        <f t="array" ref="FX51">IF($CQ$5&lt;$CP$5,_xlfn.XLOOKUP(FP51,$EG$5:$EG$54,$EK$5:$EK$54),IF(OR(AND($CQ$5&gt;$CP$5,$CQ$5&lt;$CO$5),OR($CQ$5&gt;=$CL$5)),_xlfn.XLOOKUP(FP51,$EG$5:$EG$54,$EJ$5:$EJ$54),IF(AND($CQ$5&gt;$CO$5,$CQ$5&lt;$CN$5),_xlfn.XLOOKUP(FP51,$EG$5:$EG$54,$EL$5:$EL$54),IF(AND($CQ$5&gt;$CN$5,$CQ$5&lt;$CM$5),_xlfn.XLOOKUP(FP51,$EG$5:$EG$54,$EM$5:$EM$54),_xlfn.XLOOKUP(FP51,$EG$5:$EG$54,$EN$5:EN$54,IF(AND($CQ$5&gt;$CM$5,$CQ$5&lt;$CL$5),_xlfn.XLOOKUP(FD50,$EG$5:$EG$54,$EY$5:$EY$54),""))))))</f>
        <v>0</v>
      </c>
      <c r="FY51" s="44">
        <f t="shared" si="57"/>
        <v>0</v>
      </c>
    </row>
    <row r="52" spans="3:181" x14ac:dyDescent="0.25">
      <c r="C52" s="48">
        <v>46</v>
      </c>
      <c r="D52" s="42"/>
      <c r="E52" s="43"/>
      <c r="F52" s="43"/>
      <c r="G52" s="43"/>
      <c r="H52" s="43"/>
      <c r="I52" s="44"/>
      <c r="J52" s="44"/>
      <c r="K52" s="44"/>
      <c r="L52" s="44"/>
      <c r="M52" s="44"/>
      <c r="N52" s="42"/>
      <c r="O52" s="43"/>
      <c r="P52" s="43"/>
      <c r="Q52" s="43"/>
      <c r="R52" s="43"/>
      <c r="S52" s="44"/>
      <c r="T52" s="44"/>
      <c r="U52" s="44"/>
      <c r="V52" s="44"/>
      <c r="W52" s="44"/>
      <c r="X52" s="43"/>
      <c r="Y52" s="43"/>
      <c r="Z52" s="43"/>
      <c r="AA52" s="43"/>
      <c r="AB52" s="43"/>
      <c r="AC52" s="104"/>
      <c r="AD52" s="104"/>
      <c r="AE52" s="104"/>
      <c r="AF52" s="104"/>
      <c r="AG52" s="104"/>
      <c r="AH52" s="44"/>
      <c r="AI52" s="44"/>
      <c r="AJ52" s="44"/>
      <c r="AK52" s="44"/>
      <c r="AL52" s="44"/>
      <c r="AM52" s="43"/>
      <c r="AN52" s="43"/>
      <c r="AO52" s="43"/>
      <c r="AP52" s="43"/>
      <c r="AQ52" s="43"/>
      <c r="AR52" s="44">
        <f t="shared" si="76"/>
        <v>0</v>
      </c>
      <c r="AS52" s="44"/>
      <c r="AT52" s="44"/>
      <c r="AU52" s="44"/>
      <c r="AV52" s="44"/>
      <c r="AW52" s="43"/>
      <c r="AX52" s="43"/>
      <c r="AY52" s="43"/>
      <c r="AZ52" s="43"/>
      <c r="BA52" s="43"/>
      <c r="BB52" s="45"/>
      <c r="BC52" s="227"/>
      <c r="BD52" s="45"/>
      <c r="BE52" s="45"/>
      <c r="BF52" s="45"/>
      <c r="BG52" s="46"/>
      <c r="BH52" s="46"/>
      <c r="BI52" s="46"/>
      <c r="BJ52" s="46"/>
      <c r="BK52" s="46"/>
      <c r="BL52" s="46"/>
      <c r="BM52" s="46"/>
      <c r="BN52" s="46"/>
      <c r="BO52" s="46"/>
      <c r="BP52" s="46"/>
      <c r="BQ52" s="44"/>
      <c r="BR52" s="44"/>
      <c r="BS52" s="44"/>
      <c r="BT52" s="44"/>
      <c r="BU52" s="44"/>
      <c r="BV52" s="44"/>
      <c r="BW52" s="44"/>
      <c r="BX52" s="44"/>
      <c r="BY52" s="44"/>
      <c r="BZ52" s="44"/>
      <c r="CA52" s="44"/>
      <c r="CB52" s="43"/>
      <c r="CC52" s="43"/>
      <c r="CD52" s="43"/>
      <c r="CE52" s="43"/>
      <c r="CF52" s="43"/>
      <c r="CG52" s="43"/>
      <c r="CH52" s="43"/>
      <c r="CI52" s="43"/>
      <c r="CJ52" s="43"/>
      <c r="CK52" s="43"/>
      <c r="CR52">
        <f t="shared" si="117"/>
        <v>42</v>
      </c>
      <c r="DB52" s="57"/>
      <c r="DC52" s="57"/>
      <c r="DD52" s="57"/>
      <c r="DJ52" s="22">
        <v>48</v>
      </c>
      <c r="DK52" s="44">
        <f t="shared" si="12"/>
        <v>0</v>
      </c>
      <c r="DL52" s="44">
        <f t="shared" si="130"/>
        <v>0</v>
      </c>
      <c r="DM52" s="44">
        <f t="shared" si="131"/>
        <v>0</v>
      </c>
      <c r="DN52" s="44">
        <f t="shared" si="132"/>
        <v>0</v>
      </c>
      <c r="DO52" s="44">
        <f t="shared" si="14"/>
        <v>0</v>
      </c>
      <c r="DP52" s="44">
        <f t="shared" si="15"/>
        <v>0</v>
      </c>
      <c r="DQ52" s="44">
        <f t="shared" si="16"/>
        <v>0</v>
      </c>
      <c r="DR52" s="44">
        <f t="shared" si="17"/>
        <v>0</v>
      </c>
      <c r="DS52" s="44">
        <f t="shared" si="133"/>
        <v>0</v>
      </c>
      <c r="DT52" s="44"/>
      <c r="DV52" s="44"/>
      <c r="DW52" s="44"/>
      <c r="DX52" s="44"/>
      <c r="DY52" s="44"/>
      <c r="DZ52" s="44"/>
      <c r="EA52" s="44"/>
      <c r="EB52" s="44"/>
      <c r="EC52" s="44"/>
      <c r="ED52" s="44"/>
      <c r="EE52" s="44"/>
      <c r="EG52" s="22">
        <v>48</v>
      </c>
      <c r="EH52" s="44">
        <f t="shared" si="134"/>
        <v>0</v>
      </c>
      <c r="EI52" s="44">
        <f t="shared" si="135"/>
        <v>0</v>
      </c>
      <c r="EJ52" s="44">
        <f t="shared" si="136"/>
        <v>0</v>
      </c>
      <c r="EK52" s="44">
        <f t="shared" si="137"/>
        <v>0</v>
      </c>
      <c r="EL52" s="44"/>
      <c r="EM52" s="44">
        <f t="shared" si="26"/>
        <v>0</v>
      </c>
      <c r="EN52" s="44">
        <f t="shared" si="27"/>
        <v>0</v>
      </c>
      <c r="EO52" s="44">
        <f t="shared" si="28"/>
        <v>0</v>
      </c>
      <c r="EP52" s="44">
        <f t="shared" si="138"/>
        <v>0</v>
      </c>
      <c r="EQ52" s="44">
        <f t="shared" si="29"/>
        <v>0</v>
      </c>
      <c r="ES52" s="44"/>
      <c r="ET52" s="44"/>
      <c r="EU52" s="44"/>
      <c r="EV52" s="44"/>
      <c r="EW52" s="44"/>
      <c r="EX52" s="44"/>
      <c r="EY52" s="44"/>
      <c r="EZ52" s="44"/>
      <c r="FA52" s="44"/>
      <c r="FB52" s="44">
        <f t="shared" si="34"/>
        <v>0</v>
      </c>
      <c r="FD52" s="22">
        <f t="shared" si="48"/>
        <v>48</v>
      </c>
      <c r="FF52" s="22">
        <f t="shared" si="49"/>
        <v>48</v>
      </c>
      <c r="FG52" s="138">
        <f t="shared" si="50"/>
        <v>2072</v>
      </c>
      <c r="FH52" s="90">
        <f t="shared" si="35"/>
        <v>0</v>
      </c>
      <c r="FI52" s="90">
        <f t="shared" si="36"/>
        <v>0</v>
      </c>
      <c r="FJ52" s="90">
        <f t="shared" si="37"/>
        <v>0</v>
      </c>
      <c r="FK52" s="44">
        <f t="shared" si="51"/>
        <v>0</v>
      </c>
      <c r="FL52" s="90">
        <v>0</v>
      </c>
      <c r="FM52" s="44">
        <f t="shared" si="52"/>
        <v>0</v>
      </c>
      <c r="FP52" s="22">
        <f t="shared" si="53"/>
        <v>48</v>
      </c>
      <c r="FR52" s="22">
        <f t="shared" si="54"/>
        <v>48</v>
      </c>
      <c r="FS52" s="138">
        <f t="shared" si="55"/>
        <v>2072</v>
      </c>
      <c r="FT52" s="90">
        <f t="shared" si="38"/>
        <v>0</v>
      </c>
      <c r="FU52" s="90">
        <f t="shared" si="39"/>
        <v>0</v>
      </c>
      <c r="FV52" s="90">
        <f t="shared" si="40"/>
        <v>0</v>
      </c>
      <c r="FW52" s="44">
        <f t="shared" si="56"/>
        <v>0</v>
      </c>
      <c r="FX52" s="90">
        <v>0</v>
      </c>
      <c r="FY52" s="44">
        <f t="shared" si="57"/>
        <v>0</v>
      </c>
    </row>
    <row r="53" spans="3:181" x14ac:dyDescent="0.25">
      <c r="C53" s="48">
        <v>47</v>
      </c>
      <c r="D53" s="42"/>
      <c r="E53" s="43"/>
      <c r="F53" s="43"/>
      <c r="G53" s="43"/>
      <c r="H53" s="43"/>
      <c r="I53" s="44"/>
      <c r="J53" s="44"/>
      <c r="K53" s="44"/>
      <c r="L53" s="44"/>
      <c r="M53" s="44"/>
      <c r="N53" s="42"/>
      <c r="O53" s="43"/>
      <c r="P53" s="43"/>
      <c r="Q53" s="43"/>
      <c r="R53" s="43"/>
      <c r="S53" s="44"/>
      <c r="T53" s="44"/>
      <c r="U53" s="44"/>
      <c r="V53" s="44"/>
      <c r="W53" s="44"/>
      <c r="X53" s="43"/>
      <c r="Y53" s="43"/>
      <c r="Z53" s="43"/>
      <c r="AA53" s="43"/>
      <c r="AB53" s="43"/>
      <c r="AC53" s="104"/>
      <c r="AD53" s="104"/>
      <c r="AE53" s="104"/>
      <c r="AF53" s="104"/>
      <c r="AG53" s="104"/>
      <c r="AH53" s="44"/>
      <c r="AI53" s="44"/>
      <c r="AJ53" s="44"/>
      <c r="AK53" s="44"/>
      <c r="AL53" s="44"/>
      <c r="AM53" s="43"/>
      <c r="AN53" s="43"/>
      <c r="AO53" s="43"/>
      <c r="AP53" s="43"/>
      <c r="AQ53" s="43"/>
      <c r="AR53" s="44">
        <f t="shared" si="76"/>
        <v>0</v>
      </c>
      <c r="AS53" s="44"/>
      <c r="AT53" s="44"/>
      <c r="AU53" s="44"/>
      <c r="AV53" s="44"/>
      <c r="AW53" s="43"/>
      <c r="AX53" s="43"/>
      <c r="AY53" s="43"/>
      <c r="AZ53" s="43"/>
      <c r="BA53" s="43"/>
      <c r="BB53" s="45"/>
      <c r="BC53" s="227"/>
      <c r="BD53" s="45"/>
      <c r="BE53" s="45"/>
      <c r="BF53" s="45"/>
      <c r="BG53" s="46"/>
      <c r="BH53" s="46"/>
      <c r="BI53" s="46"/>
      <c r="BJ53" s="46"/>
      <c r="BK53" s="46"/>
      <c r="BL53" s="46"/>
      <c r="BM53" s="46"/>
      <c r="BN53" s="46"/>
      <c r="BO53" s="46"/>
      <c r="BP53" s="46"/>
      <c r="BQ53" s="44"/>
      <c r="BR53" s="44"/>
      <c r="BS53" s="44"/>
      <c r="BT53" s="44"/>
      <c r="BU53" s="44"/>
      <c r="BV53" s="44"/>
      <c r="BW53" s="44"/>
      <c r="BX53" s="44"/>
      <c r="BY53" s="44"/>
      <c r="BZ53" s="44"/>
      <c r="CA53" s="44"/>
      <c r="CB53" s="43"/>
      <c r="CC53" s="43"/>
      <c r="CD53" s="43"/>
      <c r="CE53" s="43"/>
      <c r="CF53" s="43"/>
      <c r="CG53" s="43"/>
      <c r="CH53" s="43"/>
      <c r="CI53" s="43"/>
      <c r="CJ53" s="43"/>
      <c r="CK53" s="43"/>
      <c r="CR53">
        <f>CR52+1</f>
        <v>43</v>
      </c>
      <c r="DB53" s="57"/>
      <c r="DC53" s="57"/>
      <c r="DD53" s="57"/>
      <c r="DJ53" s="22">
        <v>49</v>
      </c>
      <c r="DK53" s="44">
        <f t="shared" si="12"/>
        <v>0</v>
      </c>
      <c r="DL53" s="44">
        <f t="shared" si="130"/>
        <v>0</v>
      </c>
      <c r="DM53" s="44">
        <f t="shared" si="131"/>
        <v>0</v>
      </c>
      <c r="DN53" s="44">
        <f t="shared" si="132"/>
        <v>0</v>
      </c>
      <c r="DO53" s="44">
        <f t="shared" si="14"/>
        <v>0</v>
      </c>
      <c r="DP53" s="44">
        <f t="shared" si="15"/>
        <v>0</v>
      </c>
      <c r="DQ53" s="44">
        <f t="shared" si="16"/>
        <v>0</v>
      </c>
      <c r="DR53" s="44">
        <f t="shared" si="17"/>
        <v>0</v>
      </c>
      <c r="DS53" s="44">
        <f t="shared" si="133"/>
        <v>0</v>
      </c>
      <c r="DT53" s="44"/>
      <c r="DV53" s="44"/>
      <c r="DW53" s="44"/>
      <c r="DX53" s="44"/>
      <c r="DY53" s="44"/>
      <c r="DZ53" s="44"/>
      <c r="EA53" s="44"/>
      <c r="EB53" s="44"/>
      <c r="EC53" s="44"/>
      <c r="ED53" s="44"/>
      <c r="EE53" s="44"/>
      <c r="EG53" s="22">
        <v>49</v>
      </c>
      <c r="EH53" s="44">
        <f t="shared" si="134"/>
        <v>0</v>
      </c>
      <c r="EI53" s="44">
        <f t="shared" si="135"/>
        <v>0</v>
      </c>
      <c r="EJ53" s="44">
        <f t="shared" si="136"/>
        <v>0</v>
      </c>
      <c r="EK53" s="44">
        <f t="shared" si="137"/>
        <v>0</v>
      </c>
      <c r="EL53" s="44"/>
      <c r="EM53" s="44">
        <f t="shared" si="26"/>
        <v>0</v>
      </c>
      <c r="EN53" s="44">
        <f t="shared" si="27"/>
        <v>0</v>
      </c>
      <c r="EO53" s="44">
        <f t="shared" si="28"/>
        <v>0</v>
      </c>
      <c r="EP53" s="44">
        <f t="shared" si="138"/>
        <v>0</v>
      </c>
      <c r="EQ53" s="44">
        <f t="shared" si="29"/>
        <v>0</v>
      </c>
      <c r="ES53" s="44"/>
      <c r="ET53" s="44"/>
      <c r="EU53" s="44"/>
      <c r="EV53" s="44"/>
      <c r="EW53" s="44"/>
      <c r="EX53" s="44"/>
      <c r="EY53" s="44"/>
      <c r="EZ53" s="44"/>
      <c r="FA53" s="44"/>
      <c r="FB53" s="44">
        <f t="shared" si="34"/>
        <v>0</v>
      </c>
      <c r="FD53" s="22">
        <f t="shared" si="48"/>
        <v>49</v>
      </c>
      <c r="FF53" s="22">
        <f t="shared" si="49"/>
        <v>49</v>
      </c>
      <c r="FG53" s="138">
        <f t="shared" si="50"/>
        <v>2073</v>
      </c>
      <c r="FH53" s="90">
        <f t="shared" si="35"/>
        <v>0</v>
      </c>
      <c r="FI53" s="90">
        <f t="shared" si="36"/>
        <v>0</v>
      </c>
      <c r="FJ53" s="90">
        <f t="shared" si="37"/>
        <v>0</v>
      </c>
      <c r="FK53" s="44">
        <f t="shared" si="51"/>
        <v>0</v>
      </c>
      <c r="FL53" s="90">
        <v>0</v>
      </c>
      <c r="FM53" s="44">
        <f t="shared" si="52"/>
        <v>0</v>
      </c>
      <c r="FP53" s="22">
        <f t="shared" si="53"/>
        <v>49</v>
      </c>
      <c r="FR53" s="22">
        <f t="shared" si="54"/>
        <v>49</v>
      </c>
      <c r="FS53" s="138">
        <f t="shared" si="55"/>
        <v>2073</v>
      </c>
      <c r="FT53" s="90">
        <f t="shared" si="38"/>
        <v>0</v>
      </c>
      <c r="FU53" s="90">
        <f t="shared" si="39"/>
        <v>0</v>
      </c>
      <c r="FV53" s="90">
        <f t="shared" si="40"/>
        <v>0</v>
      </c>
      <c r="FW53" s="44">
        <f t="shared" si="56"/>
        <v>0</v>
      </c>
      <c r="FX53" s="90">
        <v>0</v>
      </c>
      <c r="FY53" s="44">
        <f t="shared" si="57"/>
        <v>0</v>
      </c>
    </row>
    <row r="54" spans="3:181" x14ac:dyDescent="0.25">
      <c r="C54" s="48">
        <v>48</v>
      </c>
      <c r="D54" s="42"/>
      <c r="E54" s="43"/>
      <c r="F54" s="43"/>
      <c r="G54" s="43"/>
      <c r="H54" s="43"/>
      <c r="I54" s="44"/>
      <c r="J54" s="44"/>
      <c r="K54" s="44"/>
      <c r="L54" s="44"/>
      <c r="M54" s="44"/>
      <c r="N54" s="42"/>
      <c r="O54" s="43"/>
      <c r="P54" s="43"/>
      <c r="Q54" s="43"/>
      <c r="R54" s="43"/>
      <c r="S54" s="44"/>
      <c r="T54" s="44"/>
      <c r="U54" s="44"/>
      <c r="V54" s="44"/>
      <c r="W54" s="44"/>
      <c r="X54" s="43"/>
      <c r="Y54" s="43"/>
      <c r="Z54" s="43"/>
      <c r="AA54" s="43"/>
      <c r="AB54" s="43"/>
      <c r="AC54" s="104"/>
      <c r="AD54" s="104"/>
      <c r="AE54" s="104"/>
      <c r="AF54" s="104"/>
      <c r="AG54" s="104"/>
      <c r="AH54" s="44"/>
      <c r="AI54" s="44"/>
      <c r="AJ54" s="44"/>
      <c r="AK54" s="44"/>
      <c r="AL54" s="44"/>
      <c r="AM54" s="43"/>
      <c r="AN54" s="43"/>
      <c r="AO54" s="43"/>
      <c r="AP54" s="43"/>
      <c r="AQ54" s="43"/>
      <c r="AR54" s="44">
        <f t="shared" si="76"/>
        <v>0</v>
      </c>
      <c r="AS54" s="44"/>
      <c r="AT54" s="44"/>
      <c r="AU54" s="44"/>
      <c r="AV54" s="44"/>
      <c r="AW54" s="43"/>
      <c r="AX54" s="43"/>
      <c r="AY54" s="43"/>
      <c r="AZ54" s="43"/>
      <c r="BA54" s="43"/>
      <c r="BB54" s="45"/>
      <c r="BC54" s="227"/>
      <c r="BD54" s="45"/>
      <c r="BE54" s="45"/>
      <c r="BF54" s="45"/>
      <c r="BG54" s="46"/>
      <c r="BH54" s="46"/>
      <c r="BI54" s="46"/>
      <c r="BJ54" s="46"/>
      <c r="BK54" s="46"/>
      <c r="BL54" s="46"/>
      <c r="BM54" s="46"/>
      <c r="BN54" s="46"/>
      <c r="BO54" s="46"/>
      <c r="BP54" s="46"/>
      <c r="BQ54" s="44"/>
      <c r="BR54" s="44"/>
      <c r="BS54" s="44"/>
      <c r="BT54" s="44"/>
      <c r="BU54" s="44"/>
      <c r="BV54" s="44"/>
      <c r="BW54" s="44"/>
      <c r="BX54" s="44"/>
      <c r="BY54" s="44"/>
      <c r="BZ54" s="44"/>
      <c r="CA54" s="44"/>
      <c r="CB54" s="43"/>
      <c r="CC54" s="43"/>
      <c r="CD54" s="43"/>
      <c r="CE54" s="43"/>
      <c r="CF54" s="43"/>
      <c r="CG54" s="43"/>
      <c r="CH54" s="43"/>
      <c r="CI54" s="43"/>
      <c r="CJ54" s="43"/>
      <c r="CK54" s="43"/>
      <c r="CR54">
        <f t="shared" si="117"/>
        <v>44</v>
      </c>
      <c r="DB54" s="57"/>
      <c r="DC54" s="57"/>
      <c r="DD54" s="57"/>
      <c r="DJ54" s="22">
        <v>50</v>
      </c>
      <c r="DK54" s="44">
        <f t="shared" si="12"/>
        <v>0</v>
      </c>
      <c r="DL54" s="44">
        <f t="shared" si="130"/>
        <v>0</v>
      </c>
      <c r="DM54" s="44">
        <f t="shared" si="131"/>
        <v>0</v>
      </c>
      <c r="DN54" s="44">
        <f t="shared" si="132"/>
        <v>0</v>
      </c>
      <c r="DO54" s="44">
        <f t="shared" si="14"/>
        <v>0</v>
      </c>
      <c r="DP54" s="44">
        <f t="shared" si="15"/>
        <v>0</v>
      </c>
      <c r="DQ54" s="44">
        <f t="shared" si="16"/>
        <v>0</v>
      </c>
      <c r="DR54" s="44">
        <f t="shared" si="17"/>
        <v>0</v>
      </c>
      <c r="DS54" s="44">
        <f t="shared" si="133"/>
        <v>0</v>
      </c>
      <c r="DT54" s="44"/>
      <c r="DV54" s="44"/>
      <c r="DW54" s="44"/>
      <c r="DX54" s="44"/>
      <c r="DY54" s="44"/>
      <c r="DZ54" s="44"/>
      <c r="EA54" s="44"/>
      <c r="EB54" s="44"/>
      <c r="EC54" s="44"/>
      <c r="ED54" s="44"/>
      <c r="EE54" s="44"/>
      <c r="EG54" s="22">
        <v>50</v>
      </c>
      <c r="EH54" s="44">
        <f t="shared" si="134"/>
        <v>0</v>
      </c>
      <c r="EI54" s="44">
        <f t="shared" si="135"/>
        <v>0</v>
      </c>
      <c r="EJ54" s="44">
        <f t="shared" si="136"/>
        <v>0</v>
      </c>
      <c r="EK54" s="44">
        <f t="shared" si="137"/>
        <v>0</v>
      </c>
      <c r="EL54" s="44"/>
      <c r="EM54" s="44">
        <f t="shared" si="26"/>
        <v>0</v>
      </c>
      <c r="EN54" s="44">
        <f t="shared" si="27"/>
        <v>0</v>
      </c>
      <c r="EO54" s="44">
        <f t="shared" si="28"/>
        <v>0</v>
      </c>
      <c r="EP54" s="44">
        <f t="shared" si="138"/>
        <v>0</v>
      </c>
      <c r="EQ54" s="44">
        <f t="shared" si="29"/>
        <v>0</v>
      </c>
      <c r="ES54" s="44"/>
      <c r="ET54" s="44"/>
      <c r="EU54" s="44"/>
      <c r="EV54" s="44"/>
      <c r="EW54" s="44"/>
      <c r="EX54" s="44"/>
      <c r="EY54" s="44"/>
      <c r="EZ54" s="44"/>
      <c r="FA54" s="44"/>
      <c r="FB54" s="44">
        <f t="shared" si="34"/>
        <v>0</v>
      </c>
      <c r="FD54" s="22">
        <f t="shared" si="48"/>
        <v>50</v>
      </c>
      <c r="FF54" s="22">
        <f t="shared" si="49"/>
        <v>50</v>
      </c>
      <c r="FG54" s="138">
        <f t="shared" si="50"/>
        <v>2074</v>
      </c>
      <c r="FH54" s="90">
        <f t="shared" si="35"/>
        <v>0</v>
      </c>
      <c r="FI54" s="90">
        <f t="shared" si="36"/>
        <v>0</v>
      </c>
      <c r="FJ54" s="90">
        <f t="shared" si="37"/>
        <v>0</v>
      </c>
      <c r="FK54" s="44">
        <f t="shared" si="51"/>
        <v>0</v>
      </c>
      <c r="FL54" s="90">
        <v>0</v>
      </c>
      <c r="FM54" s="44">
        <f t="shared" si="52"/>
        <v>0</v>
      </c>
      <c r="FP54" s="22">
        <f t="shared" si="53"/>
        <v>50</v>
      </c>
      <c r="FR54" s="22">
        <f t="shared" si="54"/>
        <v>50</v>
      </c>
      <c r="FS54" s="138">
        <f t="shared" si="55"/>
        <v>2074</v>
      </c>
      <c r="FT54" s="90">
        <f t="shared" si="38"/>
        <v>0</v>
      </c>
      <c r="FU54" s="90">
        <f t="shared" si="39"/>
        <v>0</v>
      </c>
      <c r="FV54" s="90">
        <f t="shared" si="40"/>
        <v>0</v>
      </c>
      <c r="FW54" s="44">
        <f t="shared" si="56"/>
        <v>0</v>
      </c>
      <c r="FX54" s="90">
        <v>0</v>
      </c>
      <c r="FY54" s="44">
        <f t="shared" si="57"/>
        <v>0</v>
      </c>
    </row>
    <row r="55" spans="3:181" x14ac:dyDescent="0.25">
      <c r="C55" s="48">
        <v>49</v>
      </c>
      <c r="D55" s="42"/>
      <c r="E55" s="43"/>
      <c r="F55" s="43"/>
      <c r="G55" s="43"/>
      <c r="H55" s="43"/>
      <c r="I55" s="44"/>
      <c r="J55" s="44"/>
      <c r="K55" s="44"/>
      <c r="L55" s="44"/>
      <c r="M55" s="44"/>
      <c r="N55" s="42"/>
      <c r="O55" s="43"/>
      <c r="P55" s="43"/>
      <c r="Q55" s="43"/>
      <c r="R55" s="43"/>
      <c r="S55" s="44"/>
      <c r="T55" s="44"/>
      <c r="U55" s="44"/>
      <c r="V55" s="44"/>
      <c r="W55" s="44"/>
      <c r="X55" s="43"/>
      <c r="Y55" s="43"/>
      <c r="Z55" s="43"/>
      <c r="AA55" s="43"/>
      <c r="AB55" s="43"/>
      <c r="AC55" s="104"/>
      <c r="AD55" s="104"/>
      <c r="AE55" s="104"/>
      <c r="AF55" s="104"/>
      <c r="AG55" s="104"/>
      <c r="AH55" s="44"/>
      <c r="AI55" s="44"/>
      <c r="AJ55" s="44"/>
      <c r="AK55" s="44"/>
      <c r="AL55" s="44"/>
      <c r="AM55" s="43"/>
      <c r="AN55" s="43"/>
      <c r="AO55" s="43"/>
      <c r="AP55" s="43"/>
      <c r="AQ55" s="43"/>
      <c r="AR55" s="44">
        <f t="shared" si="76"/>
        <v>0</v>
      </c>
      <c r="AS55" s="44"/>
      <c r="AT55" s="44"/>
      <c r="AU55" s="44"/>
      <c r="AV55" s="44"/>
      <c r="AW55" s="43"/>
      <c r="AX55" s="43"/>
      <c r="AY55" s="43"/>
      <c r="AZ55" s="43"/>
      <c r="BA55" s="43"/>
      <c r="BB55" s="45"/>
      <c r="BC55" s="227"/>
      <c r="BD55" s="45"/>
      <c r="BE55" s="45"/>
      <c r="BF55" s="45"/>
      <c r="BG55" s="46"/>
      <c r="BH55" s="46"/>
      <c r="BI55" s="46"/>
      <c r="BJ55" s="46"/>
      <c r="BK55" s="46"/>
      <c r="BL55" s="46"/>
      <c r="BM55" s="46"/>
      <c r="BN55" s="46"/>
      <c r="BO55" s="46"/>
      <c r="BP55" s="46"/>
      <c r="BQ55" s="44"/>
      <c r="BR55" s="44"/>
      <c r="BS55" s="44"/>
      <c r="BT55" s="44"/>
      <c r="BU55" s="44"/>
      <c r="BV55" s="44"/>
      <c r="BW55" s="44"/>
      <c r="BX55" s="44"/>
      <c r="BY55" s="44"/>
      <c r="BZ55" s="44"/>
      <c r="CA55" s="44"/>
      <c r="CB55" s="43"/>
      <c r="CC55" s="43"/>
      <c r="CD55" s="43"/>
      <c r="CE55" s="43"/>
      <c r="CF55" s="43"/>
      <c r="CG55" s="43"/>
      <c r="CH55" s="43"/>
      <c r="CI55" s="43"/>
      <c r="CJ55" s="43"/>
      <c r="CK55" s="43"/>
      <c r="CR55">
        <f t="shared" si="117"/>
        <v>45</v>
      </c>
      <c r="DB55" s="57"/>
      <c r="DC55" s="57"/>
      <c r="DD55" s="57"/>
      <c r="DK55" s="22">
        <f>SUM(DK5:DK54)</f>
        <v>2294999.9999999995</v>
      </c>
      <c r="DL55" s="22">
        <f>SUM(DL5:DL54)</f>
        <v>2295000</v>
      </c>
      <c r="DM55" s="22">
        <f t="shared" ref="DM55:DS55" si="143">SUM(DM5:DM54)</f>
        <v>1463903.9999999998</v>
      </c>
      <c r="DN55" s="22">
        <f>SUM(DN5:DN54)</f>
        <v>1879452</v>
      </c>
      <c r="DO55" s="22">
        <f>SUM(DO5:DO54)</f>
        <v>1630123.2000000004</v>
      </c>
      <c r="DP55" s="22">
        <f t="shared" ref="DP55:DR55" si="144">SUM(DP5:DP54)</f>
        <v>1796342.4</v>
      </c>
      <c r="DQ55" s="22">
        <f t="shared" si="144"/>
        <v>1962561.6</v>
      </c>
      <c r="DR55" s="22">
        <f t="shared" si="144"/>
        <v>2128780.7999999998</v>
      </c>
      <c r="DS55" s="22">
        <f t="shared" si="143"/>
        <v>831095.99999999988</v>
      </c>
      <c r="DT55" s="22">
        <f>SUM(DT5:DT54)</f>
        <v>0</v>
      </c>
      <c r="EH55" s="22">
        <f>SUM(EH5:EH54)</f>
        <v>2295000.0000000005</v>
      </c>
      <c r="EI55" s="22">
        <f t="shared" ref="EI55:EP55" si="145">SUM(EI5:EI54)</f>
        <v>2294999.9999999986</v>
      </c>
      <c r="EJ55" s="22">
        <f t="shared" ref="EJ55:EO55" si="146">SUM(EJ5:EJ54)</f>
        <v>1396378.6989795917</v>
      </c>
      <c r="EK55" s="22">
        <f t="shared" si="146"/>
        <v>1845689.3494897943</v>
      </c>
      <c r="EL55" s="22">
        <f t="shared" si="146"/>
        <v>1576102.9591836727</v>
      </c>
      <c r="EM55" s="22">
        <f t="shared" si="146"/>
        <v>1755827.2193877541</v>
      </c>
      <c r="EN55" s="22">
        <f t="shared" si="146"/>
        <v>1935551.4795918353</v>
      </c>
      <c r="EO55" s="22">
        <f t="shared" si="146"/>
        <v>2115275.7397959167</v>
      </c>
      <c r="EP55" s="22">
        <f t="shared" si="145"/>
        <v>2296324.6989795915</v>
      </c>
      <c r="ES55" s="22"/>
      <c r="FH55" s="22">
        <f>SUM(FH5:FH54)</f>
        <v>2294999.9999999995</v>
      </c>
      <c r="FJ55" s="22">
        <f>SUM(FJ5:FJ54)</f>
        <v>2294999.9999999995</v>
      </c>
      <c r="FK55" s="22">
        <f>SUM(FK5:FK52)</f>
        <v>2295000</v>
      </c>
      <c r="FL55" s="22">
        <f t="shared" ref="FL55:FM55" si="147">SUM(FL5:FL52)</f>
        <v>2295000.0000000014</v>
      </c>
      <c r="FM55" s="22">
        <f t="shared" si="147"/>
        <v>831095.99999999988</v>
      </c>
      <c r="FT55" s="22">
        <f>SUM(FT5:FT54)</f>
        <v>2295000.0000000005</v>
      </c>
      <c r="FV55" s="22">
        <f>SUM(FV5:FV54)</f>
        <v>2295000.0000000005</v>
      </c>
      <c r="FW55" s="22">
        <f>SUM(FW5:FW52)</f>
        <v>2294999.9999999986</v>
      </c>
      <c r="FX55" s="22">
        <f t="shared" ref="FX55" si="148">SUM(FX5:FX52)</f>
        <v>2294999.9999999981</v>
      </c>
      <c r="FY55" s="22">
        <f>SUM(FY5:FY52)</f>
        <v>2296324.6989795915</v>
      </c>
    </row>
    <row r="56" spans="3:181" x14ac:dyDescent="0.25">
      <c r="C56" s="48">
        <v>50</v>
      </c>
      <c r="D56" s="42"/>
      <c r="E56" s="43"/>
      <c r="F56" s="43"/>
      <c r="G56" s="43"/>
      <c r="H56" s="43"/>
      <c r="I56" s="44"/>
      <c r="J56" s="44"/>
      <c r="K56" s="44"/>
      <c r="L56" s="44"/>
      <c r="M56" s="44"/>
      <c r="N56" s="42"/>
      <c r="O56" s="43"/>
      <c r="P56" s="43"/>
      <c r="Q56" s="43"/>
      <c r="R56" s="43"/>
      <c r="S56" s="44"/>
      <c r="T56" s="44"/>
      <c r="U56" s="44"/>
      <c r="V56" s="44"/>
      <c r="W56" s="44"/>
      <c r="X56" s="43"/>
      <c r="Y56" s="43"/>
      <c r="Z56" s="43"/>
      <c r="AA56" s="43"/>
      <c r="AB56" s="43"/>
      <c r="AC56" s="104"/>
      <c r="AD56" s="104"/>
      <c r="AE56" s="104"/>
      <c r="AF56" s="104"/>
      <c r="AG56" s="104"/>
      <c r="AH56" s="44"/>
      <c r="AI56" s="44"/>
      <c r="AJ56" s="44"/>
      <c r="AK56" s="44"/>
      <c r="AL56" s="44"/>
      <c r="AM56" s="43"/>
      <c r="AN56" s="43"/>
      <c r="AO56" s="43"/>
      <c r="AP56" s="43"/>
      <c r="AQ56" s="43"/>
      <c r="AR56" s="44">
        <f t="shared" si="76"/>
        <v>0</v>
      </c>
      <c r="AS56" s="44"/>
      <c r="AT56" s="44"/>
      <c r="AU56" s="44"/>
      <c r="AV56" s="44"/>
      <c r="AW56" s="43"/>
      <c r="AX56" s="43"/>
      <c r="AY56" s="43"/>
      <c r="AZ56" s="43"/>
      <c r="BA56" s="43"/>
      <c r="BB56" s="45"/>
      <c r="BC56" s="227"/>
      <c r="BD56" s="45"/>
      <c r="BE56" s="45"/>
      <c r="BF56" s="45"/>
      <c r="BG56" s="46"/>
      <c r="BH56" s="46"/>
      <c r="BI56" s="46"/>
      <c r="BJ56" s="46"/>
      <c r="BK56" s="46"/>
      <c r="BL56" s="46"/>
      <c r="BM56" s="46"/>
      <c r="BN56" s="46"/>
      <c r="BO56" s="46"/>
      <c r="BP56" s="46"/>
      <c r="BQ56" s="44"/>
      <c r="BR56" s="44"/>
      <c r="BS56" s="44"/>
      <c r="BT56" s="44"/>
      <c r="BU56" s="44"/>
      <c r="BV56" s="44"/>
      <c r="BW56" s="44"/>
      <c r="BX56" s="44"/>
      <c r="BY56" s="44"/>
      <c r="BZ56" s="44"/>
      <c r="CA56" s="44"/>
      <c r="CB56" s="43"/>
      <c r="CC56" s="43"/>
      <c r="CD56" s="43"/>
      <c r="CE56" s="43"/>
      <c r="CF56" s="43"/>
      <c r="CG56" s="43"/>
      <c r="CH56" s="43"/>
      <c r="CI56" s="43"/>
      <c r="CJ56" s="43"/>
      <c r="CK56" s="43"/>
      <c r="CR56">
        <f t="shared" si="117"/>
        <v>46</v>
      </c>
      <c r="DB56" s="57"/>
      <c r="DC56" s="57"/>
      <c r="DD56" s="57"/>
      <c r="ES56" s="22"/>
    </row>
    <row r="57" spans="3:181" x14ac:dyDescent="0.25">
      <c r="C57" s="48">
        <v>51</v>
      </c>
      <c r="D57" s="42"/>
      <c r="E57" s="43"/>
      <c r="F57" s="43"/>
      <c r="G57" s="43"/>
      <c r="H57" s="43"/>
      <c r="I57" s="44"/>
      <c r="J57" s="44"/>
      <c r="K57" s="44"/>
      <c r="L57" s="44"/>
      <c r="M57" s="44"/>
      <c r="N57" s="42"/>
      <c r="O57" s="43"/>
      <c r="P57" s="43"/>
      <c r="Q57" s="43"/>
      <c r="R57" s="43"/>
      <c r="S57" s="44"/>
      <c r="T57" s="44"/>
      <c r="U57" s="44"/>
      <c r="V57" s="44"/>
      <c r="W57" s="44"/>
      <c r="X57" s="43"/>
      <c r="Y57" s="43"/>
      <c r="Z57" s="43"/>
      <c r="AA57" s="43"/>
      <c r="AB57" s="43"/>
      <c r="AC57" s="104"/>
      <c r="AD57" s="104"/>
      <c r="AE57" s="104"/>
      <c r="AF57" s="104"/>
      <c r="AG57" s="104"/>
      <c r="AH57" s="44"/>
      <c r="AI57" s="44"/>
      <c r="AJ57" s="44"/>
      <c r="AK57" s="44"/>
      <c r="AL57" s="44"/>
      <c r="AM57" s="43"/>
      <c r="AN57" s="43"/>
      <c r="AO57" s="43"/>
      <c r="AP57" s="43"/>
      <c r="AQ57" s="43"/>
      <c r="AR57" s="44">
        <f t="shared" si="76"/>
        <v>0</v>
      </c>
      <c r="AS57" s="44"/>
      <c r="AT57" s="44"/>
      <c r="AU57" s="44"/>
      <c r="AV57" s="44"/>
      <c r="AW57" s="43"/>
      <c r="AX57" s="43"/>
      <c r="AY57" s="43"/>
      <c r="AZ57" s="43"/>
      <c r="BA57" s="43"/>
      <c r="BB57" s="45"/>
      <c r="BC57" s="227"/>
      <c r="BD57" s="45"/>
      <c r="BE57" s="45"/>
      <c r="BF57" s="45"/>
      <c r="BG57" s="46"/>
      <c r="BH57" s="46"/>
      <c r="BI57" s="46"/>
      <c r="BJ57" s="46"/>
      <c r="BK57" s="46"/>
      <c r="BL57" s="46"/>
      <c r="BM57" s="46"/>
      <c r="BN57" s="46"/>
      <c r="BO57" s="46"/>
      <c r="BP57" s="46"/>
      <c r="BQ57" s="44"/>
      <c r="BR57" s="44"/>
      <c r="BS57" s="44"/>
      <c r="BT57" s="44"/>
      <c r="BU57" s="44"/>
      <c r="BV57" s="44"/>
      <c r="BW57" s="44"/>
      <c r="BX57" s="44"/>
      <c r="BY57" s="44"/>
      <c r="BZ57" s="44"/>
      <c r="CA57" s="44"/>
      <c r="CB57" s="43"/>
      <c r="CC57" s="43"/>
      <c r="CD57" s="43"/>
      <c r="CE57" s="43"/>
      <c r="CF57" s="43"/>
      <c r="CG57" s="43"/>
      <c r="CH57" s="43"/>
      <c r="CI57" s="43"/>
      <c r="CJ57" s="43"/>
      <c r="CK57" s="43"/>
      <c r="CR57">
        <f t="shared" si="117"/>
        <v>47</v>
      </c>
      <c r="DB57" s="57"/>
      <c r="DC57" s="57"/>
      <c r="DD57" s="57"/>
      <c r="ES57" s="22"/>
    </row>
    <row r="58" spans="3:181" x14ac:dyDescent="0.25">
      <c r="C58" s="48">
        <v>52</v>
      </c>
      <c r="D58" s="42"/>
      <c r="E58" s="43"/>
      <c r="F58" s="43"/>
      <c r="G58" s="43"/>
      <c r="H58" s="43"/>
      <c r="I58" s="44"/>
      <c r="J58" s="44"/>
      <c r="K58" s="44"/>
      <c r="L58" s="44"/>
      <c r="M58" s="44"/>
      <c r="N58" s="42"/>
      <c r="O58" s="43"/>
      <c r="P58" s="43"/>
      <c r="Q58" s="43"/>
      <c r="R58" s="43"/>
      <c r="S58" s="44"/>
      <c r="T58" s="44"/>
      <c r="U58" s="44"/>
      <c r="V58" s="44"/>
      <c r="W58" s="44"/>
      <c r="X58" s="43"/>
      <c r="Y58" s="43"/>
      <c r="Z58" s="43"/>
      <c r="AA58" s="43"/>
      <c r="AB58" s="43"/>
      <c r="AC58" s="104"/>
      <c r="AD58" s="104"/>
      <c r="AE58" s="104"/>
      <c r="AF58" s="104"/>
      <c r="AG58" s="104"/>
      <c r="AH58" s="44"/>
      <c r="AI58" s="44"/>
      <c r="AJ58" s="44"/>
      <c r="AK58" s="44"/>
      <c r="AL58" s="44"/>
      <c r="AM58" s="43"/>
      <c r="AN58" s="43"/>
      <c r="AO58" s="43"/>
      <c r="AP58" s="43"/>
      <c r="AQ58" s="43"/>
      <c r="AR58" s="44">
        <f t="shared" si="76"/>
        <v>0</v>
      </c>
      <c r="AS58" s="44"/>
      <c r="AT58" s="44"/>
      <c r="AU58" s="44"/>
      <c r="AV58" s="44"/>
      <c r="AW58" s="43"/>
      <c r="AX58" s="43"/>
      <c r="AY58" s="43"/>
      <c r="AZ58" s="43"/>
      <c r="BA58" s="43"/>
      <c r="BB58" s="45"/>
      <c r="BC58" s="227"/>
      <c r="BD58" s="45"/>
      <c r="BE58" s="45"/>
      <c r="BF58" s="45"/>
      <c r="BG58" s="46"/>
      <c r="BH58" s="46"/>
      <c r="BI58" s="46"/>
      <c r="BJ58" s="46"/>
      <c r="BK58" s="46"/>
      <c r="BL58" s="46"/>
      <c r="BM58" s="46"/>
      <c r="BN58" s="46"/>
      <c r="BO58" s="46"/>
      <c r="BP58" s="46"/>
      <c r="BQ58" s="44"/>
      <c r="BR58" s="44"/>
      <c r="BS58" s="44"/>
      <c r="BT58" s="44"/>
      <c r="BU58" s="44"/>
      <c r="BV58" s="44"/>
      <c r="BW58" s="44"/>
      <c r="BX58" s="44"/>
      <c r="BY58" s="44"/>
      <c r="BZ58" s="44"/>
      <c r="CA58" s="44"/>
      <c r="CB58" s="43"/>
      <c r="CC58" s="43"/>
      <c r="CD58" s="43"/>
      <c r="CE58" s="43"/>
      <c r="CF58" s="43"/>
      <c r="CG58" s="43"/>
      <c r="CH58" s="43"/>
      <c r="CI58" s="43"/>
      <c r="CJ58" s="43"/>
      <c r="CK58" s="43"/>
      <c r="CR58">
        <f t="shared" si="117"/>
        <v>48</v>
      </c>
      <c r="DB58" s="57"/>
      <c r="DC58" s="57"/>
      <c r="DD58" s="57"/>
      <c r="ES58" s="22"/>
    </row>
    <row r="59" spans="3:181" x14ac:dyDescent="0.25">
      <c r="C59" s="48">
        <v>53</v>
      </c>
      <c r="D59" s="42"/>
      <c r="E59" s="43"/>
      <c r="F59" s="43"/>
      <c r="G59" s="43"/>
      <c r="H59" s="43"/>
      <c r="I59" s="44"/>
      <c r="J59" s="44"/>
      <c r="K59" s="44"/>
      <c r="L59" s="44"/>
      <c r="M59" s="44"/>
      <c r="N59" s="42"/>
      <c r="O59" s="43"/>
      <c r="P59" s="43"/>
      <c r="Q59" s="43"/>
      <c r="R59" s="43"/>
      <c r="S59" s="44"/>
      <c r="T59" s="44"/>
      <c r="U59" s="44"/>
      <c r="V59" s="44"/>
      <c r="W59" s="44"/>
      <c r="X59" s="43"/>
      <c r="Y59" s="43"/>
      <c r="Z59" s="43"/>
      <c r="AA59" s="43"/>
      <c r="AB59" s="43"/>
      <c r="AC59" s="104"/>
      <c r="AD59" s="104"/>
      <c r="AE59" s="104"/>
      <c r="AF59" s="104"/>
      <c r="AG59" s="104"/>
      <c r="AH59" s="44"/>
      <c r="AI59" s="44"/>
      <c r="AJ59" s="44"/>
      <c r="AK59" s="44"/>
      <c r="AL59" s="44"/>
      <c r="AM59" s="43"/>
      <c r="AN59" s="43"/>
      <c r="AO59" s="43"/>
      <c r="AP59" s="43"/>
      <c r="AQ59" s="43"/>
      <c r="AR59" s="44">
        <f t="shared" si="76"/>
        <v>0</v>
      </c>
      <c r="AS59" s="44"/>
      <c r="AT59" s="44"/>
      <c r="AU59" s="44"/>
      <c r="AV59" s="44"/>
      <c r="AW59" s="43"/>
      <c r="AX59" s="43"/>
      <c r="AY59" s="43"/>
      <c r="AZ59" s="43"/>
      <c r="BA59" s="43"/>
      <c r="BB59" s="45"/>
      <c r="BC59" s="227"/>
      <c r="BD59" s="45"/>
      <c r="BE59" s="45"/>
      <c r="BF59" s="45"/>
      <c r="BG59" s="46"/>
      <c r="BH59" s="46"/>
      <c r="BI59" s="46"/>
      <c r="BJ59" s="46"/>
      <c r="BK59" s="46"/>
      <c r="BL59" s="46"/>
      <c r="BM59" s="46"/>
      <c r="BN59" s="46"/>
      <c r="BO59" s="46"/>
      <c r="BP59" s="46"/>
      <c r="BQ59" s="44"/>
      <c r="BR59" s="44"/>
      <c r="BS59" s="44"/>
      <c r="BT59" s="44"/>
      <c r="BU59" s="44"/>
      <c r="BV59" s="44"/>
      <c r="BW59" s="44"/>
      <c r="BX59" s="44"/>
      <c r="BY59" s="44"/>
      <c r="BZ59" s="44"/>
      <c r="CA59" s="44"/>
      <c r="CB59" s="43"/>
      <c r="CC59" s="43"/>
      <c r="CD59" s="43"/>
      <c r="CE59" s="43"/>
      <c r="CF59" s="43"/>
      <c r="CG59" s="43"/>
      <c r="CH59" s="43"/>
      <c r="CI59" s="43"/>
      <c r="CJ59" s="43"/>
      <c r="CK59" s="43"/>
      <c r="CR59">
        <f t="shared" si="117"/>
        <v>49</v>
      </c>
      <c r="DB59" s="57"/>
      <c r="DC59" s="57"/>
      <c r="DD59" s="57"/>
      <c r="ES59" s="22"/>
    </row>
    <row r="60" spans="3:181" x14ac:dyDescent="0.25">
      <c r="C60" s="48">
        <v>54</v>
      </c>
      <c r="D60" s="42"/>
      <c r="E60" s="43"/>
      <c r="F60" s="43"/>
      <c r="G60" s="43"/>
      <c r="H60" s="43"/>
      <c r="I60" s="44"/>
      <c r="J60" s="44"/>
      <c r="K60" s="44"/>
      <c r="L60" s="44"/>
      <c r="M60" s="44"/>
      <c r="N60" s="42"/>
      <c r="O60" s="43"/>
      <c r="P60" s="43"/>
      <c r="Q60" s="43"/>
      <c r="R60" s="43"/>
      <c r="S60" s="44"/>
      <c r="T60" s="44"/>
      <c r="U60" s="44"/>
      <c r="V60" s="44"/>
      <c r="W60" s="44"/>
      <c r="X60" s="43"/>
      <c r="Y60" s="43"/>
      <c r="Z60" s="43"/>
      <c r="AA60" s="43"/>
      <c r="AB60" s="43"/>
      <c r="AC60" s="104"/>
      <c r="AD60" s="104"/>
      <c r="AE60" s="104"/>
      <c r="AF60" s="104"/>
      <c r="AG60" s="104"/>
      <c r="AH60" s="44"/>
      <c r="AI60" s="44"/>
      <c r="AJ60" s="44"/>
      <c r="AK60" s="44"/>
      <c r="AL60" s="44"/>
      <c r="AM60" s="43"/>
      <c r="AN60" s="43"/>
      <c r="AO60" s="43"/>
      <c r="AP60" s="43"/>
      <c r="AQ60" s="43"/>
      <c r="AR60" s="44">
        <f t="shared" si="76"/>
        <v>0</v>
      </c>
      <c r="AS60" s="44"/>
      <c r="AT60" s="44"/>
      <c r="AU60" s="44"/>
      <c r="AV60" s="44"/>
      <c r="AW60" s="43"/>
      <c r="AX60" s="43"/>
      <c r="AY60" s="43"/>
      <c r="AZ60" s="43"/>
      <c r="BA60" s="43"/>
      <c r="BB60" s="45"/>
      <c r="BC60" s="227"/>
      <c r="BD60" s="45"/>
      <c r="BE60" s="45"/>
      <c r="BF60" s="45"/>
      <c r="BG60" s="46"/>
      <c r="BH60" s="46"/>
      <c r="BI60" s="46"/>
      <c r="BJ60" s="46"/>
      <c r="BK60" s="46"/>
      <c r="BL60" s="46"/>
      <c r="BM60" s="46"/>
      <c r="BN60" s="46"/>
      <c r="BO60" s="46"/>
      <c r="BP60" s="46"/>
      <c r="BQ60" s="44"/>
      <c r="BR60" s="44"/>
      <c r="BS60" s="44"/>
      <c r="BT60" s="44"/>
      <c r="BU60" s="44"/>
      <c r="BV60" s="44"/>
      <c r="BW60" s="44"/>
      <c r="BX60" s="44"/>
      <c r="BY60" s="44"/>
      <c r="BZ60" s="44"/>
      <c r="CA60" s="44"/>
      <c r="CB60" s="43"/>
      <c r="CC60" s="43"/>
      <c r="CD60" s="43"/>
      <c r="CE60" s="43"/>
      <c r="CF60" s="43"/>
      <c r="CG60" s="43"/>
      <c r="CH60" s="43"/>
      <c r="CI60" s="43"/>
      <c r="CJ60" s="43"/>
      <c r="CK60" s="43"/>
      <c r="CR60">
        <f t="shared" si="117"/>
        <v>50</v>
      </c>
      <c r="DB60" s="57"/>
      <c r="DC60" s="57"/>
      <c r="DD60" s="57"/>
      <c r="ES60" s="22"/>
    </row>
    <row r="61" spans="3:181" x14ac:dyDescent="0.25">
      <c r="C61" s="48">
        <v>55</v>
      </c>
      <c r="D61" s="42"/>
      <c r="E61" s="43"/>
      <c r="F61" s="43"/>
      <c r="G61" s="43"/>
      <c r="H61" s="43"/>
      <c r="I61" s="44"/>
      <c r="J61" s="44"/>
      <c r="K61" s="44"/>
      <c r="L61" s="44"/>
      <c r="M61" s="44"/>
      <c r="N61" s="42"/>
      <c r="O61" s="43"/>
      <c r="P61" s="43"/>
      <c r="Q61" s="43"/>
      <c r="R61" s="43"/>
      <c r="S61" s="44"/>
      <c r="T61" s="44"/>
      <c r="U61" s="44"/>
      <c r="V61" s="44"/>
      <c r="W61" s="44"/>
      <c r="X61" s="43"/>
      <c r="Y61" s="43"/>
      <c r="Z61" s="43"/>
      <c r="AA61" s="43"/>
      <c r="AB61" s="43"/>
      <c r="AC61" s="104"/>
      <c r="AD61" s="104"/>
      <c r="AE61" s="104"/>
      <c r="AF61" s="104"/>
      <c r="AG61" s="104"/>
      <c r="AH61" s="44"/>
      <c r="AI61" s="44"/>
      <c r="AJ61" s="44"/>
      <c r="AK61" s="44"/>
      <c r="AL61" s="44"/>
      <c r="AM61" s="43"/>
      <c r="AN61" s="43"/>
      <c r="AO61" s="43"/>
      <c r="AP61" s="43"/>
      <c r="AQ61" s="43"/>
      <c r="AR61" s="44">
        <f t="shared" si="76"/>
        <v>0</v>
      </c>
      <c r="AS61" s="44"/>
      <c r="AT61" s="44"/>
      <c r="AU61" s="44"/>
      <c r="AV61" s="44"/>
      <c r="AW61" s="43"/>
      <c r="AX61" s="43"/>
      <c r="AY61" s="43"/>
      <c r="AZ61" s="43"/>
      <c r="BA61" s="43"/>
      <c r="BB61" s="45"/>
      <c r="BC61" s="227"/>
      <c r="BD61" s="45"/>
      <c r="BE61" s="45"/>
      <c r="BF61" s="45"/>
      <c r="BG61" s="46"/>
      <c r="BH61" s="46"/>
      <c r="BI61" s="46"/>
      <c r="BJ61" s="46"/>
      <c r="BK61" s="46"/>
      <c r="BL61" s="46"/>
      <c r="BM61" s="46"/>
      <c r="BN61" s="46"/>
      <c r="BO61" s="46"/>
      <c r="BP61" s="46"/>
      <c r="BQ61" s="44"/>
      <c r="BR61" s="44"/>
      <c r="BS61" s="44"/>
      <c r="BT61" s="44"/>
      <c r="BU61" s="44"/>
      <c r="BV61" s="44"/>
      <c r="BW61" s="44"/>
      <c r="BX61" s="44"/>
      <c r="BY61" s="44"/>
      <c r="BZ61" s="44"/>
      <c r="CA61" s="44"/>
      <c r="CB61" s="43"/>
      <c r="CC61" s="43"/>
      <c r="CD61" s="43"/>
      <c r="CE61" s="43"/>
      <c r="CF61" s="43"/>
      <c r="CG61" s="43"/>
      <c r="CH61" s="43"/>
      <c r="CI61" s="43"/>
      <c r="CJ61" s="43"/>
      <c r="CK61" s="43"/>
      <c r="CR61"/>
      <c r="DB61" s="57"/>
      <c r="DC61" s="57"/>
      <c r="DD61" s="57"/>
      <c r="ES61" s="22"/>
    </row>
    <row r="62" spans="3:181" x14ac:dyDescent="0.25">
      <c r="C62" s="48">
        <v>56</v>
      </c>
      <c r="D62" s="42"/>
      <c r="E62" s="43"/>
      <c r="F62" s="43"/>
      <c r="G62" s="43"/>
      <c r="H62" s="43"/>
      <c r="I62" s="44"/>
      <c r="J62" s="44"/>
      <c r="K62" s="44"/>
      <c r="L62" s="44"/>
      <c r="M62" s="44"/>
      <c r="N62" s="42"/>
      <c r="O62" s="43"/>
      <c r="P62" s="43"/>
      <c r="Q62" s="43"/>
      <c r="R62" s="43"/>
      <c r="S62" s="44"/>
      <c r="T62" s="44"/>
      <c r="U62" s="44"/>
      <c r="V62" s="44"/>
      <c r="W62" s="44"/>
      <c r="X62" s="43"/>
      <c r="Y62" s="43"/>
      <c r="Z62" s="43"/>
      <c r="AA62" s="43"/>
      <c r="AB62" s="43"/>
      <c r="AC62" s="104"/>
      <c r="AD62" s="104"/>
      <c r="AE62" s="104"/>
      <c r="AF62" s="104"/>
      <c r="AG62" s="104"/>
      <c r="AH62" s="44"/>
      <c r="AI62" s="44"/>
      <c r="AJ62" s="44"/>
      <c r="AK62" s="44"/>
      <c r="AL62" s="44"/>
      <c r="AM62" s="43"/>
      <c r="AN62" s="43"/>
      <c r="AO62" s="43"/>
      <c r="AP62" s="43"/>
      <c r="AQ62" s="43"/>
      <c r="AR62" s="44">
        <f t="shared" si="76"/>
        <v>0</v>
      </c>
      <c r="AS62" s="44"/>
      <c r="AT62" s="44"/>
      <c r="AU62" s="44"/>
      <c r="AV62" s="44"/>
      <c r="AW62" s="43"/>
      <c r="AX62" s="43"/>
      <c r="AY62" s="43"/>
      <c r="AZ62" s="43"/>
      <c r="BA62" s="43"/>
      <c r="BB62" s="45"/>
      <c r="BC62" s="227"/>
      <c r="BD62" s="45"/>
      <c r="BE62" s="45"/>
      <c r="BF62" s="45"/>
      <c r="BG62" s="46"/>
      <c r="BH62" s="46"/>
      <c r="BI62" s="46"/>
      <c r="BJ62" s="46"/>
      <c r="BK62" s="46"/>
      <c r="BL62" s="46"/>
      <c r="BM62" s="46"/>
      <c r="BN62" s="46"/>
      <c r="BO62" s="46"/>
      <c r="BP62" s="46"/>
      <c r="BQ62" s="44"/>
      <c r="BR62" s="44"/>
      <c r="BS62" s="44"/>
      <c r="BT62" s="44"/>
      <c r="BU62" s="44"/>
      <c r="BV62" s="44"/>
      <c r="BW62" s="44"/>
      <c r="BX62" s="44"/>
      <c r="BY62" s="44"/>
      <c r="BZ62" s="44"/>
      <c r="CA62" s="44"/>
      <c r="CB62" s="43"/>
      <c r="CC62" s="43"/>
      <c r="CD62" s="43"/>
      <c r="CE62" s="43"/>
      <c r="CF62" s="43"/>
      <c r="CG62" s="43"/>
      <c r="CH62" s="43"/>
      <c r="CI62" s="43"/>
      <c r="CJ62" s="43"/>
      <c r="CK62" s="43"/>
      <c r="CR62"/>
      <c r="DB62" s="57"/>
      <c r="DC62" s="57"/>
      <c r="DD62" s="57"/>
      <c r="ES62" s="22"/>
    </row>
    <row r="63" spans="3:181" x14ac:dyDescent="0.25">
      <c r="C63" s="48">
        <v>57</v>
      </c>
      <c r="D63" s="42"/>
      <c r="E63" s="43"/>
      <c r="F63" s="43"/>
      <c r="G63" s="43"/>
      <c r="H63" s="43"/>
      <c r="I63" s="44"/>
      <c r="J63" s="44"/>
      <c r="K63" s="44"/>
      <c r="L63" s="44"/>
      <c r="M63" s="44"/>
      <c r="N63" s="42"/>
      <c r="O63" s="43"/>
      <c r="P63" s="43"/>
      <c r="Q63" s="43"/>
      <c r="R63" s="43"/>
      <c r="S63" s="44"/>
      <c r="T63" s="44"/>
      <c r="U63" s="44"/>
      <c r="V63" s="44"/>
      <c r="W63" s="44"/>
      <c r="X63" s="43"/>
      <c r="Y63" s="43"/>
      <c r="Z63" s="43"/>
      <c r="AA63" s="43"/>
      <c r="AB63" s="43"/>
      <c r="AC63" s="104"/>
      <c r="AD63" s="104"/>
      <c r="AE63" s="104"/>
      <c r="AF63" s="104"/>
      <c r="AG63" s="104"/>
      <c r="AH63" s="44"/>
      <c r="AI63" s="44"/>
      <c r="AJ63" s="44"/>
      <c r="AK63" s="44"/>
      <c r="AL63" s="44"/>
      <c r="AM63" s="43"/>
      <c r="AN63" s="43"/>
      <c r="AO63" s="43"/>
      <c r="AP63" s="43"/>
      <c r="AQ63" s="43"/>
      <c r="AR63" s="44">
        <f t="shared" si="76"/>
        <v>0</v>
      </c>
      <c r="AS63" s="44"/>
      <c r="AT63" s="44"/>
      <c r="AU63" s="44"/>
      <c r="AV63" s="44"/>
      <c r="AW63" s="43"/>
      <c r="AX63" s="43"/>
      <c r="AY63" s="43"/>
      <c r="AZ63" s="43"/>
      <c r="BA63" s="43"/>
      <c r="BB63" s="45"/>
      <c r="BC63" s="227"/>
      <c r="BD63" s="45"/>
      <c r="BE63" s="45"/>
      <c r="BF63" s="45"/>
      <c r="BG63" s="46"/>
      <c r="BH63" s="46"/>
      <c r="BI63" s="46"/>
      <c r="BJ63" s="46"/>
      <c r="BK63" s="46"/>
      <c r="BL63" s="46"/>
      <c r="BM63" s="46"/>
      <c r="BN63" s="46"/>
      <c r="BO63" s="46"/>
      <c r="BP63" s="46"/>
      <c r="BQ63" s="44"/>
      <c r="BR63" s="44"/>
      <c r="BS63" s="44"/>
      <c r="BT63" s="44"/>
      <c r="BU63" s="44"/>
      <c r="BV63" s="44"/>
      <c r="BW63" s="44"/>
      <c r="BX63" s="44"/>
      <c r="BY63" s="44"/>
      <c r="BZ63" s="44"/>
      <c r="CA63" s="44"/>
      <c r="CB63" s="43"/>
      <c r="CC63" s="43"/>
      <c r="CD63" s="43"/>
      <c r="CE63" s="43"/>
      <c r="CF63" s="43"/>
      <c r="CG63" s="43"/>
      <c r="CH63" s="43"/>
      <c r="CI63" s="43"/>
      <c r="CJ63" s="43"/>
      <c r="CK63" s="43"/>
      <c r="DB63" s="57"/>
      <c r="DC63" s="57"/>
      <c r="DD63" s="57"/>
      <c r="ES63" s="22"/>
    </row>
    <row r="64" spans="3:181" x14ac:dyDescent="0.25">
      <c r="C64" s="48">
        <v>58</v>
      </c>
      <c r="D64" s="42"/>
      <c r="E64" s="43"/>
      <c r="F64" s="43"/>
      <c r="G64" s="43"/>
      <c r="H64" s="43"/>
      <c r="I64" s="44"/>
      <c r="J64" s="44"/>
      <c r="K64" s="44"/>
      <c r="L64" s="44"/>
      <c r="M64" s="44"/>
      <c r="N64" s="42"/>
      <c r="O64" s="43"/>
      <c r="P64" s="43"/>
      <c r="Q64" s="43"/>
      <c r="R64" s="43"/>
      <c r="S64" s="44"/>
      <c r="T64" s="44"/>
      <c r="U64" s="44"/>
      <c r="V64" s="44"/>
      <c r="W64" s="44"/>
      <c r="X64" s="43"/>
      <c r="Y64" s="43"/>
      <c r="Z64" s="43"/>
      <c r="AA64" s="43"/>
      <c r="AB64" s="43"/>
      <c r="AC64" s="104"/>
      <c r="AD64" s="104"/>
      <c r="AE64" s="104"/>
      <c r="AF64" s="104"/>
      <c r="AG64" s="104"/>
      <c r="AH64" s="44"/>
      <c r="AI64" s="44"/>
      <c r="AJ64" s="44"/>
      <c r="AK64" s="44"/>
      <c r="AL64" s="44"/>
      <c r="AM64" s="43"/>
      <c r="AN64" s="43"/>
      <c r="AO64" s="43"/>
      <c r="AP64" s="43"/>
      <c r="AQ64" s="43"/>
      <c r="AR64" s="44">
        <f t="shared" si="76"/>
        <v>0</v>
      </c>
      <c r="AS64" s="44"/>
      <c r="AT64" s="44"/>
      <c r="AU64" s="44"/>
      <c r="AV64" s="44"/>
      <c r="AW64" s="43"/>
      <c r="AX64" s="43"/>
      <c r="AY64" s="43"/>
      <c r="AZ64" s="43"/>
      <c r="BA64" s="43"/>
      <c r="BB64" s="45"/>
      <c r="BC64" s="227"/>
      <c r="BD64" s="45"/>
      <c r="BE64" s="45"/>
      <c r="BF64" s="45"/>
      <c r="BG64" s="46"/>
      <c r="BH64" s="46"/>
      <c r="BI64" s="46"/>
      <c r="BJ64" s="46"/>
      <c r="BK64" s="46"/>
      <c r="BL64" s="46"/>
      <c r="BM64" s="46"/>
      <c r="BN64" s="46"/>
      <c r="BO64" s="46"/>
      <c r="BP64" s="46"/>
      <c r="BQ64" s="44"/>
      <c r="BR64" s="44"/>
      <c r="BS64" s="44"/>
      <c r="BT64" s="44"/>
      <c r="BU64" s="44"/>
      <c r="BV64" s="44"/>
      <c r="BW64" s="44"/>
      <c r="BX64" s="44"/>
      <c r="BY64" s="44"/>
      <c r="BZ64" s="44"/>
      <c r="CA64" s="44"/>
      <c r="CB64" s="43"/>
      <c r="CC64" s="43"/>
      <c r="CD64" s="43"/>
      <c r="CE64" s="43"/>
      <c r="CF64" s="43"/>
      <c r="CG64" s="43"/>
      <c r="CH64" s="43"/>
      <c r="CI64" s="43"/>
      <c r="CJ64" s="43"/>
      <c r="CK64" s="43"/>
      <c r="DB64" s="57"/>
      <c r="DC64" s="57"/>
      <c r="DD64" s="57"/>
      <c r="ES64" s="22"/>
    </row>
    <row r="65" spans="3:149" x14ac:dyDescent="0.25">
      <c r="C65" s="48">
        <v>59</v>
      </c>
      <c r="D65" s="42"/>
      <c r="E65" s="43"/>
      <c r="F65" s="43"/>
      <c r="G65" s="43"/>
      <c r="H65" s="43"/>
      <c r="I65" s="44"/>
      <c r="J65" s="44"/>
      <c r="K65" s="44"/>
      <c r="L65" s="44"/>
      <c r="M65" s="44"/>
      <c r="N65" s="42"/>
      <c r="O65" s="43"/>
      <c r="P65" s="43"/>
      <c r="Q65" s="43"/>
      <c r="R65" s="43"/>
      <c r="S65" s="44"/>
      <c r="T65" s="44"/>
      <c r="U65" s="44"/>
      <c r="V65" s="44"/>
      <c r="W65" s="44"/>
      <c r="X65" s="43"/>
      <c r="Y65" s="43"/>
      <c r="Z65" s="43"/>
      <c r="AA65" s="43"/>
      <c r="AB65" s="43"/>
      <c r="AC65" s="104"/>
      <c r="AD65" s="104"/>
      <c r="AE65" s="104"/>
      <c r="AF65" s="104"/>
      <c r="AG65" s="104"/>
      <c r="AH65" s="44"/>
      <c r="AI65" s="44"/>
      <c r="AJ65" s="44"/>
      <c r="AK65" s="44"/>
      <c r="AL65" s="44"/>
      <c r="AM65" s="43"/>
      <c r="AN65" s="43"/>
      <c r="AO65" s="43"/>
      <c r="AP65" s="43"/>
      <c r="AQ65" s="43"/>
      <c r="AR65" s="44">
        <f t="shared" si="76"/>
        <v>0</v>
      </c>
      <c r="AS65" s="44"/>
      <c r="AT65" s="44"/>
      <c r="AU65" s="44"/>
      <c r="AV65" s="44"/>
      <c r="AW65" s="43"/>
      <c r="AX65" s="43"/>
      <c r="AY65" s="43"/>
      <c r="AZ65" s="43"/>
      <c r="BA65" s="43"/>
      <c r="BB65" s="45"/>
      <c r="BC65" s="227"/>
      <c r="BD65" s="45"/>
      <c r="BE65" s="45"/>
      <c r="BF65" s="45"/>
      <c r="BG65" s="46"/>
      <c r="BH65" s="46"/>
      <c r="BI65" s="46"/>
      <c r="BJ65" s="46"/>
      <c r="BK65" s="46"/>
      <c r="BL65" s="46"/>
      <c r="BM65" s="46"/>
      <c r="BN65" s="46"/>
      <c r="BO65" s="46"/>
      <c r="BP65" s="46"/>
      <c r="BQ65" s="44"/>
      <c r="BR65" s="44"/>
      <c r="BS65" s="44"/>
      <c r="BT65" s="44"/>
      <c r="BU65" s="44"/>
      <c r="BV65" s="44"/>
      <c r="BW65" s="44"/>
      <c r="BX65" s="44"/>
      <c r="BY65" s="44"/>
      <c r="BZ65" s="44"/>
      <c r="CA65" s="44"/>
      <c r="CB65" s="43"/>
      <c r="CC65" s="43"/>
      <c r="CD65" s="43"/>
      <c r="CE65" s="43"/>
      <c r="CF65" s="43"/>
      <c r="CG65" s="43"/>
      <c r="CH65" s="43"/>
      <c r="CI65" s="43"/>
      <c r="CJ65" s="43"/>
      <c r="CK65" s="43"/>
      <c r="DB65" s="57"/>
      <c r="DC65" s="57"/>
      <c r="DD65" s="57"/>
      <c r="ES65" s="22"/>
    </row>
    <row r="66" spans="3:149" x14ac:dyDescent="0.25">
      <c r="C66" s="48">
        <v>60</v>
      </c>
      <c r="D66" s="42"/>
      <c r="E66" s="43"/>
      <c r="F66" s="43"/>
      <c r="G66" s="43"/>
      <c r="H66" s="43"/>
      <c r="I66" s="44"/>
      <c r="J66" s="44"/>
      <c r="K66" s="44"/>
      <c r="L66" s="44"/>
      <c r="M66" s="44"/>
      <c r="N66" s="42"/>
      <c r="O66" s="43"/>
      <c r="P66" s="43"/>
      <c r="Q66" s="43"/>
      <c r="R66" s="43"/>
      <c r="S66" s="44"/>
      <c r="T66" s="44"/>
      <c r="U66" s="44"/>
      <c r="V66" s="44"/>
      <c r="W66" s="44"/>
      <c r="X66" s="43"/>
      <c r="Y66" s="43"/>
      <c r="Z66" s="43"/>
      <c r="AA66" s="43"/>
      <c r="AB66" s="43"/>
      <c r="AC66" s="104"/>
      <c r="AD66" s="104"/>
      <c r="AE66" s="104"/>
      <c r="AF66" s="104"/>
      <c r="AG66" s="104"/>
      <c r="AH66" s="44"/>
      <c r="AI66" s="44"/>
      <c r="AJ66" s="44"/>
      <c r="AK66" s="44"/>
      <c r="AL66" s="44"/>
      <c r="AM66" s="43"/>
      <c r="AN66" s="43"/>
      <c r="AO66" s="43"/>
      <c r="AP66" s="43"/>
      <c r="AQ66" s="43"/>
      <c r="AR66" s="44">
        <f t="shared" si="76"/>
        <v>0</v>
      </c>
      <c r="AS66" s="44"/>
      <c r="AT66" s="44"/>
      <c r="AU66" s="44"/>
      <c r="AV66" s="44"/>
      <c r="AW66" s="43"/>
      <c r="AX66" s="43"/>
      <c r="AY66" s="43"/>
      <c r="AZ66" s="43"/>
      <c r="BA66" s="43"/>
      <c r="BB66" s="45"/>
      <c r="BC66" s="227"/>
      <c r="BD66" s="45"/>
      <c r="BE66" s="45"/>
      <c r="BF66" s="45"/>
      <c r="BG66" s="46"/>
      <c r="BH66" s="46"/>
      <c r="BI66" s="46"/>
      <c r="BJ66" s="46"/>
      <c r="BK66" s="46"/>
      <c r="BL66" s="46"/>
      <c r="BM66" s="46"/>
      <c r="BN66" s="46"/>
      <c r="BO66" s="46"/>
      <c r="BP66" s="46"/>
      <c r="BQ66" s="44"/>
      <c r="BR66" s="44"/>
      <c r="BS66" s="44"/>
      <c r="BT66" s="44"/>
      <c r="BU66" s="44"/>
      <c r="BV66" s="44"/>
      <c r="BW66" s="44"/>
      <c r="BX66" s="44"/>
      <c r="BY66" s="44"/>
      <c r="BZ66" s="44"/>
      <c r="CA66" s="44"/>
      <c r="CB66" s="43"/>
      <c r="CC66" s="43"/>
      <c r="CD66" s="43"/>
      <c r="CE66" s="43"/>
      <c r="CF66" s="43"/>
      <c r="CG66" s="43"/>
      <c r="CH66" s="43"/>
      <c r="CI66" s="43"/>
      <c r="CJ66" s="43"/>
      <c r="CK66" s="43"/>
      <c r="DB66" s="57"/>
      <c r="DC66" s="57"/>
      <c r="DD66" s="57"/>
      <c r="ES66" s="22"/>
    </row>
    <row r="67" spans="3:149" x14ac:dyDescent="0.25">
      <c r="C67" s="48">
        <v>61</v>
      </c>
      <c r="D67" s="42"/>
      <c r="E67" s="43"/>
      <c r="F67" s="43"/>
      <c r="G67" s="43"/>
      <c r="H67" s="43"/>
      <c r="I67" s="44"/>
      <c r="J67" s="44"/>
      <c r="K67" s="44"/>
      <c r="L67" s="44"/>
      <c r="M67" s="44"/>
      <c r="N67" s="42"/>
      <c r="O67" s="43"/>
      <c r="P67" s="43"/>
      <c r="Q67" s="43"/>
      <c r="R67" s="43"/>
      <c r="S67" s="44"/>
      <c r="T67" s="44"/>
      <c r="U67" s="44"/>
      <c r="V67" s="44"/>
      <c r="W67" s="44"/>
      <c r="X67" s="43"/>
      <c r="Y67" s="43"/>
      <c r="Z67" s="43"/>
      <c r="AA67" s="43"/>
      <c r="AB67" s="43"/>
      <c r="AC67" s="104"/>
      <c r="AD67" s="104"/>
      <c r="AE67" s="104"/>
      <c r="AF67" s="104"/>
      <c r="AG67" s="104"/>
      <c r="AH67" s="44"/>
      <c r="AI67" s="44"/>
      <c r="AJ67" s="44"/>
      <c r="AK67" s="44"/>
      <c r="AL67" s="44"/>
      <c r="AM67" s="43"/>
      <c r="AN67" s="43"/>
      <c r="AO67" s="43"/>
      <c r="AP67" s="43"/>
      <c r="AQ67" s="43"/>
      <c r="AR67" s="44">
        <f t="shared" si="76"/>
        <v>0</v>
      </c>
      <c r="AS67" s="44"/>
      <c r="AT67" s="44"/>
      <c r="AU67" s="44"/>
      <c r="AV67" s="44"/>
      <c r="AW67" s="43"/>
      <c r="AX67" s="43"/>
      <c r="AY67" s="43"/>
      <c r="AZ67" s="43"/>
      <c r="BA67" s="43"/>
      <c r="BB67" s="45"/>
      <c r="BC67" s="227"/>
      <c r="BD67" s="45"/>
      <c r="BE67" s="45"/>
      <c r="BF67" s="45"/>
      <c r="BG67" s="46"/>
      <c r="BH67" s="46"/>
      <c r="BI67" s="46"/>
      <c r="BJ67" s="46"/>
      <c r="BK67" s="46"/>
      <c r="BL67" s="46"/>
      <c r="BM67" s="46"/>
      <c r="BN67" s="46"/>
      <c r="BO67" s="46"/>
      <c r="BP67" s="46"/>
      <c r="BQ67" s="44"/>
      <c r="BR67" s="44"/>
      <c r="BS67" s="44"/>
      <c r="BT67" s="44"/>
      <c r="BU67" s="44"/>
      <c r="BV67" s="44"/>
      <c r="BW67" s="44"/>
      <c r="BX67" s="44"/>
      <c r="BY67" s="44"/>
      <c r="BZ67" s="44"/>
      <c r="CA67" s="44"/>
      <c r="CB67" s="43"/>
      <c r="CC67" s="43"/>
      <c r="CD67" s="43"/>
      <c r="CE67" s="43"/>
      <c r="CF67" s="43"/>
      <c r="CG67" s="43"/>
      <c r="CH67" s="43"/>
      <c r="CI67" s="43"/>
      <c r="CJ67" s="43"/>
      <c r="CK67" s="43"/>
      <c r="DB67" s="57"/>
      <c r="DC67" s="57"/>
      <c r="DD67" s="57"/>
      <c r="ES67" s="22"/>
    </row>
    <row r="68" spans="3:149" x14ac:dyDescent="0.25">
      <c r="C68" s="48">
        <v>62</v>
      </c>
      <c r="D68" s="42"/>
      <c r="E68" s="43"/>
      <c r="F68" s="43"/>
      <c r="G68" s="43"/>
      <c r="H68" s="43"/>
      <c r="I68" s="44"/>
      <c r="J68" s="44"/>
      <c r="K68" s="44"/>
      <c r="L68" s="44"/>
      <c r="M68" s="44"/>
      <c r="N68" s="42"/>
      <c r="O68" s="43"/>
      <c r="P68" s="43"/>
      <c r="Q68" s="43"/>
      <c r="R68" s="43"/>
      <c r="S68" s="44"/>
      <c r="T68" s="44"/>
      <c r="U68" s="44"/>
      <c r="V68" s="44"/>
      <c r="W68" s="44"/>
      <c r="X68" s="43"/>
      <c r="Y68" s="43"/>
      <c r="Z68" s="43"/>
      <c r="AA68" s="43"/>
      <c r="AB68" s="43"/>
      <c r="AC68" s="104"/>
      <c r="AD68" s="104"/>
      <c r="AE68" s="104"/>
      <c r="AF68" s="104"/>
      <c r="AG68" s="104"/>
      <c r="AH68" s="44"/>
      <c r="AI68" s="44"/>
      <c r="AJ68" s="44"/>
      <c r="AK68" s="44"/>
      <c r="AL68" s="44"/>
      <c r="AM68" s="43"/>
      <c r="AN68" s="43"/>
      <c r="AO68" s="43"/>
      <c r="AP68" s="43"/>
      <c r="AQ68" s="43"/>
      <c r="AR68" s="44">
        <f t="shared" si="76"/>
        <v>0</v>
      </c>
      <c r="AS68" s="44"/>
      <c r="AT68" s="44"/>
      <c r="AU68" s="44"/>
      <c r="AV68" s="44"/>
      <c r="AW68" s="43"/>
      <c r="AX68" s="43"/>
      <c r="AY68" s="43"/>
      <c r="AZ68" s="43"/>
      <c r="BA68" s="43"/>
      <c r="BB68" s="45"/>
      <c r="BC68" s="227"/>
      <c r="BD68" s="45"/>
      <c r="BE68" s="45"/>
      <c r="BF68" s="45"/>
      <c r="BG68" s="46"/>
      <c r="BH68" s="46"/>
      <c r="BI68" s="46"/>
      <c r="BJ68" s="46"/>
      <c r="BK68" s="46"/>
      <c r="BL68" s="46"/>
      <c r="BM68" s="46"/>
      <c r="BN68" s="46"/>
      <c r="BO68" s="46"/>
      <c r="BP68" s="46"/>
      <c r="BQ68" s="44"/>
      <c r="BR68" s="44"/>
      <c r="BS68" s="44"/>
      <c r="BT68" s="44"/>
      <c r="BU68" s="44"/>
      <c r="BV68" s="44"/>
      <c r="BW68" s="44"/>
      <c r="BX68" s="44"/>
      <c r="BY68" s="44"/>
      <c r="BZ68" s="44"/>
      <c r="CA68" s="44"/>
      <c r="CB68" s="43"/>
      <c r="CC68" s="43"/>
      <c r="CD68" s="43"/>
      <c r="CE68" s="43"/>
      <c r="CF68" s="43"/>
      <c r="CG68" s="43"/>
      <c r="CH68" s="43"/>
      <c r="CI68" s="43"/>
      <c r="CJ68" s="43"/>
      <c r="CK68" s="43"/>
      <c r="DB68" s="57"/>
      <c r="DC68" s="57"/>
      <c r="DD68" s="57"/>
      <c r="ES68" s="22"/>
    </row>
    <row r="69" spans="3:149" x14ac:dyDescent="0.25">
      <c r="C69" s="48">
        <v>63</v>
      </c>
      <c r="D69" s="42"/>
      <c r="E69" s="43"/>
      <c r="F69" s="43"/>
      <c r="G69" s="43"/>
      <c r="H69" s="43"/>
      <c r="I69" s="44"/>
      <c r="J69" s="44"/>
      <c r="K69" s="44"/>
      <c r="L69" s="44"/>
      <c r="M69" s="44"/>
      <c r="N69" s="42"/>
      <c r="O69" s="43"/>
      <c r="P69" s="43"/>
      <c r="Q69" s="43"/>
      <c r="R69" s="43"/>
      <c r="S69" s="44"/>
      <c r="T69" s="44"/>
      <c r="U69" s="44"/>
      <c r="V69" s="44"/>
      <c r="W69" s="44"/>
      <c r="X69" s="43"/>
      <c r="Y69" s="43"/>
      <c r="Z69" s="43"/>
      <c r="AA69" s="43"/>
      <c r="AB69" s="43"/>
      <c r="AC69" s="104"/>
      <c r="AD69" s="104"/>
      <c r="AE69" s="104"/>
      <c r="AF69" s="104"/>
      <c r="AG69" s="104"/>
      <c r="AH69" s="44"/>
      <c r="AI69" s="44"/>
      <c r="AJ69" s="44"/>
      <c r="AK69" s="44"/>
      <c r="AL69" s="44"/>
      <c r="AM69" s="43"/>
      <c r="AN69" s="43"/>
      <c r="AO69" s="43"/>
      <c r="AP69" s="43"/>
      <c r="AQ69" s="43"/>
      <c r="AR69" s="44">
        <f t="shared" si="76"/>
        <v>0</v>
      </c>
      <c r="AS69" s="44"/>
      <c r="AT69" s="44"/>
      <c r="AU69" s="44"/>
      <c r="AV69" s="44"/>
      <c r="AW69" s="43"/>
      <c r="AX69" s="43"/>
      <c r="AY69" s="43"/>
      <c r="AZ69" s="43"/>
      <c r="BA69" s="43"/>
      <c r="BB69" s="45"/>
      <c r="BC69" s="227"/>
      <c r="BD69" s="45"/>
      <c r="BE69" s="45"/>
      <c r="BF69" s="45"/>
      <c r="BG69" s="46"/>
      <c r="BH69" s="46"/>
      <c r="BI69" s="46"/>
      <c r="BJ69" s="46"/>
      <c r="BK69" s="46"/>
      <c r="BL69" s="46"/>
      <c r="BM69" s="46"/>
      <c r="BN69" s="46"/>
      <c r="BO69" s="46"/>
      <c r="BP69" s="46"/>
      <c r="BQ69" s="44"/>
      <c r="BR69" s="44"/>
      <c r="BS69" s="44"/>
      <c r="BT69" s="44"/>
      <c r="BU69" s="44"/>
      <c r="BV69" s="44"/>
      <c r="BW69" s="44"/>
      <c r="BX69" s="44"/>
      <c r="BY69" s="44"/>
      <c r="BZ69" s="44"/>
      <c r="CA69" s="44"/>
      <c r="CB69" s="43"/>
      <c r="CC69" s="43"/>
      <c r="CD69" s="43"/>
      <c r="CE69" s="43"/>
      <c r="CF69" s="43"/>
      <c r="CG69" s="43"/>
      <c r="CH69" s="43"/>
      <c r="CI69" s="43"/>
      <c r="CJ69" s="43"/>
      <c r="CK69" s="43"/>
      <c r="DB69" s="57"/>
      <c r="DC69" s="57"/>
      <c r="DD69" s="57"/>
      <c r="ES69" s="22"/>
    </row>
    <row r="70" spans="3:149" x14ac:dyDescent="0.25">
      <c r="C70" s="48">
        <v>64</v>
      </c>
      <c r="D70" s="42"/>
      <c r="E70" s="43"/>
      <c r="F70" s="43"/>
      <c r="G70" s="43"/>
      <c r="H70" s="43"/>
      <c r="I70" s="44"/>
      <c r="J70" s="44"/>
      <c r="K70" s="44"/>
      <c r="L70" s="44"/>
      <c r="M70" s="44"/>
      <c r="N70" s="42"/>
      <c r="O70" s="43"/>
      <c r="P70" s="43"/>
      <c r="Q70" s="43"/>
      <c r="R70" s="43"/>
      <c r="S70" s="44"/>
      <c r="T70" s="44"/>
      <c r="U70" s="44"/>
      <c r="V70" s="44"/>
      <c r="W70" s="44"/>
      <c r="X70" s="43"/>
      <c r="Y70" s="43"/>
      <c r="Z70" s="43"/>
      <c r="AA70" s="43"/>
      <c r="AB70" s="43"/>
      <c r="AC70" s="104"/>
      <c r="AD70" s="104"/>
      <c r="AE70" s="104"/>
      <c r="AF70" s="104"/>
      <c r="AG70" s="104"/>
      <c r="AH70" s="44"/>
      <c r="AI70" s="44"/>
      <c r="AJ70" s="44"/>
      <c r="AK70" s="44"/>
      <c r="AL70" s="44"/>
      <c r="AM70" s="43"/>
      <c r="AN70" s="43"/>
      <c r="AO70" s="43"/>
      <c r="AP70" s="43"/>
      <c r="AQ70" s="43"/>
      <c r="AR70" s="44">
        <f t="shared" si="76"/>
        <v>0</v>
      </c>
      <c r="AS70" s="44"/>
      <c r="AT70" s="44"/>
      <c r="AU70" s="44"/>
      <c r="AV70" s="44"/>
      <c r="AW70" s="43"/>
      <c r="AX70" s="43"/>
      <c r="AY70" s="43"/>
      <c r="AZ70" s="43"/>
      <c r="BA70" s="43"/>
      <c r="BB70" s="45"/>
      <c r="BC70" s="227"/>
      <c r="BD70" s="45"/>
      <c r="BE70" s="45"/>
      <c r="BF70" s="45"/>
      <c r="BG70" s="46"/>
      <c r="BH70" s="46"/>
      <c r="BI70" s="46"/>
      <c r="BJ70" s="46"/>
      <c r="BK70" s="46"/>
      <c r="BL70" s="46"/>
      <c r="BM70" s="46"/>
      <c r="BN70" s="46"/>
      <c r="BO70" s="46"/>
      <c r="BP70" s="46"/>
      <c r="BQ70" s="44"/>
      <c r="BR70" s="44"/>
      <c r="BS70" s="44"/>
      <c r="BT70" s="44"/>
      <c r="BU70" s="44"/>
      <c r="BV70" s="44"/>
      <c r="BW70" s="44"/>
      <c r="BX70" s="44"/>
      <c r="BY70" s="44"/>
      <c r="BZ70" s="44"/>
      <c r="CA70" s="44"/>
      <c r="CB70" s="43"/>
      <c r="CC70" s="43"/>
      <c r="CD70" s="43"/>
      <c r="CE70" s="43"/>
      <c r="CF70" s="43"/>
      <c r="CG70" s="43"/>
      <c r="CH70" s="43"/>
      <c r="CI70" s="43"/>
      <c r="CJ70" s="43"/>
      <c r="CK70" s="43"/>
      <c r="DB70" s="57"/>
      <c r="DC70" s="57"/>
      <c r="DD70" s="57"/>
      <c r="ES70" s="22"/>
    </row>
    <row r="71" spans="3:149" x14ac:dyDescent="0.25">
      <c r="C71" s="48">
        <v>65</v>
      </c>
      <c r="D71" s="42"/>
      <c r="E71" s="43"/>
      <c r="F71" s="43"/>
      <c r="G71" s="43"/>
      <c r="H71" s="43"/>
      <c r="I71" s="44"/>
      <c r="J71" s="44"/>
      <c r="K71" s="44"/>
      <c r="L71" s="44"/>
      <c r="M71" s="44"/>
      <c r="N71" s="42"/>
      <c r="O71" s="43"/>
      <c r="P71" s="43"/>
      <c r="Q71" s="43"/>
      <c r="R71" s="43"/>
      <c r="S71" s="44"/>
      <c r="T71" s="44"/>
      <c r="U71" s="44"/>
      <c r="V71" s="44"/>
      <c r="W71" s="44"/>
      <c r="X71" s="43"/>
      <c r="Y71" s="43"/>
      <c r="Z71" s="43"/>
      <c r="AA71" s="43"/>
      <c r="AB71" s="43"/>
      <c r="AC71" s="104"/>
      <c r="AD71" s="104"/>
      <c r="AE71" s="104"/>
      <c r="AF71" s="104"/>
      <c r="AG71" s="104"/>
      <c r="AH71" s="44"/>
      <c r="AI71" s="44"/>
      <c r="AJ71" s="44"/>
      <c r="AK71" s="44"/>
      <c r="AL71" s="44"/>
      <c r="AM71" s="43"/>
      <c r="AN71" s="43"/>
      <c r="AO71" s="43"/>
      <c r="AP71" s="43"/>
      <c r="AQ71" s="43"/>
      <c r="AR71" s="44">
        <f t="shared" si="76"/>
        <v>0</v>
      </c>
      <c r="AS71" s="44"/>
      <c r="AT71" s="44"/>
      <c r="AU71" s="44"/>
      <c r="AV71" s="44"/>
      <c r="AW71" s="43"/>
      <c r="AX71" s="43"/>
      <c r="AY71" s="43"/>
      <c r="AZ71" s="43"/>
      <c r="BA71" s="43"/>
      <c r="BB71" s="45"/>
      <c r="BC71" s="227"/>
      <c r="BD71" s="45"/>
      <c r="BE71" s="45"/>
      <c r="BF71" s="45"/>
      <c r="BG71" s="46"/>
      <c r="BH71" s="46"/>
      <c r="BI71" s="46"/>
      <c r="BJ71" s="46"/>
      <c r="BK71" s="46"/>
      <c r="BL71" s="46"/>
      <c r="BM71" s="46"/>
      <c r="BN71" s="46"/>
      <c r="BO71" s="46"/>
      <c r="BP71" s="46"/>
      <c r="BQ71" s="44"/>
      <c r="BR71" s="44"/>
      <c r="BS71" s="44"/>
      <c r="BT71" s="44"/>
      <c r="BU71" s="44"/>
      <c r="BV71" s="44"/>
      <c r="BW71" s="44"/>
      <c r="BX71" s="44"/>
      <c r="BY71" s="44"/>
      <c r="BZ71" s="44"/>
      <c r="CA71" s="44"/>
      <c r="CB71" s="43"/>
      <c r="CC71" s="43"/>
      <c r="CD71" s="43"/>
      <c r="CE71" s="43"/>
      <c r="CF71" s="43"/>
      <c r="CG71" s="43"/>
      <c r="CH71" s="43"/>
      <c r="CI71" s="43"/>
      <c r="CJ71" s="43"/>
      <c r="CK71" s="43"/>
      <c r="ES71" s="22"/>
    </row>
    <row r="72" spans="3:149" x14ac:dyDescent="0.25">
      <c r="C72" s="48">
        <v>66</v>
      </c>
      <c r="D72" s="42"/>
      <c r="E72" s="43"/>
      <c r="F72" s="43"/>
      <c r="G72" s="43"/>
      <c r="H72" s="43"/>
      <c r="I72" s="44"/>
      <c r="J72" s="44"/>
      <c r="K72" s="44"/>
      <c r="L72" s="44"/>
      <c r="M72" s="44"/>
      <c r="N72" s="42"/>
      <c r="O72" s="43"/>
      <c r="P72" s="43"/>
      <c r="Q72" s="43"/>
      <c r="R72" s="43"/>
      <c r="S72" s="44"/>
      <c r="T72" s="44"/>
      <c r="U72" s="44"/>
      <c r="V72" s="44"/>
      <c r="W72" s="44"/>
      <c r="X72" s="43"/>
      <c r="Y72" s="43"/>
      <c r="Z72" s="43"/>
      <c r="AA72" s="43"/>
      <c r="AB72" s="43"/>
      <c r="AC72" s="104"/>
      <c r="AD72" s="104"/>
      <c r="AE72" s="104"/>
      <c r="AF72" s="104"/>
      <c r="AG72" s="104"/>
      <c r="AH72" s="44"/>
      <c r="AI72" s="44"/>
      <c r="AJ72" s="44"/>
      <c r="AK72" s="44"/>
      <c r="AL72" s="44"/>
      <c r="AM72" s="43"/>
      <c r="AN72" s="43"/>
      <c r="AO72" s="43"/>
      <c r="AP72" s="43"/>
      <c r="AQ72" s="43"/>
      <c r="AR72" s="44">
        <f t="shared" si="76"/>
        <v>0</v>
      </c>
      <c r="AS72" s="44"/>
      <c r="AT72" s="44"/>
      <c r="AU72" s="44"/>
      <c r="AV72" s="44"/>
      <c r="AW72" s="43"/>
      <c r="AX72" s="43"/>
      <c r="AY72" s="43"/>
      <c r="AZ72" s="43"/>
      <c r="BA72" s="43"/>
      <c r="BB72" s="45"/>
      <c r="BC72" s="227"/>
      <c r="BD72" s="45"/>
      <c r="BE72" s="45"/>
      <c r="BF72" s="45"/>
      <c r="BG72" s="46"/>
      <c r="BH72" s="46"/>
      <c r="BI72" s="46"/>
      <c r="BJ72" s="46"/>
      <c r="BK72" s="46"/>
      <c r="BL72" s="46"/>
      <c r="BM72" s="46"/>
      <c r="BN72" s="46"/>
      <c r="BO72" s="46"/>
      <c r="BP72" s="46"/>
      <c r="BQ72" s="44"/>
      <c r="BR72" s="44"/>
      <c r="BS72" s="44"/>
      <c r="BT72" s="44"/>
      <c r="BU72" s="44"/>
      <c r="BV72" s="44"/>
      <c r="BW72" s="44"/>
      <c r="BX72" s="44"/>
      <c r="BY72" s="44"/>
      <c r="BZ72" s="44"/>
      <c r="CA72" s="44"/>
      <c r="CB72" s="43"/>
      <c r="CC72" s="43"/>
      <c r="CD72" s="43"/>
      <c r="CE72" s="43"/>
      <c r="CF72" s="43"/>
      <c r="CG72" s="43"/>
      <c r="CH72" s="43"/>
      <c r="CI72" s="43"/>
      <c r="CJ72" s="43"/>
      <c r="CK72" s="43"/>
      <c r="DE72" s="57"/>
      <c r="ES72" s="22"/>
    </row>
    <row r="73" spans="3:149" x14ac:dyDescent="0.25">
      <c r="C73" s="48">
        <v>67</v>
      </c>
      <c r="D73" s="42"/>
      <c r="E73" s="43"/>
      <c r="F73" s="43"/>
      <c r="G73" s="43"/>
      <c r="H73" s="43"/>
      <c r="I73" s="44"/>
      <c r="J73" s="44"/>
      <c r="K73" s="44"/>
      <c r="L73" s="44"/>
      <c r="M73" s="44"/>
      <c r="N73" s="42"/>
      <c r="O73" s="43"/>
      <c r="P73" s="43"/>
      <c r="Q73" s="43"/>
      <c r="R73" s="43"/>
      <c r="S73" s="44"/>
      <c r="T73" s="44"/>
      <c r="U73" s="44"/>
      <c r="V73" s="44"/>
      <c r="W73" s="44"/>
      <c r="X73" s="43"/>
      <c r="Y73" s="43"/>
      <c r="Z73" s="43"/>
      <c r="AA73" s="43"/>
      <c r="AB73" s="43"/>
      <c r="AC73" s="104"/>
      <c r="AD73" s="104"/>
      <c r="AE73" s="104"/>
      <c r="AF73" s="104"/>
      <c r="AG73" s="104"/>
      <c r="AH73" s="44"/>
      <c r="AI73" s="44"/>
      <c r="AJ73" s="44"/>
      <c r="AK73" s="44"/>
      <c r="AL73" s="44"/>
      <c r="AM73" s="43"/>
      <c r="AN73" s="43"/>
      <c r="AO73" s="43"/>
      <c r="AP73" s="43"/>
      <c r="AQ73" s="43"/>
      <c r="AR73" s="44">
        <f t="shared" ref="AR73:AR84" si="149">AV72</f>
        <v>0</v>
      </c>
      <c r="AS73" s="44"/>
      <c r="AT73" s="44"/>
      <c r="AU73" s="44"/>
      <c r="AV73" s="44"/>
      <c r="AW73" s="43"/>
      <c r="AX73" s="43"/>
      <c r="AY73" s="43"/>
      <c r="AZ73" s="43"/>
      <c r="BA73" s="43"/>
      <c r="BB73" s="45"/>
      <c r="BC73" s="227"/>
      <c r="BD73" s="45"/>
      <c r="BE73" s="45"/>
      <c r="BF73" s="45"/>
      <c r="BG73" s="46"/>
      <c r="BH73" s="46"/>
      <c r="BI73" s="46"/>
      <c r="BJ73" s="46"/>
      <c r="BK73" s="46"/>
      <c r="BL73" s="46"/>
      <c r="BM73" s="46"/>
      <c r="BN73" s="46"/>
      <c r="BO73" s="46"/>
      <c r="BP73" s="46"/>
      <c r="BQ73" s="44"/>
      <c r="BR73" s="44"/>
      <c r="BS73" s="44"/>
      <c r="BT73" s="44"/>
      <c r="BU73" s="44"/>
      <c r="BV73" s="44"/>
      <c r="BW73" s="44"/>
      <c r="BX73" s="44"/>
      <c r="BY73" s="44"/>
      <c r="BZ73" s="44"/>
      <c r="CA73" s="44"/>
      <c r="CB73" s="43"/>
      <c r="CC73" s="43"/>
      <c r="CD73" s="43"/>
      <c r="CE73" s="43"/>
      <c r="CF73" s="43"/>
      <c r="CG73" s="43"/>
      <c r="CH73" s="43"/>
      <c r="CI73" s="43"/>
      <c r="CJ73" s="43"/>
      <c r="CK73" s="43"/>
      <c r="CM73" s="22" t="s">
        <v>126</v>
      </c>
      <c r="CN73" s="22" t="s">
        <v>49</v>
      </c>
      <c r="DE73" s="57"/>
      <c r="ES73" s="22"/>
    </row>
    <row r="74" spans="3:149" x14ac:dyDescent="0.25">
      <c r="C74" s="48">
        <v>68</v>
      </c>
      <c r="D74" s="42"/>
      <c r="E74" s="43"/>
      <c r="F74" s="43"/>
      <c r="G74" s="43"/>
      <c r="H74" s="43"/>
      <c r="I74" s="44"/>
      <c r="J74" s="44"/>
      <c r="K74" s="44"/>
      <c r="L74" s="44"/>
      <c r="M74" s="44"/>
      <c r="N74" s="42"/>
      <c r="O74" s="43"/>
      <c r="P74" s="43"/>
      <c r="Q74" s="43"/>
      <c r="R74" s="43"/>
      <c r="S74" s="44"/>
      <c r="T74" s="44"/>
      <c r="U74" s="44"/>
      <c r="V74" s="44"/>
      <c r="W74" s="44"/>
      <c r="X74" s="43"/>
      <c r="Y74" s="43"/>
      <c r="Z74" s="43"/>
      <c r="AA74" s="43"/>
      <c r="AB74" s="43"/>
      <c r="AC74" s="104"/>
      <c r="AD74" s="104"/>
      <c r="AE74" s="104"/>
      <c r="AF74" s="104"/>
      <c r="AG74" s="104"/>
      <c r="AH74" s="44"/>
      <c r="AI74" s="44"/>
      <c r="AJ74" s="44"/>
      <c r="AK74" s="44"/>
      <c r="AL74" s="44"/>
      <c r="AM74" s="43"/>
      <c r="AN74" s="43"/>
      <c r="AO74" s="43"/>
      <c r="AP74" s="43"/>
      <c r="AQ74" s="43"/>
      <c r="AR74" s="44">
        <f t="shared" si="149"/>
        <v>0</v>
      </c>
      <c r="AS74" s="44"/>
      <c r="AT74" s="44"/>
      <c r="AU74" s="44"/>
      <c r="AV74" s="44"/>
      <c r="AW74" s="43"/>
      <c r="AX74" s="43"/>
      <c r="AY74" s="43"/>
      <c r="AZ74" s="43"/>
      <c r="BA74" s="43"/>
      <c r="BB74" s="45"/>
      <c r="BC74" s="227"/>
      <c r="BD74" s="45"/>
      <c r="BE74" s="45"/>
      <c r="BF74" s="45"/>
      <c r="BG74" s="46"/>
      <c r="BH74" s="46"/>
      <c r="BI74" s="46"/>
      <c r="BJ74" s="46"/>
      <c r="BK74" s="46"/>
      <c r="BL74" s="46"/>
      <c r="BM74" s="46"/>
      <c r="BN74" s="46"/>
      <c r="BO74" s="46"/>
      <c r="BP74" s="46"/>
      <c r="BQ74" s="44"/>
      <c r="BR74" s="44"/>
      <c r="BS74" s="44"/>
      <c r="BT74" s="44"/>
      <c r="BU74" s="44"/>
      <c r="BV74" s="44"/>
      <c r="BW74" s="44"/>
      <c r="BX74" s="44"/>
      <c r="BY74" s="44"/>
      <c r="BZ74" s="44"/>
      <c r="CA74" s="44"/>
      <c r="CB74" s="43"/>
      <c r="CC74" s="43"/>
      <c r="CD74" s="43"/>
      <c r="CE74" s="43"/>
      <c r="CF74" s="43"/>
      <c r="CG74" s="43"/>
      <c r="CH74" s="43"/>
      <c r="CI74" s="43"/>
      <c r="CJ74" s="43"/>
      <c r="CK74" s="43"/>
      <c r="CM74" s="22" t="s">
        <v>128</v>
      </c>
      <c r="CN74" s="22">
        <v>1</v>
      </c>
      <c r="CO74" s="22">
        <v>2</v>
      </c>
      <c r="CP74" s="22">
        <v>3</v>
      </c>
      <c r="CQ74" s="22">
        <v>4</v>
      </c>
      <c r="CR74" s="22">
        <v>5</v>
      </c>
      <c r="CS74" s="22">
        <v>6</v>
      </c>
      <c r="DE74" s="57"/>
      <c r="ES74" s="22"/>
    </row>
    <row r="75" spans="3:149" x14ac:dyDescent="0.25">
      <c r="C75" s="48">
        <v>69</v>
      </c>
      <c r="D75" s="42"/>
      <c r="E75" s="43"/>
      <c r="F75" s="43"/>
      <c r="G75" s="43"/>
      <c r="H75" s="43"/>
      <c r="I75" s="44"/>
      <c r="J75" s="44"/>
      <c r="K75" s="44"/>
      <c r="L75" s="44"/>
      <c r="M75" s="44"/>
      <c r="N75" s="42"/>
      <c r="O75" s="43"/>
      <c r="P75" s="43"/>
      <c r="Q75" s="43"/>
      <c r="R75" s="43"/>
      <c r="S75" s="44"/>
      <c r="T75" s="44"/>
      <c r="U75" s="44"/>
      <c r="V75" s="44"/>
      <c r="W75" s="44"/>
      <c r="X75" s="43"/>
      <c r="Y75" s="43"/>
      <c r="Z75" s="43"/>
      <c r="AA75" s="43"/>
      <c r="AB75" s="43"/>
      <c r="AC75" s="104"/>
      <c r="AD75" s="104"/>
      <c r="AE75" s="104"/>
      <c r="AF75" s="104"/>
      <c r="AG75" s="104"/>
      <c r="AH75" s="44"/>
      <c r="AI75" s="44"/>
      <c r="AJ75" s="44"/>
      <c r="AK75" s="44"/>
      <c r="AL75" s="44"/>
      <c r="AM75" s="43"/>
      <c r="AN75" s="43"/>
      <c r="AO75" s="43"/>
      <c r="AP75" s="43"/>
      <c r="AQ75" s="43"/>
      <c r="AR75" s="44">
        <f t="shared" si="149"/>
        <v>0</v>
      </c>
      <c r="AS75" s="44"/>
      <c r="AT75" s="44"/>
      <c r="AU75" s="44"/>
      <c r="AV75" s="44"/>
      <c r="AW75" s="43"/>
      <c r="AX75" s="43"/>
      <c r="AY75" s="43"/>
      <c r="AZ75" s="43"/>
      <c r="BA75" s="43"/>
      <c r="BB75" s="45"/>
      <c r="BC75" s="227"/>
      <c r="BD75" s="45"/>
      <c r="BE75" s="45"/>
      <c r="BF75" s="45"/>
      <c r="BG75" s="46"/>
      <c r="BH75" s="46"/>
      <c r="BI75" s="46"/>
      <c r="BJ75" s="46"/>
      <c r="BK75" s="46"/>
      <c r="BL75" s="46"/>
      <c r="BM75" s="46"/>
      <c r="BN75" s="46"/>
      <c r="BO75" s="46"/>
      <c r="BP75" s="46"/>
      <c r="BQ75" s="44"/>
      <c r="BR75" s="44"/>
      <c r="BS75" s="44"/>
      <c r="BT75" s="44"/>
      <c r="BU75" s="44"/>
      <c r="BV75" s="44"/>
      <c r="BW75" s="44"/>
      <c r="BX75" s="44"/>
      <c r="BY75" s="44"/>
      <c r="BZ75" s="44"/>
      <c r="CA75" s="44"/>
      <c r="CB75" s="43"/>
      <c r="CC75" s="43"/>
      <c r="CD75" s="43"/>
      <c r="CE75" s="43"/>
      <c r="CF75" s="43"/>
      <c r="CG75" s="43"/>
      <c r="CH75" s="43"/>
      <c r="CI75" s="43"/>
      <c r="CJ75" s="43"/>
      <c r="CK75" s="43"/>
      <c r="CN75" s="102">
        <v>0.1</v>
      </c>
      <c r="CO75" s="102">
        <v>0.2</v>
      </c>
      <c r="CP75" s="102">
        <v>0.2</v>
      </c>
      <c r="CQ75" s="102">
        <v>0.2</v>
      </c>
      <c r="CR75" s="102">
        <v>0.2</v>
      </c>
      <c r="CS75" s="102">
        <v>0.1</v>
      </c>
      <c r="DE75" s="57"/>
      <c r="ES75" s="22"/>
    </row>
    <row r="76" spans="3:149" x14ac:dyDescent="0.25">
      <c r="C76" s="48">
        <v>70</v>
      </c>
      <c r="D76" s="42"/>
      <c r="E76" s="43"/>
      <c r="F76" s="43"/>
      <c r="G76" s="43"/>
      <c r="H76" s="43"/>
      <c r="I76" s="44"/>
      <c r="J76" s="44"/>
      <c r="K76" s="44"/>
      <c r="L76" s="44"/>
      <c r="M76" s="44"/>
      <c r="N76" s="42"/>
      <c r="O76" s="43"/>
      <c r="P76" s="43"/>
      <c r="Q76" s="43"/>
      <c r="R76" s="43"/>
      <c r="S76" s="44"/>
      <c r="T76" s="44"/>
      <c r="U76" s="44"/>
      <c r="V76" s="44"/>
      <c r="W76" s="44"/>
      <c r="X76" s="43"/>
      <c r="Y76" s="43"/>
      <c r="Z76" s="43"/>
      <c r="AA76" s="43"/>
      <c r="AB76" s="43"/>
      <c r="AC76" s="104"/>
      <c r="AD76" s="104"/>
      <c r="AE76" s="104"/>
      <c r="AF76" s="104"/>
      <c r="AG76" s="104"/>
      <c r="AH76" s="44"/>
      <c r="AI76" s="44"/>
      <c r="AJ76" s="44"/>
      <c r="AK76" s="44"/>
      <c r="AL76" s="44"/>
      <c r="AM76" s="43"/>
      <c r="AN76" s="43"/>
      <c r="AO76" s="43"/>
      <c r="AP76" s="43"/>
      <c r="AQ76" s="43"/>
      <c r="AR76" s="44">
        <f t="shared" si="149"/>
        <v>0</v>
      </c>
      <c r="AS76" s="44"/>
      <c r="AT76" s="44"/>
      <c r="AU76" s="44"/>
      <c r="AV76" s="44"/>
      <c r="AW76" s="43"/>
      <c r="AX76" s="43"/>
      <c r="AY76" s="43"/>
      <c r="AZ76" s="43"/>
      <c r="BA76" s="43"/>
      <c r="BB76" s="45"/>
      <c r="BC76" s="227"/>
      <c r="BD76" s="45"/>
      <c r="BE76" s="45"/>
      <c r="BF76" s="45"/>
      <c r="BG76" s="46"/>
      <c r="BH76" s="46"/>
      <c r="BI76" s="46"/>
      <c r="BJ76" s="46"/>
      <c r="BK76" s="46"/>
      <c r="BL76" s="46"/>
      <c r="BM76" s="46"/>
      <c r="BN76" s="46"/>
      <c r="BO76" s="46"/>
      <c r="BP76" s="46"/>
      <c r="BQ76" s="44"/>
      <c r="BR76" s="44"/>
      <c r="BS76" s="44"/>
      <c r="BT76" s="44"/>
      <c r="BU76" s="44"/>
      <c r="BV76" s="44"/>
      <c r="BW76" s="44"/>
      <c r="BX76" s="44"/>
      <c r="BY76" s="44"/>
      <c r="BZ76" s="44"/>
      <c r="CA76" s="44"/>
      <c r="CB76" s="43"/>
      <c r="CC76" s="43"/>
      <c r="CD76" s="43"/>
      <c r="CE76" s="43"/>
      <c r="CF76" s="43"/>
      <c r="CG76" s="43"/>
      <c r="CH76" s="43"/>
      <c r="CI76" s="43"/>
      <c r="CJ76" s="43"/>
      <c r="CK76" s="43"/>
      <c r="DD76" s="57"/>
      <c r="DE76" s="57"/>
      <c r="ES76" s="22"/>
    </row>
    <row r="77" spans="3:149" x14ac:dyDescent="0.25">
      <c r="C77" s="48">
        <v>71</v>
      </c>
      <c r="D77" s="42"/>
      <c r="E77" s="43"/>
      <c r="F77" s="43"/>
      <c r="G77" s="43"/>
      <c r="H77" s="43"/>
      <c r="I77" s="44"/>
      <c r="J77" s="44"/>
      <c r="K77" s="44"/>
      <c r="L77" s="44"/>
      <c r="M77" s="44"/>
      <c r="N77" s="42"/>
      <c r="O77" s="43"/>
      <c r="P77" s="43"/>
      <c r="Q77" s="43"/>
      <c r="R77" s="43"/>
      <c r="S77" s="44"/>
      <c r="T77" s="44"/>
      <c r="U77" s="44"/>
      <c r="V77" s="44"/>
      <c r="W77" s="44"/>
      <c r="X77" s="43"/>
      <c r="Y77" s="43"/>
      <c r="Z77" s="43"/>
      <c r="AA77" s="43"/>
      <c r="AB77" s="43"/>
      <c r="AC77" s="104"/>
      <c r="AD77" s="104"/>
      <c r="AE77" s="104"/>
      <c r="AF77" s="104"/>
      <c r="AG77" s="104"/>
      <c r="AH77" s="44"/>
      <c r="AI77" s="44"/>
      <c r="AJ77" s="44"/>
      <c r="AK77" s="44"/>
      <c r="AL77" s="44"/>
      <c r="AM77" s="43"/>
      <c r="AN77" s="43"/>
      <c r="AO77" s="43"/>
      <c r="AP77" s="43"/>
      <c r="AQ77" s="43"/>
      <c r="AR77" s="44">
        <f t="shared" si="149"/>
        <v>0</v>
      </c>
      <c r="AS77" s="44"/>
      <c r="AT77" s="44"/>
      <c r="AU77" s="44"/>
      <c r="AV77" s="44"/>
      <c r="AW77" s="43"/>
      <c r="AX77" s="43"/>
      <c r="AY77" s="43"/>
      <c r="AZ77" s="43"/>
      <c r="BA77" s="43"/>
      <c r="BB77" s="45"/>
      <c r="BC77" s="227"/>
      <c r="BD77" s="45"/>
      <c r="BE77" s="45"/>
      <c r="BF77" s="45"/>
      <c r="BG77" s="46"/>
      <c r="BH77" s="46"/>
      <c r="BI77" s="46"/>
      <c r="BJ77" s="46"/>
      <c r="BK77" s="46"/>
      <c r="BL77" s="46"/>
      <c r="BM77" s="46"/>
      <c r="BN77" s="46"/>
      <c r="BO77" s="46"/>
      <c r="BP77" s="46"/>
      <c r="BQ77" s="44"/>
      <c r="BR77" s="44"/>
      <c r="BS77" s="44"/>
      <c r="BT77" s="44"/>
      <c r="BU77" s="44"/>
      <c r="BV77" s="44"/>
      <c r="BW77" s="44"/>
      <c r="BX77" s="44"/>
      <c r="BY77" s="44"/>
      <c r="BZ77" s="44"/>
      <c r="CA77" s="44"/>
      <c r="CB77" s="43"/>
      <c r="CC77" s="43"/>
      <c r="CD77" s="43"/>
      <c r="CE77" s="43"/>
      <c r="CF77" s="43"/>
      <c r="CG77" s="43"/>
      <c r="CH77" s="43"/>
      <c r="CI77" s="43"/>
      <c r="CJ77" s="43"/>
      <c r="CK77" s="43"/>
      <c r="CM77" s="22" t="s">
        <v>127</v>
      </c>
      <c r="CN77" s="22" t="s">
        <v>49</v>
      </c>
      <c r="DD77" s="57"/>
      <c r="DE77" s="57"/>
      <c r="ES77" s="22"/>
    </row>
    <row r="78" spans="3:149" x14ac:dyDescent="0.25">
      <c r="C78" s="48">
        <v>72</v>
      </c>
      <c r="D78" s="42"/>
      <c r="E78" s="43"/>
      <c r="F78" s="43"/>
      <c r="G78" s="43"/>
      <c r="H78" s="43"/>
      <c r="I78" s="44"/>
      <c r="J78" s="44"/>
      <c r="K78" s="44"/>
      <c r="L78" s="44"/>
      <c r="M78" s="44"/>
      <c r="N78" s="42"/>
      <c r="O78" s="43"/>
      <c r="P78" s="43"/>
      <c r="Q78" s="43"/>
      <c r="R78" s="43"/>
      <c r="S78" s="44"/>
      <c r="T78" s="44"/>
      <c r="U78" s="44"/>
      <c r="V78" s="44"/>
      <c r="W78" s="44"/>
      <c r="X78" s="43"/>
      <c r="Y78" s="43"/>
      <c r="Z78" s="43"/>
      <c r="AA78" s="43"/>
      <c r="AB78" s="43"/>
      <c r="AC78" s="104"/>
      <c r="AD78" s="104"/>
      <c r="AE78" s="104"/>
      <c r="AF78" s="104"/>
      <c r="AG78" s="104"/>
      <c r="AH78" s="44"/>
      <c r="AI78" s="44"/>
      <c r="AJ78" s="44"/>
      <c r="AK78" s="44"/>
      <c r="AL78" s="44"/>
      <c r="AM78" s="43"/>
      <c r="AN78" s="43"/>
      <c r="AO78" s="43"/>
      <c r="AP78" s="43"/>
      <c r="AQ78" s="43"/>
      <c r="AR78" s="44">
        <f t="shared" si="149"/>
        <v>0</v>
      </c>
      <c r="AS78" s="44"/>
      <c r="AT78" s="44"/>
      <c r="AU78" s="44"/>
      <c r="AV78" s="44"/>
      <c r="AW78" s="43"/>
      <c r="AX78" s="43"/>
      <c r="AY78" s="43"/>
      <c r="AZ78" s="43"/>
      <c r="BA78" s="43"/>
      <c r="BB78" s="45"/>
      <c r="BC78" s="227"/>
      <c r="BD78" s="45"/>
      <c r="BE78" s="45"/>
      <c r="BF78" s="45"/>
      <c r="BG78" s="46"/>
      <c r="BH78" s="46"/>
      <c r="BI78" s="46"/>
      <c r="BJ78" s="46"/>
      <c r="BK78" s="46"/>
      <c r="BL78" s="46"/>
      <c r="BM78" s="46"/>
      <c r="BN78" s="46"/>
      <c r="BO78" s="46"/>
      <c r="BP78" s="46"/>
      <c r="BQ78" s="44"/>
      <c r="BR78" s="44"/>
      <c r="BS78" s="44"/>
      <c r="BT78" s="44"/>
      <c r="BU78" s="44"/>
      <c r="BV78" s="44"/>
      <c r="BW78" s="44"/>
      <c r="BX78" s="44"/>
      <c r="BY78" s="44"/>
      <c r="BZ78" s="44"/>
      <c r="CA78" s="44"/>
      <c r="CB78" s="43"/>
      <c r="CC78" s="43"/>
      <c r="CD78" s="43"/>
      <c r="CE78" s="43"/>
      <c r="CF78" s="43"/>
      <c r="CG78" s="43"/>
      <c r="CH78" s="43"/>
      <c r="CI78" s="43"/>
      <c r="CJ78" s="43"/>
      <c r="CK78" s="43"/>
      <c r="CM78" s="22" t="s">
        <v>128</v>
      </c>
      <c r="CN78" s="22">
        <v>1</v>
      </c>
      <c r="CO78" s="22">
        <v>2</v>
      </c>
      <c r="CP78" s="22">
        <v>3</v>
      </c>
      <c r="CQ78" s="22">
        <v>4</v>
      </c>
      <c r="CR78" s="22">
        <v>5</v>
      </c>
      <c r="CS78" s="22">
        <v>6</v>
      </c>
      <c r="CT78" s="22">
        <v>7</v>
      </c>
      <c r="CU78" s="22">
        <v>8</v>
      </c>
      <c r="DB78" s="57"/>
      <c r="DC78" s="57"/>
      <c r="DD78" s="57"/>
      <c r="DE78" s="57"/>
      <c r="ES78" s="22"/>
    </row>
    <row r="79" spans="3:149" x14ac:dyDescent="0.25">
      <c r="C79" s="48">
        <v>73</v>
      </c>
      <c r="D79" s="42"/>
      <c r="E79" s="43"/>
      <c r="F79" s="43"/>
      <c r="G79" s="43"/>
      <c r="H79" s="43"/>
      <c r="I79" s="44"/>
      <c r="J79" s="44"/>
      <c r="K79" s="44"/>
      <c r="L79" s="44"/>
      <c r="M79" s="44"/>
      <c r="N79" s="42"/>
      <c r="O79" s="43"/>
      <c r="P79" s="43"/>
      <c r="Q79" s="43"/>
      <c r="R79" s="43"/>
      <c r="S79" s="44"/>
      <c r="T79" s="44"/>
      <c r="U79" s="44"/>
      <c r="V79" s="44"/>
      <c r="W79" s="44"/>
      <c r="X79" s="43"/>
      <c r="Y79" s="43"/>
      <c r="Z79" s="43"/>
      <c r="AA79" s="43"/>
      <c r="AB79" s="43"/>
      <c r="AC79" s="104"/>
      <c r="AD79" s="104"/>
      <c r="AE79" s="104"/>
      <c r="AF79" s="104"/>
      <c r="AG79" s="104"/>
      <c r="AH79" s="44"/>
      <c r="AI79" s="44"/>
      <c r="AJ79" s="44"/>
      <c r="AK79" s="44"/>
      <c r="AL79" s="44"/>
      <c r="AM79" s="43"/>
      <c r="AN79" s="43"/>
      <c r="AO79" s="43"/>
      <c r="AP79" s="43"/>
      <c r="AQ79" s="43"/>
      <c r="AR79" s="44">
        <f t="shared" si="149"/>
        <v>0</v>
      </c>
      <c r="AS79" s="44"/>
      <c r="AT79" s="44"/>
      <c r="AU79" s="44"/>
      <c r="AV79" s="44"/>
      <c r="AW79" s="43"/>
      <c r="AX79" s="43"/>
      <c r="AY79" s="43"/>
      <c r="AZ79" s="43"/>
      <c r="BA79" s="43"/>
      <c r="BB79" s="45"/>
      <c r="BC79" s="227"/>
      <c r="BD79" s="45"/>
      <c r="BE79" s="45"/>
      <c r="BF79" s="45"/>
      <c r="BG79" s="46"/>
      <c r="BH79" s="46"/>
      <c r="BI79" s="46"/>
      <c r="BJ79" s="46"/>
      <c r="BK79" s="46"/>
      <c r="BL79" s="46"/>
      <c r="BM79" s="46"/>
      <c r="BN79" s="46"/>
      <c r="BO79" s="46"/>
      <c r="BP79" s="46"/>
      <c r="BQ79" s="44"/>
      <c r="BR79" s="44"/>
      <c r="BS79" s="44"/>
      <c r="BT79" s="44"/>
      <c r="BU79" s="44"/>
      <c r="BV79" s="44"/>
      <c r="BW79" s="44"/>
      <c r="BX79" s="44"/>
      <c r="BY79" s="44"/>
      <c r="BZ79" s="44"/>
      <c r="CA79" s="44"/>
      <c r="CB79" s="43"/>
      <c r="CC79" s="43"/>
      <c r="CD79" s="43"/>
      <c r="CE79" s="43"/>
      <c r="CF79" s="43"/>
      <c r="CG79" s="43"/>
      <c r="CH79" s="43"/>
      <c r="CI79" s="43"/>
      <c r="CJ79" s="43"/>
      <c r="CK79" s="43"/>
      <c r="CN79" s="110">
        <f>CO79/2</f>
        <v>7.1428571428571425E-2</v>
      </c>
      <c r="CO79" s="110">
        <f>1/7</f>
        <v>0.14285714285714285</v>
      </c>
      <c r="CP79" s="110">
        <f t="shared" ref="CP79:CT79" si="150">1/7</f>
        <v>0.14285714285714285</v>
      </c>
      <c r="CQ79" s="110">
        <f t="shared" si="150"/>
        <v>0.14285714285714285</v>
      </c>
      <c r="CR79" s="110">
        <f t="shared" si="150"/>
        <v>0.14285714285714285</v>
      </c>
      <c r="CS79" s="110">
        <f t="shared" si="150"/>
        <v>0.14285714285714285</v>
      </c>
      <c r="CT79" s="110">
        <f t="shared" si="150"/>
        <v>0.14285714285714285</v>
      </c>
      <c r="CU79" s="110">
        <f>CN79</f>
        <v>7.1428571428571425E-2</v>
      </c>
      <c r="DB79" s="57"/>
      <c r="DC79" s="57"/>
      <c r="DD79" s="57"/>
      <c r="DE79" s="57"/>
      <c r="ES79" s="22"/>
    </row>
    <row r="80" spans="3:149" x14ac:dyDescent="0.25">
      <c r="C80" s="48">
        <v>74</v>
      </c>
      <c r="D80" s="42"/>
      <c r="E80" s="43"/>
      <c r="F80" s="43"/>
      <c r="G80" s="43"/>
      <c r="H80" s="43"/>
      <c r="I80" s="44"/>
      <c r="J80" s="44"/>
      <c r="K80" s="44"/>
      <c r="L80" s="44"/>
      <c r="M80" s="44"/>
      <c r="N80" s="42"/>
      <c r="O80" s="43"/>
      <c r="P80" s="43"/>
      <c r="Q80" s="43"/>
      <c r="R80" s="43"/>
      <c r="S80" s="44"/>
      <c r="T80" s="44"/>
      <c r="U80" s="44"/>
      <c r="V80" s="44"/>
      <c r="W80" s="44"/>
      <c r="X80" s="43"/>
      <c r="Y80" s="43"/>
      <c r="Z80" s="43"/>
      <c r="AA80" s="43"/>
      <c r="AB80" s="43"/>
      <c r="AC80" s="104"/>
      <c r="AD80" s="104"/>
      <c r="AE80" s="104"/>
      <c r="AF80" s="104"/>
      <c r="AG80" s="104"/>
      <c r="AH80" s="44"/>
      <c r="AI80" s="44"/>
      <c r="AJ80" s="44"/>
      <c r="AK80" s="44"/>
      <c r="AL80" s="44"/>
      <c r="AM80" s="43"/>
      <c r="AN80" s="43"/>
      <c r="AO80" s="43"/>
      <c r="AP80" s="43"/>
      <c r="AQ80" s="43"/>
      <c r="AR80" s="44">
        <f t="shared" si="149"/>
        <v>0</v>
      </c>
      <c r="AS80" s="44"/>
      <c r="AT80" s="44"/>
      <c r="AU80" s="44"/>
      <c r="AV80" s="44"/>
      <c r="AW80" s="43"/>
      <c r="AX80" s="43"/>
      <c r="AY80" s="43"/>
      <c r="AZ80" s="43"/>
      <c r="BA80" s="43"/>
      <c r="BB80" s="45"/>
      <c r="BC80" s="227"/>
      <c r="BD80" s="45"/>
      <c r="BE80" s="45"/>
      <c r="BF80" s="45"/>
      <c r="BG80" s="46"/>
      <c r="BH80" s="46"/>
      <c r="BI80" s="46"/>
      <c r="BJ80" s="46"/>
      <c r="BK80" s="46"/>
      <c r="BL80" s="46"/>
      <c r="BM80" s="46"/>
      <c r="BN80" s="46"/>
      <c r="BO80" s="46"/>
      <c r="BP80" s="46"/>
      <c r="BQ80" s="44"/>
      <c r="BR80" s="44"/>
      <c r="BS80" s="44"/>
      <c r="BT80" s="44"/>
      <c r="BU80" s="44"/>
      <c r="BV80" s="44"/>
      <c r="BW80" s="44"/>
      <c r="BX80" s="44"/>
      <c r="BY80" s="44"/>
      <c r="BZ80" s="44"/>
      <c r="CA80" s="44"/>
      <c r="CB80" s="43"/>
      <c r="CC80" s="43"/>
      <c r="CD80" s="43"/>
      <c r="CE80" s="43"/>
      <c r="CF80" s="43"/>
      <c r="CG80" s="43"/>
      <c r="CH80" s="43"/>
      <c r="CI80" s="43"/>
      <c r="CJ80" s="43"/>
      <c r="CK80" s="43"/>
      <c r="DB80" s="57"/>
      <c r="DC80" s="57"/>
      <c r="DD80" s="57"/>
      <c r="DE80" s="57"/>
      <c r="ES80" s="22"/>
    </row>
    <row r="81" spans="3:174" x14ac:dyDescent="0.25">
      <c r="C81" s="48">
        <v>75</v>
      </c>
      <c r="D81" s="42"/>
      <c r="E81" s="43"/>
      <c r="F81" s="43"/>
      <c r="G81" s="43"/>
      <c r="H81" s="43"/>
      <c r="I81" s="44"/>
      <c r="J81" s="44"/>
      <c r="K81" s="44"/>
      <c r="L81" s="44"/>
      <c r="M81" s="44"/>
      <c r="N81" s="42"/>
      <c r="O81" s="43"/>
      <c r="P81" s="43"/>
      <c r="Q81" s="43"/>
      <c r="R81" s="43"/>
      <c r="S81" s="44"/>
      <c r="T81" s="44"/>
      <c r="U81" s="44"/>
      <c r="V81" s="44"/>
      <c r="W81" s="44"/>
      <c r="X81" s="43"/>
      <c r="Y81" s="43"/>
      <c r="Z81" s="43"/>
      <c r="AA81" s="43"/>
      <c r="AB81" s="43"/>
      <c r="AC81" s="104"/>
      <c r="AD81" s="104"/>
      <c r="AE81" s="104"/>
      <c r="AF81" s="104"/>
      <c r="AG81" s="104"/>
      <c r="AH81" s="44"/>
      <c r="AI81" s="44"/>
      <c r="AJ81" s="44"/>
      <c r="AK81" s="44"/>
      <c r="AL81" s="44"/>
      <c r="AM81" s="43"/>
      <c r="AN81" s="43"/>
      <c r="AO81" s="43"/>
      <c r="AP81" s="43"/>
      <c r="AQ81" s="43"/>
      <c r="AR81" s="44">
        <f t="shared" si="149"/>
        <v>0</v>
      </c>
      <c r="AS81" s="44"/>
      <c r="AT81" s="44"/>
      <c r="AU81" s="44"/>
      <c r="AV81" s="44"/>
      <c r="AW81" s="43"/>
      <c r="AX81" s="43"/>
      <c r="AY81" s="43"/>
      <c r="AZ81" s="43"/>
      <c r="BA81" s="43"/>
      <c r="BB81" s="45"/>
      <c r="BC81" s="227"/>
      <c r="BD81" s="45"/>
      <c r="BE81" s="45"/>
      <c r="BF81" s="45"/>
      <c r="BG81" s="46"/>
      <c r="BH81" s="46"/>
      <c r="BI81" s="46"/>
      <c r="BJ81" s="46"/>
      <c r="BK81" s="46"/>
      <c r="BL81" s="46"/>
      <c r="BM81" s="46"/>
      <c r="BN81" s="46"/>
      <c r="BO81" s="46"/>
      <c r="BP81" s="46"/>
      <c r="BQ81" s="44"/>
      <c r="BR81" s="44"/>
      <c r="BS81" s="44"/>
      <c r="BT81" s="44"/>
      <c r="BU81" s="44"/>
      <c r="BV81" s="44"/>
      <c r="BW81" s="44"/>
      <c r="BX81" s="44"/>
      <c r="BY81" s="44"/>
      <c r="BZ81" s="44"/>
      <c r="CA81" s="44"/>
      <c r="CB81" s="43"/>
      <c r="CC81" s="43"/>
      <c r="CD81" s="43"/>
      <c r="CE81" s="43"/>
      <c r="CF81" s="43"/>
      <c r="CG81" s="43"/>
      <c r="CH81" s="43"/>
      <c r="CI81" s="43"/>
      <c r="CJ81" s="43"/>
      <c r="CK81" s="43"/>
      <c r="CM81" s="22" t="s">
        <v>129</v>
      </c>
      <c r="CN81" s="22" t="s">
        <v>49</v>
      </c>
      <c r="DB81" s="57"/>
      <c r="DC81" s="57"/>
      <c r="DD81" s="57"/>
      <c r="DE81" s="57"/>
      <c r="ES81" s="22"/>
    </row>
    <row r="82" spans="3:174" x14ac:dyDescent="0.25">
      <c r="C82" s="48">
        <v>76</v>
      </c>
      <c r="D82" s="42"/>
      <c r="E82" s="43"/>
      <c r="F82" s="43"/>
      <c r="G82" s="43"/>
      <c r="H82" s="43"/>
      <c r="I82" s="44"/>
      <c r="J82" s="44"/>
      <c r="K82" s="44"/>
      <c r="L82" s="44"/>
      <c r="M82" s="44"/>
      <c r="N82" s="42"/>
      <c r="O82" s="43"/>
      <c r="P82" s="43"/>
      <c r="Q82" s="43"/>
      <c r="R82" s="43"/>
      <c r="S82" s="44"/>
      <c r="T82" s="44"/>
      <c r="U82" s="44"/>
      <c r="V82" s="44"/>
      <c r="W82" s="44"/>
      <c r="X82" s="43"/>
      <c r="Y82" s="43"/>
      <c r="Z82" s="43"/>
      <c r="AA82" s="43"/>
      <c r="AB82" s="43"/>
      <c r="AC82" s="104"/>
      <c r="AD82" s="104"/>
      <c r="AE82" s="104"/>
      <c r="AF82" s="104"/>
      <c r="AG82" s="104"/>
      <c r="AH82" s="44"/>
      <c r="AI82" s="44"/>
      <c r="AJ82" s="44"/>
      <c r="AK82" s="44"/>
      <c r="AL82" s="44"/>
      <c r="AM82" s="43"/>
      <c r="AN82" s="43"/>
      <c r="AO82" s="43"/>
      <c r="AP82" s="43"/>
      <c r="AQ82" s="43"/>
      <c r="AR82" s="44">
        <f t="shared" si="149"/>
        <v>0</v>
      </c>
      <c r="AS82" s="44"/>
      <c r="AT82" s="44"/>
      <c r="AU82" s="44"/>
      <c r="AV82" s="44"/>
      <c r="AW82" s="43"/>
      <c r="AX82" s="43"/>
      <c r="AY82" s="43"/>
      <c r="AZ82" s="43"/>
      <c r="BA82" s="43"/>
      <c r="BB82" s="45"/>
      <c r="BC82" s="227"/>
      <c r="BD82" s="45"/>
      <c r="BE82" s="45"/>
      <c r="BF82" s="45"/>
      <c r="BG82" s="46"/>
      <c r="BH82" s="46"/>
      <c r="BI82" s="46"/>
      <c r="BJ82" s="46"/>
      <c r="BK82" s="46"/>
      <c r="BL82" s="46"/>
      <c r="BM82" s="46"/>
      <c r="BN82" s="46"/>
      <c r="BO82" s="46"/>
      <c r="BP82" s="46"/>
      <c r="BQ82" s="44"/>
      <c r="BR82" s="44"/>
      <c r="BS82" s="44"/>
      <c r="BT82" s="44"/>
      <c r="BU82" s="44"/>
      <c r="BV82" s="44"/>
      <c r="BW82" s="44"/>
      <c r="BX82" s="44"/>
      <c r="BY82" s="44"/>
      <c r="BZ82" s="44"/>
      <c r="CA82" s="44"/>
      <c r="CB82" s="43"/>
      <c r="CC82" s="43"/>
      <c r="CD82" s="43"/>
      <c r="CE82" s="43"/>
      <c r="CF82" s="43"/>
      <c r="CG82" s="43"/>
      <c r="CH82" s="43"/>
      <c r="CI82" s="43"/>
      <c r="CJ82" s="43"/>
      <c r="CK82" s="43"/>
      <c r="CM82" s="22" t="s">
        <v>128</v>
      </c>
      <c r="CN82" s="22">
        <v>1</v>
      </c>
      <c r="CO82" s="22">
        <v>2</v>
      </c>
      <c r="CP82" s="22">
        <v>3</v>
      </c>
      <c r="CQ82" s="22">
        <v>4</v>
      </c>
      <c r="CR82" s="22">
        <v>5</v>
      </c>
      <c r="CS82" s="22">
        <v>6</v>
      </c>
      <c r="CT82" s="22">
        <v>7</v>
      </c>
      <c r="CU82" s="22">
        <v>8</v>
      </c>
      <c r="CV82" s="22">
        <v>9</v>
      </c>
      <c r="CW82" s="22">
        <v>10</v>
      </c>
      <c r="CX82" s="22">
        <v>11</v>
      </c>
      <c r="CY82" s="22">
        <v>12</v>
      </c>
      <c r="CZ82" s="22">
        <v>13</v>
      </c>
      <c r="DA82" s="22">
        <v>14</v>
      </c>
      <c r="DB82" s="22">
        <v>15</v>
      </c>
      <c r="DC82" s="22">
        <v>16</v>
      </c>
      <c r="DD82" s="57"/>
      <c r="DE82" s="57"/>
      <c r="ES82" s="22"/>
    </row>
    <row r="83" spans="3:174" x14ac:dyDescent="0.25">
      <c r="C83" s="48">
        <v>77</v>
      </c>
      <c r="D83" s="42"/>
      <c r="E83" s="43"/>
      <c r="F83" s="43"/>
      <c r="G83" s="43"/>
      <c r="H83" s="43"/>
      <c r="I83" s="44"/>
      <c r="J83" s="44"/>
      <c r="K83" s="44"/>
      <c r="L83" s="44"/>
      <c r="M83" s="44"/>
      <c r="N83" s="42"/>
      <c r="O83" s="43"/>
      <c r="P83" s="43"/>
      <c r="Q83" s="43"/>
      <c r="R83" s="43"/>
      <c r="S83" s="44"/>
      <c r="T83" s="44"/>
      <c r="U83" s="44"/>
      <c r="V83" s="44"/>
      <c r="W83" s="44"/>
      <c r="X83" s="43"/>
      <c r="Y83" s="43"/>
      <c r="Z83" s="43"/>
      <c r="AA83" s="43"/>
      <c r="AB83" s="43"/>
      <c r="AC83" s="104"/>
      <c r="AD83" s="104"/>
      <c r="AE83" s="104"/>
      <c r="AF83" s="104"/>
      <c r="AG83" s="104"/>
      <c r="AH83" s="44"/>
      <c r="AI83" s="44"/>
      <c r="AJ83" s="44"/>
      <c r="AK83" s="44"/>
      <c r="AL83" s="44"/>
      <c r="AM83" s="43"/>
      <c r="AN83" s="43"/>
      <c r="AO83" s="43"/>
      <c r="AP83" s="43"/>
      <c r="AQ83" s="43"/>
      <c r="AR83" s="44">
        <f t="shared" si="149"/>
        <v>0</v>
      </c>
      <c r="AS83" s="44"/>
      <c r="AT83" s="44"/>
      <c r="AU83" s="44"/>
      <c r="AV83" s="44"/>
      <c r="AW83" s="43"/>
      <c r="AX83" s="43"/>
      <c r="AY83" s="43"/>
      <c r="AZ83" s="43"/>
      <c r="BA83" s="43"/>
      <c r="BB83" s="45"/>
      <c r="BC83" s="227"/>
      <c r="BD83" s="45"/>
      <c r="BE83" s="45"/>
      <c r="BF83" s="45"/>
      <c r="BG83" s="46"/>
      <c r="BH83" s="46"/>
      <c r="BI83" s="46"/>
      <c r="BJ83" s="46"/>
      <c r="BK83" s="46"/>
      <c r="BL83" s="46"/>
      <c r="BM83" s="46"/>
      <c r="BN83" s="46"/>
      <c r="BO83" s="46"/>
      <c r="BP83" s="46"/>
      <c r="BQ83" s="44"/>
      <c r="BR83" s="44"/>
      <c r="BS83" s="44"/>
      <c r="BT83" s="44"/>
      <c r="BU83" s="44"/>
      <c r="BV83" s="44"/>
      <c r="BW83" s="44"/>
      <c r="BX83" s="44"/>
      <c r="BY83" s="44"/>
      <c r="BZ83" s="44"/>
      <c r="CA83" s="44"/>
      <c r="CB83" s="43"/>
      <c r="CC83" s="43"/>
      <c r="CD83" s="43"/>
      <c r="CE83" s="43"/>
      <c r="CF83" s="43"/>
      <c r="CG83" s="43"/>
      <c r="CH83" s="43"/>
      <c r="CI83" s="43"/>
      <c r="CJ83" s="43"/>
      <c r="CK83" s="43"/>
      <c r="CN83" s="103">
        <f>CO83/2</f>
        <v>3.3333333333333333E-2</v>
      </c>
      <c r="CO83" s="110">
        <f>1/15</f>
        <v>6.6666666666666666E-2</v>
      </c>
      <c r="CP83" s="110">
        <f t="shared" ref="CP83:DB83" si="151">1/15</f>
        <v>6.6666666666666666E-2</v>
      </c>
      <c r="CQ83" s="110">
        <f t="shared" si="151"/>
        <v>6.6666666666666666E-2</v>
      </c>
      <c r="CR83" s="110">
        <f t="shared" si="151"/>
        <v>6.6666666666666666E-2</v>
      </c>
      <c r="CS83" s="110">
        <f t="shared" si="151"/>
        <v>6.6666666666666666E-2</v>
      </c>
      <c r="CT83" s="110">
        <f t="shared" si="151"/>
        <v>6.6666666666666666E-2</v>
      </c>
      <c r="CU83" s="110">
        <f t="shared" si="151"/>
        <v>6.6666666666666666E-2</v>
      </c>
      <c r="CV83" s="110">
        <f t="shared" si="151"/>
        <v>6.6666666666666666E-2</v>
      </c>
      <c r="CW83" s="110">
        <f t="shared" si="151"/>
        <v>6.6666666666666666E-2</v>
      </c>
      <c r="CX83" s="110">
        <f t="shared" si="151"/>
        <v>6.6666666666666666E-2</v>
      </c>
      <c r="CY83" s="110">
        <f t="shared" si="151"/>
        <v>6.6666666666666666E-2</v>
      </c>
      <c r="CZ83" s="110">
        <f t="shared" si="151"/>
        <v>6.6666666666666666E-2</v>
      </c>
      <c r="DA83" s="110">
        <f t="shared" si="151"/>
        <v>6.6666666666666666E-2</v>
      </c>
      <c r="DB83" s="110">
        <f t="shared" si="151"/>
        <v>6.6666666666666666E-2</v>
      </c>
      <c r="DC83" s="103">
        <f>DB83/2</f>
        <v>3.3333333333333333E-2</v>
      </c>
      <c r="DD83" s="57"/>
      <c r="DE83" s="57"/>
      <c r="ES83" s="22"/>
    </row>
    <row r="84" spans="3:174" ht="15.75" thickBot="1" x14ac:dyDescent="0.3">
      <c r="C84" s="91">
        <v>78</v>
      </c>
      <c r="D84" s="42"/>
      <c r="E84" s="43"/>
      <c r="F84" s="43"/>
      <c r="G84" s="43"/>
      <c r="H84" s="43"/>
      <c r="I84" s="44"/>
      <c r="J84" s="44"/>
      <c r="K84" s="44"/>
      <c r="L84" s="44"/>
      <c r="M84" s="44"/>
      <c r="N84" s="42"/>
      <c r="O84" s="43"/>
      <c r="P84" s="43"/>
      <c r="Q84" s="43"/>
      <c r="R84" s="43"/>
      <c r="S84" s="44"/>
      <c r="T84" s="44"/>
      <c r="U84" s="44"/>
      <c r="V84" s="44"/>
      <c r="W84" s="44"/>
      <c r="X84" s="43"/>
      <c r="Y84" s="43"/>
      <c r="Z84" s="43"/>
      <c r="AA84" s="43"/>
      <c r="AB84" s="43"/>
      <c r="AC84" s="104"/>
      <c r="AD84" s="104"/>
      <c r="AE84" s="104"/>
      <c r="AF84" s="104"/>
      <c r="AG84" s="104"/>
      <c r="AH84" s="44"/>
      <c r="AI84" s="44"/>
      <c r="AJ84" s="44"/>
      <c r="AK84" s="44"/>
      <c r="AL84" s="44"/>
      <c r="AM84" s="43"/>
      <c r="AN84" s="43"/>
      <c r="AO84" s="43"/>
      <c r="AP84" s="43"/>
      <c r="AQ84" s="43"/>
      <c r="AR84" s="44">
        <f t="shared" si="149"/>
        <v>0</v>
      </c>
      <c r="AS84" s="44"/>
      <c r="AT84" s="44"/>
      <c r="AU84" s="44"/>
      <c r="AV84" s="44"/>
      <c r="AW84" s="43"/>
      <c r="AX84" s="43"/>
      <c r="AY84" s="43"/>
      <c r="AZ84" s="43"/>
      <c r="BA84" s="43"/>
      <c r="BB84" s="45"/>
      <c r="BC84" s="227"/>
      <c r="BD84" s="45"/>
      <c r="BE84" s="45"/>
      <c r="BF84" s="45"/>
      <c r="BG84" s="46"/>
      <c r="BH84" s="46"/>
      <c r="BI84" s="46"/>
      <c r="BJ84" s="46"/>
      <c r="BK84" s="46"/>
      <c r="BL84" s="46"/>
      <c r="BM84" s="46"/>
      <c r="BN84" s="46"/>
      <c r="BO84" s="46"/>
      <c r="BP84" s="46"/>
      <c r="BQ84" s="44"/>
      <c r="BR84" s="44"/>
      <c r="BS84" s="44"/>
      <c r="BT84" s="44"/>
      <c r="BU84" s="44"/>
      <c r="BV84" s="44"/>
      <c r="BW84" s="44"/>
      <c r="BX84" s="44"/>
      <c r="BY84" s="44"/>
      <c r="BZ84" s="44"/>
      <c r="CA84" s="44"/>
      <c r="DB84" s="57"/>
      <c r="DC84" s="57"/>
      <c r="DD84" s="57"/>
      <c r="DE84" s="57"/>
      <c r="ES84" s="22"/>
    </row>
    <row r="85" spans="3:174" x14ac:dyDescent="0.25">
      <c r="AC85" s="104"/>
      <c r="AD85" s="104"/>
      <c r="AE85" s="104"/>
      <c r="AF85" s="104"/>
      <c r="AG85" s="104"/>
      <c r="AR85" s="44"/>
      <c r="AS85" s="44"/>
      <c r="AT85" s="44"/>
      <c r="AU85" s="44"/>
      <c r="AV85" s="44"/>
      <c r="BV85" s="44"/>
      <c r="BW85" s="44"/>
      <c r="BX85" s="44"/>
      <c r="BY85" s="44"/>
      <c r="BZ85" s="44"/>
      <c r="CN85" s="21"/>
      <c r="CO85" s="21"/>
      <c r="CP85" s="21"/>
      <c r="CQ85" s="21"/>
      <c r="DB85" s="57"/>
      <c r="DC85" s="57"/>
      <c r="DD85" s="57"/>
      <c r="DE85" s="57"/>
      <c r="ES85" s="22"/>
    </row>
    <row r="86" spans="3:174" x14ac:dyDescent="0.25">
      <c r="AC86" s="104"/>
      <c r="AD86" s="104"/>
      <c r="AE86" s="104"/>
      <c r="AF86" s="104"/>
      <c r="AG86" s="104"/>
      <c r="AR86" s="44"/>
      <c r="AS86" s="44"/>
      <c r="AT86" s="44"/>
      <c r="AU86" s="44"/>
      <c r="AV86" s="44"/>
      <c r="CM86" s="22" t="s">
        <v>149</v>
      </c>
      <c r="CQ86" s="57"/>
      <c r="DB86" s="57"/>
      <c r="DC86" s="57"/>
      <c r="DD86" s="57"/>
      <c r="DE86" s="57"/>
      <c r="ES86" s="22"/>
    </row>
    <row r="87" spans="3:174" x14ac:dyDescent="0.25">
      <c r="AC87" s="104"/>
      <c r="AD87" s="104"/>
      <c r="AE87" s="104"/>
      <c r="AF87" s="104"/>
      <c r="AG87" s="104"/>
      <c r="AR87" s="44"/>
      <c r="AS87" s="44"/>
      <c r="AT87" s="44"/>
      <c r="AU87" s="44"/>
      <c r="AV87" s="44"/>
      <c r="CM87" s="22" t="s">
        <v>118</v>
      </c>
      <c r="CN87" s="22">
        <v>1</v>
      </c>
      <c r="CO87" s="136" t="s">
        <v>150</v>
      </c>
      <c r="CP87" s="22">
        <v>41</v>
      </c>
      <c r="CQ87" s="57"/>
      <c r="DB87" s="57"/>
      <c r="DC87" s="57"/>
      <c r="DD87" s="57"/>
      <c r="DE87" s="57"/>
      <c r="ES87" s="22"/>
    </row>
    <row r="88" spans="3:174" x14ac:dyDescent="0.25">
      <c r="CM88" s="56">
        <v>1</v>
      </c>
      <c r="CN88" s="135">
        <v>2.3959999999999999E-2</v>
      </c>
      <c r="CO88" s="135">
        <v>2.5000000000000001E-2</v>
      </c>
      <c r="CP88" s="135">
        <v>1.0399999999999999E-3</v>
      </c>
      <c r="CQ88" s="57"/>
      <c r="DB88" s="57"/>
      <c r="DC88" s="57"/>
      <c r="DD88" s="57"/>
      <c r="DE88" s="57"/>
      <c r="ES88" s="22"/>
    </row>
    <row r="89" spans="3:174" x14ac:dyDescent="0.25">
      <c r="CM89" s="56">
        <v>2</v>
      </c>
      <c r="CN89" s="135">
        <v>2.188E-2</v>
      </c>
      <c r="CO89" s="135">
        <v>2.5000000000000001E-2</v>
      </c>
      <c r="CP89" s="135">
        <v>3.1199999999999999E-3</v>
      </c>
      <c r="CQ89" s="57"/>
      <c r="DB89" s="57"/>
      <c r="DC89" s="57"/>
      <c r="DD89" s="57"/>
      <c r="DE89" s="57"/>
      <c r="ES89" s="22"/>
    </row>
    <row r="90" spans="3:174" x14ac:dyDescent="0.25">
      <c r="CM90" s="56">
        <v>3</v>
      </c>
      <c r="CN90" s="135">
        <v>1.9789999999999999E-2</v>
      </c>
      <c r="CO90" s="135">
        <v>2.5000000000000001E-2</v>
      </c>
      <c r="CP90" s="135">
        <v>5.2100000000000002E-3</v>
      </c>
      <c r="CQ90" s="57"/>
      <c r="DB90" s="57"/>
      <c r="DC90" s="57"/>
      <c r="DD90" s="57"/>
      <c r="DE90" s="57"/>
      <c r="ES90" s="22"/>
    </row>
    <row r="91" spans="3:174" x14ac:dyDescent="0.25">
      <c r="CM91" s="56">
        <v>4</v>
      </c>
      <c r="CN91" s="135">
        <v>1.771E-2</v>
      </c>
      <c r="CO91" s="135">
        <v>2.5000000000000001E-2</v>
      </c>
      <c r="CP91" s="135">
        <v>7.2899999999999996E-3</v>
      </c>
      <c r="CQ91" s="57"/>
      <c r="DB91" s="57"/>
      <c r="DC91" s="57"/>
      <c r="DD91" s="57"/>
      <c r="DE91" s="57"/>
      <c r="ES91" s="22"/>
    </row>
    <row r="92" spans="3:174" x14ac:dyDescent="0.25">
      <c r="CM92" s="56">
        <v>5</v>
      </c>
      <c r="CN92" s="135">
        <v>1.5630000000000002E-2</v>
      </c>
      <c r="CO92" s="135">
        <v>2.5000000000000001E-2</v>
      </c>
      <c r="CP92" s="135">
        <v>9.3699999999999999E-3</v>
      </c>
      <c r="CQ92" s="57"/>
      <c r="DB92" s="57"/>
      <c r="DC92" s="57"/>
      <c r="DD92" s="57"/>
      <c r="DE92" s="57"/>
      <c r="ES92" s="22"/>
    </row>
    <row r="93" spans="3:174" x14ac:dyDescent="0.25">
      <c r="CM93" s="56">
        <v>6</v>
      </c>
      <c r="CN93" s="135">
        <v>1.354E-2</v>
      </c>
      <c r="CO93" s="135">
        <v>2.5000000000000001E-2</v>
      </c>
      <c r="CP93" s="135">
        <v>1.146E-2</v>
      </c>
      <c r="DB93" s="57"/>
      <c r="DC93" s="57"/>
      <c r="DD93" s="57"/>
      <c r="DE93" s="57"/>
      <c r="DF93" s="57"/>
      <c r="DG93" s="57"/>
      <c r="DH93" s="57"/>
      <c r="DI93" s="57"/>
      <c r="DJ93" s="57"/>
      <c r="DK93" s="57"/>
      <c r="ES93" s="22"/>
      <c r="FK93" s="57"/>
      <c r="FL93" s="57"/>
      <c r="FM93" s="57"/>
      <c r="FN93" s="57"/>
      <c r="FO93" s="57"/>
      <c r="FP93" s="57"/>
      <c r="FQ93" s="57"/>
      <c r="FR93" s="57"/>
    </row>
    <row r="94" spans="3:174" x14ac:dyDescent="0.25">
      <c r="CM94" s="56">
        <v>7</v>
      </c>
      <c r="CN94" s="135">
        <v>1.146E-2</v>
      </c>
      <c r="CO94" s="135">
        <v>2.5000000000000001E-2</v>
      </c>
      <c r="CP94" s="135">
        <v>1.354E-2</v>
      </c>
      <c r="DB94" s="57"/>
      <c r="DC94" s="57"/>
      <c r="DD94" s="57"/>
      <c r="DE94" s="57"/>
      <c r="DF94" s="57"/>
      <c r="DG94" s="57"/>
      <c r="DH94" s="57"/>
      <c r="DI94" s="57"/>
      <c r="DJ94" s="57"/>
      <c r="DK94" s="57"/>
      <c r="ES94" s="22"/>
      <c r="FK94" s="57"/>
      <c r="FL94" s="57"/>
      <c r="FM94" s="57"/>
      <c r="FN94" s="57"/>
      <c r="FO94" s="57"/>
      <c r="FP94" s="57"/>
      <c r="FQ94" s="57"/>
      <c r="FR94" s="57"/>
    </row>
    <row r="95" spans="3:174" x14ac:dyDescent="0.25">
      <c r="CM95" s="56">
        <v>8</v>
      </c>
      <c r="CN95" s="135">
        <v>9.3799999999999994E-3</v>
      </c>
      <c r="CO95" s="135">
        <v>2.5000000000000001E-2</v>
      </c>
      <c r="CP95" s="135">
        <v>1.562E-2</v>
      </c>
      <c r="DB95" s="57"/>
      <c r="DC95" s="57"/>
      <c r="DD95" s="57"/>
      <c r="DE95" s="57"/>
      <c r="DF95" s="57"/>
      <c r="DG95" s="57"/>
      <c r="DH95" s="57"/>
      <c r="DI95" s="57"/>
      <c r="DJ95" s="57"/>
      <c r="DK95" s="57"/>
      <c r="ES95" s="22"/>
      <c r="FK95" s="57"/>
      <c r="FL95" s="57"/>
      <c r="FM95" s="57"/>
      <c r="FN95" s="57"/>
      <c r="FO95" s="57"/>
      <c r="FP95" s="57"/>
      <c r="FQ95" s="57"/>
      <c r="FR95" s="57"/>
    </row>
    <row r="96" spans="3:174" x14ac:dyDescent="0.25">
      <c r="CM96" s="56">
        <v>9</v>
      </c>
      <c r="CN96" s="135">
        <v>7.2899999999999996E-3</v>
      </c>
      <c r="CO96" s="135">
        <v>2.5000000000000001E-2</v>
      </c>
      <c r="CP96" s="135">
        <v>1.771E-2</v>
      </c>
      <c r="DB96" s="57"/>
      <c r="DC96" s="57"/>
      <c r="DD96" s="57"/>
      <c r="DE96" s="57"/>
      <c r="DF96" s="57"/>
      <c r="DG96" s="57"/>
      <c r="DH96" s="57"/>
      <c r="DI96" s="57"/>
      <c r="DJ96" s="57"/>
      <c r="DK96" s="57"/>
      <c r="ES96" s="22"/>
      <c r="FK96" s="57"/>
      <c r="FL96" s="57"/>
      <c r="FM96" s="57"/>
      <c r="FN96" s="57"/>
      <c r="FO96" s="57"/>
      <c r="FP96" s="57"/>
      <c r="FQ96" s="57"/>
      <c r="FR96" s="57"/>
    </row>
    <row r="97" spans="91:174" x14ac:dyDescent="0.25">
      <c r="CM97" s="56">
        <v>10</v>
      </c>
      <c r="CN97" s="135">
        <v>5.2100000000000002E-3</v>
      </c>
      <c r="CO97" s="135">
        <v>2.5000000000000001E-2</v>
      </c>
      <c r="CP97" s="135">
        <v>1.9789999999999999E-2</v>
      </c>
      <c r="DB97" s="57"/>
      <c r="DC97" s="57"/>
      <c r="DD97" s="57"/>
      <c r="DE97" s="57"/>
      <c r="DF97" s="57"/>
      <c r="DG97" s="57"/>
      <c r="DH97" s="57"/>
      <c r="DI97" s="57"/>
      <c r="DJ97" s="57"/>
      <c r="DK97" s="57"/>
      <c r="ES97" s="22"/>
      <c r="FK97" s="57"/>
      <c r="FL97" s="57"/>
      <c r="FM97" s="57"/>
      <c r="FN97" s="57"/>
      <c r="FO97" s="57"/>
      <c r="FP97" s="57"/>
      <c r="FQ97" s="57"/>
      <c r="FR97" s="57"/>
    </row>
    <row r="98" spans="91:174" x14ac:dyDescent="0.25">
      <c r="CM98" s="56">
        <v>11</v>
      </c>
      <c r="CN98" s="135">
        <v>3.13E-3</v>
      </c>
      <c r="CO98" s="135">
        <v>2.5000000000000001E-2</v>
      </c>
      <c r="CP98" s="135">
        <v>2.1870000000000001E-2</v>
      </c>
      <c r="DB98" s="57"/>
      <c r="DC98" s="57"/>
      <c r="DD98" s="57"/>
      <c r="DE98" s="57"/>
      <c r="DF98" s="57"/>
      <c r="DG98" s="57"/>
      <c r="DH98" s="57"/>
      <c r="DI98" s="57"/>
      <c r="DJ98" s="57"/>
      <c r="DK98" s="57"/>
      <c r="ES98" s="22"/>
      <c r="FK98" s="57"/>
      <c r="FL98" s="57"/>
      <c r="FM98" s="57"/>
      <c r="FN98" s="57"/>
      <c r="FO98" s="57"/>
      <c r="FP98" s="57"/>
      <c r="FQ98" s="57"/>
      <c r="FR98" s="57"/>
    </row>
    <row r="99" spans="91:174" x14ac:dyDescent="0.25">
      <c r="CM99" s="56">
        <v>12</v>
      </c>
      <c r="CN99" s="135">
        <v>1.0399999999999999E-3</v>
      </c>
      <c r="CO99" s="135">
        <v>2.5000000000000001E-2</v>
      </c>
      <c r="CP99" s="135">
        <v>2.3959999999999999E-2</v>
      </c>
      <c r="DB99" s="57"/>
      <c r="DC99" s="57"/>
      <c r="DD99" s="57"/>
      <c r="DE99" s="57"/>
      <c r="DF99" s="57"/>
      <c r="DG99" s="57"/>
      <c r="DH99" s="57"/>
      <c r="DI99" s="57"/>
      <c r="DJ99" s="57"/>
      <c r="DK99" s="57"/>
      <c r="ES99" s="22"/>
      <c r="FK99" s="57"/>
      <c r="FL99" s="57"/>
      <c r="FM99" s="57"/>
      <c r="FN99" s="57"/>
      <c r="FO99" s="57"/>
      <c r="FP99" s="57"/>
      <c r="FQ99" s="57"/>
      <c r="FR99" s="57"/>
    </row>
    <row r="100" spans="91:174" x14ac:dyDescent="0.25">
      <c r="DB100" s="57"/>
      <c r="DC100" s="57"/>
      <c r="DD100" s="57"/>
      <c r="DE100" s="57"/>
      <c r="DF100" s="57"/>
      <c r="DG100" s="57"/>
      <c r="DH100" s="57"/>
      <c r="DI100" s="57"/>
      <c r="DJ100" s="57"/>
      <c r="DK100" s="57"/>
      <c r="ES100" s="22"/>
      <c r="FK100" s="57"/>
      <c r="FL100" s="57"/>
      <c r="FM100" s="57"/>
      <c r="FN100" s="57"/>
      <c r="FO100" s="57"/>
      <c r="FP100" s="57"/>
      <c r="FQ100" s="57"/>
      <c r="FR100" s="57"/>
    </row>
    <row r="101" spans="91:174" x14ac:dyDescent="0.25">
      <c r="DB101" s="57"/>
      <c r="DC101" s="57"/>
      <c r="DD101" s="57"/>
      <c r="DE101" s="57"/>
      <c r="DF101" s="57"/>
      <c r="DG101" s="57"/>
      <c r="DH101" s="57"/>
      <c r="DI101" s="57"/>
      <c r="DJ101" s="57"/>
      <c r="DK101" s="57"/>
      <c r="ES101" s="22"/>
      <c r="FK101" s="57"/>
      <c r="FL101" s="57"/>
      <c r="FM101" s="57"/>
      <c r="FN101" s="57"/>
      <c r="FO101" s="57"/>
      <c r="FP101" s="57"/>
      <c r="FQ101" s="57"/>
      <c r="FR101" s="57"/>
    </row>
    <row r="102" spans="91:174" x14ac:dyDescent="0.25">
      <c r="DB102" s="57"/>
      <c r="DC102" s="57"/>
      <c r="DD102" s="57"/>
      <c r="DE102" s="57"/>
      <c r="DF102" s="57"/>
      <c r="DG102" s="57"/>
      <c r="DH102" s="57"/>
      <c r="DI102" s="57"/>
      <c r="DJ102" s="57"/>
      <c r="DK102" s="57"/>
      <c r="ES102" s="22"/>
      <c r="FK102" s="57"/>
      <c r="FL102" s="57"/>
      <c r="FM102" s="57"/>
      <c r="FN102" s="57"/>
      <c r="FO102" s="57"/>
      <c r="FP102" s="57"/>
      <c r="FQ102" s="57"/>
      <c r="FR102" s="57"/>
    </row>
    <row r="103" spans="91:174" x14ac:dyDescent="0.25">
      <c r="DB103" s="57"/>
      <c r="DC103" s="57"/>
      <c r="DD103" s="57"/>
      <c r="DE103" s="57"/>
      <c r="DF103" s="57"/>
      <c r="DG103" s="57"/>
      <c r="DH103" s="57"/>
      <c r="DI103" s="57"/>
      <c r="DJ103" s="57"/>
      <c r="DK103" s="57"/>
      <c r="ES103" s="22"/>
      <c r="FK103" s="57"/>
      <c r="FL103" s="57"/>
      <c r="FM103" s="57"/>
      <c r="FN103" s="57"/>
      <c r="FO103" s="57"/>
      <c r="FP103" s="57"/>
      <c r="FQ103" s="57"/>
      <c r="FR103" s="57"/>
    </row>
    <row r="104" spans="91:174" x14ac:dyDescent="0.25">
      <c r="DB104" s="57"/>
      <c r="DC104" s="57"/>
      <c r="DD104" s="57"/>
      <c r="DE104" s="57"/>
      <c r="DF104" s="57"/>
      <c r="DG104" s="57"/>
      <c r="DH104" s="57"/>
      <c r="DI104" s="57"/>
      <c r="DJ104" s="57"/>
      <c r="DK104" s="57"/>
      <c r="ES104" s="22"/>
      <c r="FK104" s="57"/>
      <c r="FL104" s="57"/>
      <c r="FM104" s="57"/>
      <c r="FN104" s="57"/>
      <c r="FO104" s="57"/>
      <c r="FP104" s="57"/>
      <c r="FQ104" s="57"/>
      <c r="FR104" s="57"/>
    </row>
    <row r="105" spans="91:174" x14ac:dyDescent="0.25">
      <c r="DB105" s="57"/>
      <c r="DC105" s="57"/>
      <c r="DD105" s="57"/>
      <c r="DE105" s="57"/>
      <c r="DF105" s="57"/>
      <c r="DG105" s="57"/>
      <c r="DH105" s="57"/>
      <c r="DI105" s="57"/>
      <c r="DJ105" s="57"/>
      <c r="DK105" s="57"/>
      <c r="ES105" s="22"/>
      <c r="FK105" s="57"/>
      <c r="FL105" s="57"/>
      <c r="FM105" s="57"/>
      <c r="FN105" s="57"/>
      <c r="FO105" s="57"/>
      <c r="FP105" s="57"/>
      <c r="FQ105" s="57"/>
      <c r="FR105" s="57"/>
    </row>
    <row r="106" spans="91:174" x14ac:dyDescent="0.25">
      <c r="DB106" s="57"/>
      <c r="DC106" s="57"/>
      <c r="DD106" s="57"/>
      <c r="DE106" s="57"/>
      <c r="DF106" s="57"/>
      <c r="DG106" s="57"/>
      <c r="DH106" s="57"/>
      <c r="DI106" s="57"/>
      <c r="DJ106" s="57"/>
      <c r="DK106" s="57"/>
      <c r="ES106" s="22"/>
      <c r="FK106" s="57"/>
      <c r="FL106" s="57"/>
      <c r="FM106" s="57"/>
      <c r="FN106" s="57"/>
      <c r="FO106" s="57"/>
      <c r="FP106" s="57"/>
      <c r="FQ106" s="57"/>
      <c r="FR106" s="57"/>
    </row>
    <row r="107" spans="91:174" x14ac:dyDescent="0.25">
      <c r="CM107" s="22" t="s">
        <v>117</v>
      </c>
      <c r="CN107" s="22" t="s">
        <v>49</v>
      </c>
      <c r="DD107" s="57"/>
      <c r="DE107" s="57"/>
      <c r="DF107" s="57"/>
      <c r="DG107" s="57"/>
      <c r="DH107" s="57"/>
      <c r="DI107" s="57"/>
      <c r="DJ107" s="57"/>
      <c r="DK107" s="57"/>
      <c r="ES107" s="22"/>
    </row>
    <row r="108" spans="91:174" x14ac:dyDescent="0.25">
      <c r="CM108" s="22" t="s">
        <v>118</v>
      </c>
      <c r="CN108" s="22">
        <v>1</v>
      </c>
      <c r="CO108" s="22">
        <v>2</v>
      </c>
      <c r="CP108" s="22">
        <v>3</v>
      </c>
      <c r="CQ108" s="22">
        <v>4</v>
      </c>
      <c r="CR108" s="22">
        <v>5</v>
      </c>
      <c r="CS108" s="22">
        <v>6</v>
      </c>
      <c r="CT108" s="22">
        <v>7</v>
      </c>
      <c r="CU108" s="22">
        <v>8</v>
      </c>
      <c r="CV108" s="22">
        <v>9</v>
      </c>
      <c r="CW108" s="22">
        <v>10</v>
      </c>
      <c r="CX108" s="22">
        <v>11</v>
      </c>
      <c r="CY108" s="22">
        <v>12</v>
      </c>
      <c r="CZ108" s="22">
        <v>13</v>
      </c>
      <c r="DA108" s="22">
        <v>14</v>
      </c>
      <c r="DB108" s="22">
        <v>15</v>
      </c>
      <c r="DC108" s="22">
        <v>16</v>
      </c>
      <c r="DD108" s="22">
        <v>17</v>
      </c>
      <c r="DE108" s="22">
        <v>18</v>
      </c>
      <c r="DF108" s="22">
        <v>19</v>
      </c>
      <c r="DG108" s="22">
        <v>20</v>
      </c>
      <c r="DH108" s="22">
        <v>21</v>
      </c>
      <c r="DI108" s="22">
        <v>22</v>
      </c>
      <c r="DJ108" s="22">
        <v>23</v>
      </c>
      <c r="DK108" s="22">
        <v>24</v>
      </c>
      <c r="DL108" s="22">
        <v>25</v>
      </c>
      <c r="DM108" s="22">
        <v>26</v>
      </c>
      <c r="DN108" s="22">
        <v>27</v>
      </c>
      <c r="DO108" s="22">
        <v>28</v>
      </c>
      <c r="DP108" s="22">
        <v>29</v>
      </c>
      <c r="ES108" s="22"/>
    </row>
    <row r="109" spans="91:174" x14ac:dyDescent="0.25">
      <c r="CM109" s="56">
        <v>1</v>
      </c>
      <c r="CN109" s="95">
        <v>3.4849999999999999E-2</v>
      </c>
      <c r="CO109" s="95">
        <v>3.6360000000000003E-2</v>
      </c>
      <c r="CP109" s="95">
        <v>3.6360000000000003E-2</v>
      </c>
      <c r="CQ109" s="95">
        <v>3.6360000000000003E-2</v>
      </c>
      <c r="CR109" s="95">
        <v>3.6360000000000003E-2</v>
      </c>
      <c r="CS109" s="95">
        <v>3.6360000000000003E-2</v>
      </c>
      <c r="CT109" s="95">
        <v>3.6360000000000003E-2</v>
      </c>
      <c r="CU109" s="95">
        <v>3.6360000000000003E-2</v>
      </c>
      <c r="CV109" s="95">
        <v>3.6360000000000003E-2</v>
      </c>
      <c r="CW109" s="95">
        <v>3.637E-2</v>
      </c>
      <c r="CX109" s="95">
        <v>3.6360000000000003E-2</v>
      </c>
      <c r="CY109" s="95">
        <v>3.637E-2</v>
      </c>
      <c r="CZ109" s="95">
        <v>3.6360000000000003E-2</v>
      </c>
      <c r="DA109" s="95">
        <v>3.637E-2</v>
      </c>
      <c r="DB109" s="95">
        <v>3.6360000000000003E-2</v>
      </c>
      <c r="DC109" s="95">
        <v>3.637E-2</v>
      </c>
      <c r="DD109" s="95">
        <v>3.6360000000000003E-2</v>
      </c>
      <c r="DE109" s="95">
        <v>3.637E-2</v>
      </c>
      <c r="DF109" s="95">
        <v>3.6360000000000003E-2</v>
      </c>
      <c r="DG109" s="95">
        <v>3.637E-2</v>
      </c>
      <c r="DH109" s="95">
        <v>3.6360000000000003E-2</v>
      </c>
      <c r="DI109" s="95">
        <v>3.637E-2</v>
      </c>
      <c r="DJ109" s="95">
        <v>3.6360000000000003E-2</v>
      </c>
      <c r="DK109" s="95">
        <v>3.637E-2</v>
      </c>
      <c r="DL109" s="95">
        <v>3.6360000000000003E-2</v>
      </c>
      <c r="DM109" s="95">
        <v>3.637E-2</v>
      </c>
      <c r="DN109" s="95">
        <v>3.6360000000000003E-2</v>
      </c>
      <c r="DO109" s="95">
        <v>1.9699999999999999E-2</v>
      </c>
      <c r="DP109" s="95">
        <v>0</v>
      </c>
      <c r="ES109" s="22"/>
    </row>
    <row r="110" spans="91:174" x14ac:dyDescent="0.25">
      <c r="CM110" s="56">
        <v>2</v>
      </c>
      <c r="CN110" s="95">
        <v>3.1820000000000001E-2</v>
      </c>
      <c r="CO110" s="95">
        <v>3.6360000000000003E-2</v>
      </c>
      <c r="CP110" s="95">
        <v>3.6360000000000003E-2</v>
      </c>
      <c r="CQ110" s="95">
        <v>3.6360000000000003E-2</v>
      </c>
      <c r="CR110" s="95">
        <v>3.6360000000000003E-2</v>
      </c>
      <c r="CS110" s="95">
        <v>3.6360000000000003E-2</v>
      </c>
      <c r="CT110" s="95">
        <v>3.6360000000000003E-2</v>
      </c>
      <c r="CU110" s="95">
        <v>3.6360000000000003E-2</v>
      </c>
      <c r="CV110" s="95">
        <v>3.6360000000000003E-2</v>
      </c>
      <c r="CW110" s="95">
        <v>3.637E-2</v>
      </c>
      <c r="CX110" s="95">
        <v>3.6360000000000003E-2</v>
      </c>
      <c r="CY110" s="95">
        <v>3.637E-2</v>
      </c>
      <c r="CZ110" s="95">
        <v>3.6360000000000003E-2</v>
      </c>
      <c r="DA110" s="95">
        <v>3.637E-2</v>
      </c>
      <c r="DB110" s="95">
        <v>3.6360000000000003E-2</v>
      </c>
      <c r="DC110" s="95">
        <v>3.637E-2</v>
      </c>
      <c r="DD110" s="95">
        <v>3.6360000000000003E-2</v>
      </c>
      <c r="DE110" s="95">
        <v>3.637E-2</v>
      </c>
      <c r="DF110" s="95">
        <v>3.6360000000000003E-2</v>
      </c>
      <c r="DG110" s="95">
        <v>3.637E-2</v>
      </c>
      <c r="DH110" s="95">
        <v>3.6360000000000003E-2</v>
      </c>
      <c r="DI110" s="95">
        <v>3.637E-2</v>
      </c>
      <c r="DJ110" s="95">
        <v>3.6360000000000003E-2</v>
      </c>
      <c r="DK110" s="95">
        <v>3.637E-2</v>
      </c>
      <c r="DL110" s="95">
        <v>3.6360000000000003E-2</v>
      </c>
      <c r="DM110" s="95">
        <v>3.637E-2</v>
      </c>
      <c r="DN110" s="95">
        <v>3.6360000000000003E-2</v>
      </c>
      <c r="DO110" s="95">
        <v>2.273E-2</v>
      </c>
      <c r="DP110" s="95">
        <v>0</v>
      </c>
      <c r="ES110" s="22"/>
    </row>
    <row r="111" spans="91:174" x14ac:dyDescent="0.25">
      <c r="CM111" s="56">
        <v>3</v>
      </c>
      <c r="CN111" s="95">
        <v>2.879E-2</v>
      </c>
      <c r="CO111" s="95">
        <v>3.6360000000000003E-2</v>
      </c>
      <c r="CP111" s="95">
        <v>3.6360000000000003E-2</v>
      </c>
      <c r="CQ111" s="95">
        <v>3.6360000000000003E-2</v>
      </c>
      <c r="CR111" s="95">
        <v>3.6360000000000003E-2</v>
      </c>
      <c r="CS111" s="95">
        <v>3.6360000000000003E-2</v>
      </c>
      <c r="CT111" s="95">
        <v>3.6360000000000003E-2</v>
      </c>
      <c r="CU111" s="95">
        <v>3.6360000000000003E-2</v>
      </c>
      <c r="CV111" s="95">
        <v>3.6360000000000003E-2</v>
      </c>
      <c r="CW111" s="95">
        <v>3.637E-2</v>
      </c>
      <c r="CX111" s="95">
        <v>3.6360000000000003E-2</v>
      </c>
      <c r="CY111" s="95">
        <v>3.637E-2</v>
      </c>
      <c r="CZ111" s="95">
        <v>3.6360000000000003E-2</v>
      </c>
      <c r="DA111" s="95">
        <v>3.637E-2</v>
      </c>
      <c r="DB111" s="95">
        <v>3.6360000000000003E-2</v>
      </c>
      <c r="DC111" s="95">
        <v>3.637E-2</v>
      </c>
      <c r="DD111" s="95">
        <v>3.6360000000000003E-2</v>
      </c>
      <c r="DE111" s="95">
        <v>3.637E-2</v>
      </c>
      <c r="DF111" s="95">
        <v>3.6360000000000003E-2</v>
      </c>
      <c r="DG111" s="95">
        <v>3.637E-2</v>
      </c>
      <c r="DH111" s="95">
        <v>3.6360000000000003E-2</v>
      </c>
      <c r="DI111" s="95">
        <v>3.637E-2</v>
      </c>
      <c r="DJ111" s="95">
        <v>3.6360000000000003E-2</v>
      </c>
      <c r="DK111" s="95">
        <v>3.637E-2</v>
      </c>
      <c r="DL111" s="95">
        <v>3.6360000000000003E-2</v>
      </c>
      <c r="DM111" s="95">
        <v>3.637E-2</v>
      </c>
      <c r="DN111" s="95">
        <v>3.6360000000000003E-2</v>
      </c>
      <c r="DO111" s="95">
        <v>2.5760000000000002E-2</v>
      </c>
      <c r="DP111" s="95">
        <v>0</v>
      </c>
      <c r="ES111" s="22"/>
    </row>
    <row r="112" spans="91:174" x14ac:dyDescent="0.25">
      <c r="CM112" s="56">
        <v>4</v>
      </c>
      <c r="CN112" s="95">
        <v>2.5760000000000002E-2</v>
      </c>
      <c r="CO112" s="95">
        <v>3.6360000000000003E-2</v>
      </c>
      <c r="CP112" s="95">
        <v>3.6360000000000003E-2</v>
      </c>
      <c r="CQ112" s="95">
        <v>3.6360000000000003E-2</v>
      </c>
      <c r="CR112" s="95">
        <v>3.6360000000000003E-2</v>
      </c>
      <c r="CS112" s="95">
        <v>3.6360000000000003E-2</v>
      </c>
      <c r="CT112" s="95">
        <v>3.6360000000000003E-2</v>
      </c>
      <c r="CU112" s="95">
        <v>3.6360000000000003E-2</v>
      </c>
      <c r="CV112" s="95">
        <v>3.6360000000000003E-2</v>
      </c>
      <c r="CW112" s="95">
        <v>3.637E-2</v>
      </c>
      <c r="CX112" s="95">
        <v>3.6360000000000003E-2</v>
      </c>
      <c r="CY112" s="95">
        <v>3.637E-2</v>
      </c>
      <c r="CZ112" s="95">
        <v>3.6360000000000003E-2</v>
      </c>
      <c r="DA112" s="95">
        <v>3.637E-2</v>
      </c>
      <c r="DB112" s="95">
        <v>3.6360000000000003E-2</v>
      </c>
      <c r="DC112" s="95">
        <v>3.637E-2</v>
      </c>
      <c r="DD112" s="95">
        <v>3.6360000000000003E-2</v>
      </c>
      <c r="DE112" s="95">
        <v>3.637E-2</v>
      </c>
      <c r="DF112" s="95">
        <v>3.6360000000000003E-2</v>
      </c>
      <c r="DG112" s="95">
        <v>3.637E-2</v>
      </c>
      <c r="DH112" s="95">
        <v>3.6360000000000003E-2</v>
      </c>
      <c r="DI112" s="95">
        <v>3.637E-2</v>
      </c>
      <c r="DJ112" s="95">
        <v>3.6360000000000003E-2</v>
      </c>
      <c r="DK112" s="95">
        <v>3.637E-2</v>
      </c>
      <c r="DL112" s="95">
        <v>3.6360000000000003E-2</v>
      </c>
      <c r="DM112" s="95">
        <v>3.637E-2</v>
      </c>
      <c r="DN112" s="95">
        <v>3.6360000000000003E-2</v>
      </c>
      <c r="DO112" s="95">
        <v>2.879E-2</v>
      </c>
      <c r="DP112" s="95">
        <v>0</v>
      </c>
      <c r="ES112" s="22"/>
    </row>
    <row r="113" spans="91:149" x14ac:dyDescent="0.25">
      <c r="CM113" s="56">
        <v>5</v>
      </c>
      <c r="CN113" s="95">
        <v>2.273E-2</v>
      </c>
      <c r="CO113" s="95">
        <v>3.6360000000000003E-2</v>
      </c>
      <c r="CP113" s="95">
        <v>3.6360000000000003E-2</v>
      </c>
      <c r="CQ113" s="95">
        <v>3.6360000000000003E-2</v>
      </c>
      <c r="CR113" s="95">
        <v>3.6360000000000003E-2</v>
      </c>
      <c r="CS113" s="95">
        <v>3.6360000000000003E-2</v>
      </c>
      <c r="CT113" s="95">
        <v>3.6360000000000003E-2</v>
      </c>
      <c r="CU113" s="95">
        <v>3.6360000000000003E-2</v>
      </c>
      <c r="CV113" s="95">
        <v>3.6360000000000003E-2</v>
      </c>
      <c r="CW113" s="95">
        <v>3.637E-2</v>
      </c>
      <c r="CX113" s="95">
        <v>3.6360000000000003E-2</v>
      </c>
      <c r="CY113" s="95">
        <v>3.637E-2</v>
      </c>
      <c r="CZ113" s="95">
        <v>3.6360000000000003E-2</v>
      </c>
      <c r="DA113" s="95">
        <v>3.637E-2</v>
      </c>
      <c r="DB113" s="95">
        <v>3.6360000000000003E-2</v>
      </c>
      <c r="DC113" s="95">
        <v>3.637E-2</v>
      </c>
      <c r="DD113" s="95">
        <v>3.6360000000000003E-2</v>
      </c>
      <c r="DE113" s="95">
        <v>3.637E-2</v>
      </c>
      <c r="DF113" s="95">
        <v>3.6360000000000003E-2</v>
      </c>
      <c r="DG113" s="95">
        <v>3.637E-2</v>
      </c>
      <c r="DH113" s="95">
        <v>3.6360000000000003E-2</v>
      </c>
      <c r="DI113" s="95">
        <v>3.637E-2</v>
      </c>
      <c r="DJ113" s="95">
        <v>3.6360000000000003E-2</v>
      </c>
      <c r="DK113" s="95">
        <v>3.637E-2</v>
      </c>
      <c r="DL113" s="95">
        <v>3.6360000000000003E-2</v>
      </c>
      <c r="DM113" s="95">
        <v>3.637E-2</v>
      </c>
      <c r="DN113" s="95">
        <v>3.6360000000000003E-2</v>
      </c>
      <c r="DO113" s="95">
        <v>3.1820000000000001E-2</v>
      </c>
      <c r="DP113" s="95">
        <v>0</v>
      </c>
      <c r="ES113" s="22"/>
    </row>
    <row r="114" spans="91:149" x14ac:dyDescent="0.25">
      <c r="CM114" s="56">
        <v>6</v>
      </c>
      <c r="CN114" s="95">
        <v>1.9699999999999999E-2</v>
      </c>
      <c r="CO114" s="95">
        <v>3.6360000000000003E-2</v>
      </c>
      <c r="CP114" s="95">
        <v>3.6360000000000003E-2</v>
      </c>
      <c r="CQ114" s="95">
        <v>3.6360000000000003E-2</v>
      </c>
      <c r="CR114" s="95">
        <v>3.6360000000000003E-2</v>
      </c>
      <c r="CS114" s="95">
        <v>3.6360000000000003E-2</v>
      </c>
      <c r="CT114" s="95">
        <v>3.6360000000000003E-2</v>
      </c>
      <c r="CU114" s="95">
        <v>3.6360000000000003E-2</v>
      </c>
      <c r="CV114" s="95">
        <v>3.6360000000000003E-2</v>
      </c>
      <c r="CW114" s="95">
        <v>3.637E-2</v>
      </c>
      <c r="CX114" s="95">
        <v>3.6360000000000003E-2</v>
      </c>
      <c r="CY114" s="95">
        <v>3.637E-2</v>
      </c>
      <c r="CZ114" s="95">
        <v>3.6360000000000003E-2</v>
      </c>
      <c r="DA114" s="95">
        <v>3.637E-2</v>
      </c>
      <c r="DB114" s="95">
        <v>3.6360000000000003E-2</v>
      </c>
      <c r="DC114" s="95">
        <v>3.637E-2</v>
      </c>
      <c r="DD114" s="95">
        <v>3.6360000000000003E-2</v>
      </c>
      <c r="DE114" s="95">
        <v>3.637E-2</v>
      </c>
      <c r="DF114" s="95">
        <v>3.6360000000000003E-2</v>
      </c>
      <c r="DG114" s="95">
        <v>3.637E-2</v>
      </c>
      <c r="DH114" s="95">
        <v>3.6360000000000003E-2</v>
      </c>
      <c r="DI114" s="95">
        <v>3.637E-2</v>
      </c>
      <c r="DJ114" s="95">
        <v>3.6360000000000003E-2</v>
      </c>
      <c r="DK114" s="95">
        <v>3.637E-2</v>
      </c>
      <c r="DL114" s="95">
        <v>3.6360000000000003E-2</v>
      </c>
      <c r="DM114" s="95">
        <v>3.637E-2</v>
      </c>
      <c r="DN114" s="95">
        <v>3.6360000000000003E-2</v>
      </c>
      <c r="DO114" s="95">
        <v>3.4849999999999999E-2</v>
      </c>
      <c r="DP114" s="95">
        <v>0</v>
      </c>
      <c r="ES114" s="22"/>
    </row>
    <row r="115" spans="91:149" x14ac:dyDescent="0.25">
      <c r="CM115" s="56">
        <v>7</v>
      </c>
      <c r="CN115" s="95">
        <v>1.6670000000000001E-2</v>
      </c>
      <c r="CO115" s="95">
        <v>3.6360000000000003E-2</v>
      </c>
      <c r="CP115" s="95">
        <v>3.6360000000000003E-2</v>
      </c>
      <c r="CQ115" s="95">
        <v>3.6360000000000003E-2</v>
      </c>
      <c r="CR115" s="95">
        <v>3.6360000000000003E-2</v>
      </c>
      <c r="CS115" s="95">
        <v>3.6360000000000003E-2</v>
      </c>
      <c r="CT115" s="95">
        <v>3.6360000000000003E-2</v>
      </c>
      <c r="CU115" s="95">
        <v>3.6360000000000003E-2</v>
      </c>
      <c r="CV115" s="95">
        <v>3.6360000000000003E-2</v>
      </c>
      <c r="CW115" s="95">
        <v>3.6360000000000003E-2</v>
      </c>
      <c r="CX115" s="95">
        <v>3.637E-2</v>
      </c>
      <c r="CY115" s="95">
        <v>3.6360000000000003E-2</v>
      </c>
      <c r="CZ115" s="95">
        <v>3.637E-2</v>
      </c>
      <c r="DA115" s="95">
        <v>3.6360000000000003E-2</v>
      </c>
      <c r="DB115" s="95">
        <v>3.637E-2</v>
      </c>
      <c r="DC115" s="95">
        <v>3.6360000000000003E-2</v>
      </c>
      <c r="DD115" s="95">
        <v>3.637E-2</v>
      </c>
      <c r="DE115" s="95">
        <v>3.6360000000000003E-2</v>
      </c>
      <c r="DF115" s="95">
        <v>3.637E-2</v>
      </c>
      <c r="DG115" s="95">
        <v>3.6360000000000003E-2</v>
      </c>
      <c r="DH115" s="95">
        <v>3.637E-2</v>
      </c>
      <c r="DI115" s="95">
        <v>3.6360000000000003E-2</v>
      </c>
      <c r="DJ115" s="95">
        <v>3.637E-2</v>
      </c>
      <c r="DK115" s="95">
        <v>3.6360000000000003E-2</v>
      </c>
      <c r="DL115" s="95">
        <v>3.637E-2</v>
      </c>
      <c r="DM115" s="95">
        <v>3.6360000000000003E-2</v>
      </c>
      <c r="DN115" s="95">
        <v>3.637E-2</v>
      </c>
      <c r="DO115" s="95">
        <v>3.6360000000000003E-2</v>
      </c>
      <c r="DP115" s="95">
        <v>1.5200000000000001E-3</v>
      </c>
      <c r="ES115" s="22"/>
    </row>
    <row r="116" spans="91:149" x14ac:dyDescent="0.25">
      <c r="CM116" s="56">
        <v>8</v>
      </c>
      <c r="CN116" s="95">
        <v>1.3639999999999999E-2</v>
      </c>
      <c r="CO116" s="95">
        <v>3.6360000000000003E-2</v>
      </c>
      <c r="CP116" s="95">
        <v>3.6360000000000003E-2</v>
      </c>
      <c r="CQ116" s="95">
        <v>3.6360000000000003E-2</v>
      </c>
      <c r="CR116" s="95">
        <v>3.6360000000000003E-2</v>
      </c>
      <c r="CS116" s="95">
        <v>3.6360000000000003E-2</v>
      </c>
      <c r="CT116" s="95">
        <v>3.6360000000000003E-2</v>
      </c>
      <c r="CU116" s="95">
        <v>3.6360000000000003E-2</v>
      </c>
      <c r="CV116" s="95">
        <v>3.6360000000000003E-2</v>
      </c>
      <c r="CW116" s="95">
        <v>3.6360000000000003E-2</v>
      </c>
      <c r="CX116" s="95">
        <v>3.637E-2</v>
      </c>
      <c r="CY116" s="95">
        <v>3.6360000000000003E-2</v>
      </c>
      <c r="CZ116" s="95">
        <v>3.637E-2</v>
      </c>
      <c r="DA116" s="95">
        <v>3.6360000000000003E-2</v>
      </c>
      <c r="DB116" s="95">
        <v>3.637E-2</v>
      </c>
      <c r="DC116" s="95">
        <v>3.6360000000000003E-2</v>
      </c>
      <c r="DD116" s="95">
        <v>3.637E-2</v>
      </c>
      <c r="DE116" s="95">
        <v>3.6360000000000003E-2</v>
      </c>
      <c r="DF116" s="95">
        <v>3.637E-2</v>
      </c>
      <c r="DG116" s="95">
        <v>3.6360000000000003E-2</v>
      </c>
      <c r="DH116" s="95">
        <v>3.637E-2</v>
      </c>
      <c r="DI116" s="95">
        <v>3.6360000000000003E-2</v>
      </c>
      <c r="DJ116" s="95">
        <v>3.637E-2</v>
      </c>
      <c r="DK116" s="95">
        <v>3.6360000000000003E-2</v>
      </c>
      <c r="DL116" s="95">
        <v>3.637E-2</v>
      </c>
      <c r="DM116" s="95">
        <v>3.6360000000000003E-2</v>
      </c>
      <c r="DN116" s="95">
        <v>3.637E-2</v>
      </c>
      <c r="DO116" s="95">
        <v>3.6360000000000003E-2</v>
      </c>
      <c r="DP116" s="95">
        <v>4.5500000000000002E-3</v>
      </c>
      <c r="ES116" s="22"/>
    </row>
    <row r="117" spans="91:149" x14ac:dyDescent="0.25">
      <c r="CM117" s="56">
        <v>9</v>
      </c>
      <c r="CN117" s="95">
        <v>1.061E-2</v>
      </c>
      <c r="CO117" s="95">
        <v>3.6360000000000003E-2</v>
      </c>
      <c r="CP117" s="95">
        <v>3.6360000000000003E-2</v>
      </c>
      <c r="CQ117" s="95">
        <v>3.6360000000000003E-2</v>
      </c>
      <c r="CR117" s="95">
        <v>3.6360000000000003E-2</v>
      </c>
      <c r="CS117" s="95">
        <v>3.6360000000000003E-2</v>
      </c>
      <c r="CT117" s="95">
        <v>3.6360000000000003E-2</v>
      </c>
      <c r="CU117" s="95">
        <v>3.6360000000000003E-2</v>
      </c>
      <c r="CV117" s="95">
        <v>3.6360000000000003E-2</v>
      </c>
      <c r="CW117" s="95">
        <v>3.6360000000000003E-2</v>
      </c>
      <c r="CX117" s="95">
        <v>3.637E-2</v>
      </c>
      <c r="CY117" s="95">
        <v>3.6360000000000003E-2</v>
      </c>
      <c r="CZ117" s="95">
        <v>3.637E-2</v>
      </c>
      <c r="DA117" s="95">
        <v>3.6360000000000003E-2</v>
      </c>
      <c r="DB117" s="95">
        <v>3.637E-2</v>
      </c>
      <c r="DC117" s="95">
        <v>3.6360000000000003E-2</v>
      </c>
      <c r="DD117" s="95">
        <v>3.637E-2</v>
      </c>
      <c r="DE117" s="95">
        <v>3.6360000000000003E-2</v>
      </c>
      <c r="DF117" s="95">
        <v>3.637E-2</v>
      </c>
      <c r="DG117" s="95">
        <v>3.6360000000000003E-2</v>
      </c>
      <c r="DH117" s="95">
        <v>3.637E-2</v>
      </c>
      <c r="DI117" s="95">
        <v>3.6360000000000003E-2</v>
      </c>
      <c r="DJ117" s="95">
        <v>3.637E-2</v>
      </c>
      <c r="DK117" s="95">
        <v>3.6360000000000003E-2</v>
      </c>
      <c r="DL117" s="95">
        <v>3.637E-2</v>
      </c>
      <c r="DM117" s="95">
        <v>3.6360000000000003E-2</v>
      </c>
      <c r="DN117" s="95">
        <v>3.637E-2</v>
      </c>
      <c r="DO117" s="95">
        <v>3.6360000000000003E-2</v>
      </c>
      <c r="DP117" s="95">
        <v>7.5799999999999999E-3</v>
      </c>
      <c r="ES117" s="22"/>
    </row>
    <row r="118" spans="91:149" x14ac:dyDescent="0.25">
      <c r="CM118" s="56">
        <v>10</v>
      </c>
      <c r="CN118" s="95">
        <v>7.5799999999999999E-3</v>
      </c>
      <c r="CO118" s="95">
        <v>3.6360000000000003E-2</v>
      </c>
      <c r="CP118" s="95">
        <v>3.6360000000000003E-2</v>
      </c>
      <c r="CQ118" s="95">
        <v>3.6360000000000003E-2</v>
      </c>
      <c r="CR118" s="95">
        <v>3.6360000000000003E-2</v>
      </c>
      <c r="CS118" s="95">
        <v>3.6360000000000003E-2</v>
      </c>
      <c r="CT118" s="95">
        <v>3.6360000000000003E-2</v>
      </c>
      <c r="CU118" s="95">
        <v>3.6360000000000003E-2</v>
      </c>
      <c r="CV118" s="95">
        <v>3.6360000000000003E-2</v>
      </c>
      <c r="CW118" s="95">
        <v>3.6360000000000003E-2</v>
      </c>
      <c r="CX118" s="95">
        <v>3.637E-2</v>
      </c>
      <c r="CY118" s="95">
        <v>3.6360000000000003E-2</v>
      </c>
      <c r="CZ118" s="95">
        <v>3.637E-2</v>
      </c>
      <c r="DA118" s="95">
        <v>3.6360000000000003E-2</v>
      </c>
      <c r="DB118" s="95">
        <v>3.637E-2</v>
      </c>
      <c r="DC118" s="95">
        <v>3.6360000000000003E-2</v>
      </c>
      <c r="DD118" s="95">
        <v>3.637E-2</v>
      </c>
      <c r="DE118" s="95">
        <v>3.6360000000000003E-2</v>
      </c>
      <c r="DF118" s="95">
        <v>3.637E-2</v>
      </c>
      <c r="DG118" s="95">
        <v>3.6360000000000003E-2</v>
      </c>
      <c r="DH118" s="95">
        <v>3.637E-2</v>
      </c>
      <c r="DI118" s="95">
        <v>3.6360000000000003E-2</v>
      </c>
      <c r="DJ118" s="95">
        <v>3.637E-2</v>
      </c>
      <c r="DK118" s="95">
        <v>3.6360000000000003E-2</v>
      </c>
      <c r="DL118" s="95">
        <v>3.637E-2</v>
      </c>
      <c r="DM118" s="95">
        <v>3.6360000000000003E-2</v>
      </c>
      <c r="DN118" s="95">
        <v>3.637E-2</v>
      </c>
      <c r="DO118" s="95">
        <v>3.6360000000000003E-2</v>
      </c>
      <c r="DP118" s="95">
        <v>1.061E-2</v>
      </c>
      <c r="ES118" s="22"/>
    </row>
    <row r="119" spans="91:149" x14ac:dyDescent="0.25">
      <c r="CM119" s="56">
        <v>11</v>
      </c>
      <c r="CN119" s="95">
        <v>4.5500000000000002E-3</v>
      </c>
      <c r="CO119" s="95">
        <v>3.6360000000000003E-2</v>
      </c>
      <c r="CP119" s="95">
        <v>3.6360000000000003E-2</v>
      </c>
      <c r="CQ119" s="95">
        <v>3.6360000000000003E-2</v>
      </c>
      <c r="CR119" s="95">
        <v>3.6360000000000003E-2</v>
      </c>
      <c r="CS119" s="95">
        <v>3.6360000000000003E-2</v>
      </c>
      <c r="CT119" s="95">
        <v>3.6360000000000003E-2</v>
      </c>
      <c r="CU119" s="95">
        <v>3.6360000000000003E-2</v>
      </c>
      <c r="CV119" s="95">
        <v>3.6360000000000003E-2</v>
      </c>
      <c r="CW119" s="95">
        <v>3.6360000000000003E-2</v>
      </c>
      <c r="CX119" s="95">
        <v>3.637E-2</v>
      </c>
      <c r="CY119" s="95">
        <v>3.6360000000000003E-2</v>
      </c>
      <c r="CZ119" s="95">
        <v>3.637E-2</v>
      </c>
      <c r="DA119" s="95">
        <v>3.6360000000000003E-2</v>
      </c>
      <c r="DB119" s="95">
        <v>3.637E-2</v>
      </c>
      <c r="DC119" s="95">
        <v>3.6360000000000003E-2</v>
      </c>
      <c r="DD119" s="95">
        <v>3.637E-2</v>
      </c>
      <c r="DE119" s="95">
        <v>3.6360000000000003E-2</v>
      </c>
      <c r="DF119" s="95">
        <v>3.637E-2</v>
      </c>
      <c r="DG119" s="95">
        <v>3.6360000000000003E-2</v>
      </c>
      <c r="DH119" s="95">
        <v>3.637E-2</v>
      </c>
      <c r="DI119" s="95">
        <v>3.6360000000000003E-2</v>
      </c>
      <c r="DJ119" s="95">
        <v>3.637E-2</v>
      </c>
      <c r="DK119" s="95">
        <v>3.6360000000000003E-2</v>
      </c>
      <c r="DL119" s="95">
        <v>3.637E-2</v>
      </c>
      <c r="DM119" s="95">
        <v>3.6360000000000003E-2</v>
      </c>
      <c r="DN119" s="95">
        <v>3.637E-2</v>
      </c>
      <c r="DO119" s="95">
        <v>3.6360000000000003E-2</v>
      </c>
      <c r="DP119" s="95">
        <v>1.3639999999999999E-2</v>
      </c>
      <c r="ES119" s="22"/>
    </row>
    <row r="120" spans="91:149" x14ac:dyDescent="0.25">
      <c r="CM120" s="56">
        <v>12</v>
      </c>
      <c r="CN120" s="95">
        <v>1.5200000000000001E-3</v>
      </c>
      <c r="CO120" s="95">
        <v>3.6360000000000003E-2</v>
      </c>
      <c r="CP120" s="95">
        <v>3.6360000000000003E-2</v>
      </c>
      <c r="CQ120" s="95">
        <v>3.6360000000000003E-2</v>
      </c>
      <c r="CR120" s="95">
        <v>3.6360000000000003E-2</v>
      </c>
      <c r="CS120" s="95">
        <v>3.6360000000000003E-2</v>
      </c>
      <c r="CT120" s="95">
        <v>3.6360000000000003E-2</v>
      </c>
      <c r="CU120" s="95">
        <v>3.6360000000000003E-2</v>
      </c>
      <c r="CV120" s="95">
        <v>3.6360000000000003E-2</v>
      </c>
      <c r="CW120" s="95">
        <v>3.6360000000000003E-2</v>
      </c>
      <c r="CX120" s="95">
        <v>3.637E-2</v>
      </c>
      <c r="CY120" s="95">
        <v>3.6360000000000003E-2</v>
      </c>
      <c r="CZ120" s="95">
        <v>3.637E-2</v>
      </c>
      <c r="DA120" s="95">
        <v>3.6360000000000003E-2</v>
      </c>
      <c r="DB120" s="95">
        <v>3.637E-2</v>
      </c>
      <c r="DC120" s="95">
        <v>3.6360000000000003E-2</v>
      </c>
      <c r="DD120" s="95">
        <v>3.637E-2</v>
      </c>
      <c r="DE120" s="95">
        <v>3.6360000000000003E-2</v>
      </c>
      <c r="DF120" s="95">
        <v>3.637E-2</v>
      </c>
      <c r="DG120" s="95">
        <v>3.6360000000000003E-2</v>
      </c>
      <c r="DH120" s="95">
        <v>3.637E-2</v>
      </c>
      <c r="DI120" s="95">
        <v>3.6360000000000003E-2</v>
      </c>
      <c r="DJ120" s="95">
        <v>3.637E-2</v>
      </c>
      <c r="DK120" s="95">
        <v>3.6360000000000003E-2</v>
      </c>
      <c r="DL120" s="95">
        <v>3.637E-2</v>
      </c>
      <c r="DM120" s="95">
        <v>3.6360000000000003E-2</v>
      </c>
      <c r="DN120" s="95">
        <v>3.637E-2</v>
      </c>
      <c r="DO120" s="95">
        <v>3.6360000000000003E-2</v>
      </c>
      <c r="DP120" s="95">
        <v>1.6670000000000001E-2</v>
      </c>
      <c r="ES120" s="22"/>
    </row>
    <row r="121" spans="91:149" x14ac:dyDescent="0.25">
      <c r="CM121" s="22">
        <v>1</v>
      </c>
      <c r="CN121" s="22">
        <v>2</v>
      </c>
      <c r="CO121" s="22">
        <v>3</v>
      </c>
      <c r="CP121" s="22">
        <v>4</v>
      </c>
      <c r="CQ121" s="22">
        <v>5</v>
      </c>
      <c r="CR121" s="22">
        <v>6</v>
      </c>
      <c r="CS121" s="22">
        <v>7</v>
      </c>
      <c r="CT121" s="22">
        <v>8</v>
      </c>
      <c r="CU121" s="22">
        <v>9</v>
      </c>
      <c r="CV121" s="22">
        <v>10</v>
      </c>
      <c r="CW121" s="22">
        <v>11</v>
      </c>
      <c r="CX121" s="22">
        <v>12</v>
      </c>
      <c r="CY121" s="22">
        <v>13</v>
      </c>
      <c r="CZ121" s="22">
        <v>14</v>
      </c>
      <c r="DA121" s="22">
        <v>15</v>
      </c>
      <c r="DB121" s="22">
        <v>16</v>
      </c>
      <c r="DC121" s="22">
        <v>17</v>
      </c>
      <c r="DD121" s="22">
        <v>18</v>
      </c>
      <c r="DE121" s="22">
        <v>19</v>
      </c>
      <c r="DF121" s="22">
        <v>20</v>
      </c>
      <c r="DG121" s="22">
        <v>21</v>
      </c>
      <c r="DH121" s="22">
        <v>22</v>
      </c>
      <c r="DI121" s="22">
        <v>23</v>
      </c>
      <c r="DJ121" s="22">
        <v>24</v>
      </c>
      <c r="DK121" s="22">
        <v>25</v>
      </c>
      <c r="DL121" s="22">
        <v>26</v>
      </c>
      <c r="DM121" s="22">
        <v>27</v>
      </c>
      <c r="DN121" s="22">
        <v>28</v>
      </c>
      <c r="DO121" s="22">
        <v>29</v>
      </c>
      <c r="DP121" s="22">
        <v>30</v>
      </c>
      <c r="DQ121" s="22">
        <v>31</v>
      </c>
      <c r="DS121" s="22">
        <v>32</v>
      </c>
      <c r="ES121" s="22"/>
    </row>
    <row r="122" spans="91:149" x14ac:dyDescent="0.25">
      <c r="ES122" s="22"/>
    </row>
    <row r="123" spans="91:149" x14ac:dyDescent="0.25">
      <c r="CM123" s="22" t="s">
        <v>113</v>
      </c>
      <c r="CN123" s="22" t="s">
        <v>125</v>
      </c>
      <c r="ES123" s="22"/>
    </row>
    <row r="124" spans="91:149" x14ac:dyDescent="0.25">
      <c r="CM124" s="22" t="s">
        <v>118</v>
      </c>
      <c r="CN124" s="22">
        <v>1</v>
      </c>
      <c r="CO124" s="22">
        <v>40</v>
      </c>
      <c r="ES124" s="22"/>
    </row>
    <row r="125" spans="91:149" x14ac:dyDescent="0.25">
      <c r="CM125" s="56">
        <v>1</v>
      </c>
      <c r="CN125" s="99">
        <v>2.461E-2</v>
      </c>
      <c r="CO125" s="99">
        <v>1.07E-3</v>
      </c>
      <c r="ES125" s="22"/>
    </row>
    <row r="126" spans="91:149" x14ac:dyDescent="0.25">
      <c r="CM126" s="56">
        <v>2</v>
      </c>
      <c r="CN126" s="99">
        <v>2.247E-2</v>
      </c>
      <c r="CO126" s="99">
        <v>3.2100000000000002E-3</v>
      </c>
      <c r="ES126" s="22"/>
    </row>
    <row r="127" spans="91:149" x14ac:dyDescent="0.25">
      <c r="CM127" s="56">
        <v>3</v>
      </c>
      <c r="CN127" s="99">
        <v>2.0330000000000001E-2</v>
      </c>
      <c r="CO127" s="99">
        <v>5.3499999999999997E-3</v>
      </c>
      <c r="ES127" s="22"/>
    </row>
    <row r="128" spans="91:149" x14ac:dyDescent="0.25">
      <c r="CM128" s="56">
        <v>4</v>
      </c>
      <c r="CN128" s="99">
        <v>1.8190000000000001E-2</v>
      </c>
      <c r="CO128" s="99">
        <v>7.4900000000000001E-3</v>
      </c>
      <c r="ES128" s="22"/>
    </row>
    <row r="129" spans="91:149" x14ac:dyDescent="0.25">
      <c r="CM129" s="56">
        <v>5</v>
      </c>
      <c r="CN129" s="99">
        <v>1.6049999999999998E-2</v>
      </c>
      <c r="CO129" s="99">
        <v>9.6299999999999997E-3</v>
      </c>
      <c r="ES129" s="22"/>
    </row>
    <row r="130" spans="91:149" x14ac:dyDescent="0.25">
      <c r="CM130" s="56">
        <v>6</v>
      </c>
      <c r="CN130" s="99">
        <v>1.391E-2</v>
      </c>
      <c r="CO130" s="99">
        <v>1.1769999999999999E-2</v>
      </c>
      <c r="ES130" s="22"/>
    </row>
    <row r="131" spans="91:149" x14ac:dyDescent="0.25">
      <c r="CM131" s="56">
        <v>7</v>
      </c>
      <c r="CN131" s="99">
        <v>1.1769999999999999E-2</v>
      </c>
      <c r="CO131" s="99">
        <v>1.391E-2</v>
      </c>
      <c r="ES131" s="22"/>
    </row>
    <row r="132" spans="91:149" x14ac:dyDescent="0.25">
      <c r="CM132" s="56">
        <v>8</v>
      </c>
      <c r="CN132" s="99">
        <v>9.6299999999999997E-3</v>
      </c>
      <c r="CO132" s="99">
        <v>1.6049999999999998E-2</v>
      </c>
      <c r="ES132" s="22"/>
    </row>
    <row r="133" spans="91:149" x14ac:dyDescent="0.25">
      <c r="CM133" s="56">
        <v>9</v>
      </c>
      <c r="CN133" s="99">
        <v>7.4900000000000001E-3</v>
      </c>
      <c r="CO133" s="99">
        <v>1.8190000000000001E-2</v>
      </c>
      <c r="ES133" s="22"/>
    </row>
    <row r="134" spans="91:149" x14ac:dyDescent="0.25">
      <c r="CM134" s="56">
        <v>10</v>
      </c>
      <c r="CN134" s="99">
        <v>5.3499999999999997E-3</v>
      </c>
      <c r="CO134" s="99">
        <v>2.0330000000000001E-2</v>
      </c>
      <c r="ES134" s="22"/>
    </row>
    <row r="135" spans="91:149" x14ac:dyDescent="0.25">
      <c r="CM135" s="56">
        <v>11</v>
      </c>
      <c r="CN135" s="99">
        <v>3.2100000000000002E-3</v>
      </c>
      <c r="CO135" s="99">
        <v>2.247E-2</v>
      </c>
      <c r="ES135" s="22"/>
    </row>
    <row r="136" spans="91:149" x14ac:dyDescent="0.25">
      <c r="CM136" s="56">
        <v>12</v>
      </c>
      <c r="CN136" s="99">
        <v>1.07E-3</v>
      </c>
      <c r="CO136" s="99">
        <v>2.461E-2</v>
      </c>
      <c r="ES136" s="22"/>
    </row>
    <row r="137" spans="91:149" x14ac:dyDescent="0.25">
      <c r="ES137" s="22"/>
    </row>
    <row r="138" spans="91:149" x14ac:dyDescent="0.25">
      <c r="ES138" s="22"/>
    </row>
    <row r="139" spans="91:149" x14ac:dyDescent="0.25">
      <c r="CM139" s="22" t="s">
        <v>161</v>
      </c>
      <c r="ES139" s="22"/>
    </row>
    <row r="140" spans="91:149" x14ac:dyDescent="0.25">
      <c r="CM140" s="22" t="s">
        <v>118</v>
      </c>
      <c r="CN140" s="22">
        <v>1</v>
      </c>
      <c r="CO140" s="22">
        <v>31</v>
      </c>
      <c r="ES140" s="22"/>
    </row>
    <row r="141" spans="91:149" x14ac:dyDescent="0.25">
      <c r="CM141" s="56">
        <v>1</v>
      </c>
      <c r="CN141" s="99">
        <v>3.2039999999999999E-2</v>
      </c>
      <c r="CO141" s="99">
        <v>1.39E-3</v>
      </c>
      <c r="ES141" s="22"/>
    </row>
    <row r="142" spans="91:149" x14ac:dyDescent="0.25">
      <c r="CM142" s="56">
        <v>2</v>
      </c>
      <c r="CN142" s="99">
        <v>2.9260000000000001E-2</v>
      </c>
      <c r="CO142" s="99">
        <v>4.1700000000000001E-3</v>
      </c>
      <c r="ES142" s="22"/>
    </row>
    <row r="143" spans="91:149" x14ac:dyDescent="0.25">
      <c r="CM143" s="56">
        <v>3</v>
      </c>
      <c r="CN143" s="99">
        <v>2.649E-2</v>
      </c>
      <c r="CO143" s="99">
        <v>6.94E-3</v>
      </c>
      <c r="ES143" s="22"/>
    </row>
    <row r="144" spans="91:149" x14ac:dyDescent="0.25">
      <c r="CM144" s="56">
        <v>4</v>
      </c>
      <c r="CN144" s="99">
        <v>2.3709999999999998E-2</v>
      </c>
      <c r="CO144" s="99">
        <v>9.7199999999999995E-3</v>
      </c>
      <c r="ES144" s="22"/>
    </row>
    <row r="145" spans="91:149" x14ac:dyDescent="0.25">
      <c r="CM145" s="56">
        <v>5</v>
      </c>
      <c r="CN145" s="99">
        <v>2.0930000000000001E-2</v>
      </c>
      <c r="CO145" s="99">
        <v>1.2500000000000001E-2</v>
      </c>
      <c r="ES145" s="22"/>
    </row>
    <row r="146" spans="91:149" x14ac:dyDescent="0.25">
      <c r="CM146" s="56">
        <v>6</v>
      </c>
      <c r="CN146" s="99">
        <v>1.8149999999999999E-2</v>
      </c>
      <c r="CO146" s="99">
        <v>1.528E-2</v>
      </c>
      <c r="ES146" s="22"/>
    </row>
    <row r="147" spans="91:149" x14ac:dyDescent="0.25">
      <c r="CM147" s="56">
        <v>7</v>
      </c>
      <c r="CN147" s="99">
        <v>1.528E-2</v>
      </c>
      <c r="CO147" s="99">
        <v>1.8149999999999999E-2</v>
      </c>
      <c r="ES147" s="22"/>
    </row>
    <row r="148" spans="91:149" x14ac:dyDescent="0.25">
      <c r="CM148" s="56">
        <v>8</v>
      </c>
      <c r="CN148" s="99">
        <v>1.2500000000000001E-2</v>
      </c>
      <c r="CO148" s="99">
        <v>2.0930000000000001E-2</v>
      </c>
      <c r="ES148" s="22"/>
    </row>
    <row r="149" spans="91:149" x14ac:dyDescent="0.25">
      <c r="CM149" s="56">
        <v>9</v>
      </c>
      <c r="CN149" s="99">
        <v>9.7199999999999995E-3</v>
      </c>
      <c r="CO149" s="99">
        <v>2.3709999999999998E-2</v>
      </c>
      <c r="ES149" s="22"/>
    </row>
    <row r="150" spans="91:149" x14ac:dyDescent="0.25">
      <c r="CM150" s="56">
        <v>10</v>
      </c>
      <c r="CN150" s="99">
        <v>6.94E-3</v>
      </c>
      <c r="CO150" s="99">
        <v>2.649E-2</v>
      </c>
      <c r="ES150" s="22"/>
    </row>
    <row r="151" spans="91:149" x14ac:dyDescent="0.25">
      <c r="CM151" s="56">
        <v>11</v>
      </c>
      <c r="CN151" s="99">
        <v>4.1700000000000001E-3</v>
      </c>
      <c r="CO151" s="99">
        <v>2.9260000000000001E-2</v>
      </c>
      <c r="ES151" s="22"/>
    </row>
    <row r="152" spans="91:149" x14ac:dyDescent="0.25">
      <c r="CM152" s="56">
        <v>12</v>
      </c>
      <c r="CN152" s="99">
        <v>1.39E-3</v>
      </c>
      <c r="CO152" s="99">
        <v>3.2039999999999999E-2</v>
      </c>
      <c r="ES152" s="22"/>
    </row>
    <row r="153" spans="91:149" x14ac:dyDescent="0.25">
      <c r="ES153" s="22"/>
    </row>
    <row r="154" spans="91:149" x14ac:dyDescent="0.25">
      <c r="ES154" s="22"/>
    </row>
    <row r="155" spans="91:149" x14ac:dyDescent="0.25">
      <c r="ES155" s="22"/>
    </row>
    <row r="156" spans="91:149" x14ac:dyDescent="0.25">
      <c r="ES156" s="22"/>
    </row>
    <row r="157" spans="91:149" x14ac:dyDescent="0.25">
      <c r="ES157" s="22"/>
    </row>
    <row r="158" spans="91:149" x14ac:dyDescent="0.25">
      <c r="ES158" s="22"/>
    </row>
    <row r="159" spans="91:149" x14ac:dyDescent="0.25">
      <c r="ES159" s="22"/>
    </row>
    <row r="160" spans="91:149" x14ac:dyDescent="0.25">
      <c r="ES160" s="22"/>
    </row>
    <row r="161" spans="149:149" x14ac:dyDescent="0.25">
      <c r="ES161" s="22"/>
    </row>
    <row r="162" spans="149:149" x14ac:dyDescent="0.25">
      <c r="ES162" s="22"/>
    </row>
    <row r="163" spans="149:149" x14ac:dyDescent="0.25">
      <c r="ES163" s="22"/>
    </row>
    <row r="164" spans="149:149" x14ac:dyDescent="0.25">
      <c r="ES164" s="22"/>
    </row>
    <row r="165" spans="149:149" x14ac:dyDescent="0.25">
      <c r="ES165" s="22"/>
    </row>
    <row r="166" spans="149:149" x14ac:dyDescent="0.25">
      <c r="ES166" s="22"/>
    </row>
    <row r="167" spans="149:149" x14ac:dyDescent="0.25">
      <c r="ES167" s="22"/>
    </row>
    <row r="168" spans="149:149" x14ac:dyDescent="0.25">
      <c r="ES168" s="22"/>
    </row>
    <row r="169" spans="149:149" x14ac:dyDescent="0.25">
      <c r="ES169" s="22"/>
    </row>
    <row r="170" spans="149:149" x14ac:dyDescent="0.25">
      <c r="ES170" s="22"/>
    </row>
    <row r="171" spans="149:149" x14ac:dyDescent="0.25">
      <c r="ES171" s="22"/>
    </row>
    <row r="172" spans="149:149" x14ac:dyDescent="0.25">
      <c r="ES172" s="22"/>
    </row>
    <row r="173" spans="149:149" x14ac:dyDescent="0.25">
      <c r="ES173" s="22"/>
    </row>
    <row r="174" spans="149:149" x14ac:dyDescent="0.25">
      <c r="ES174" s="22"/>
    </row>
    <row r="175" spans="149:149" x14ac:dyDescent="0.25">
      <c r="ES175" s="22"/>
    </row>
    <row r="176" spans="149:149" x14ac:dyDescent="0.25">
      <c r="ES176" s="22"/>
    </row>
    <row r="177" spans="149:149" x14ac:dyDescent="0.25">
      <c r="ES177" s="22"/>
    </row>
    <row r="178" spans="149:149" x14ac:dyDescent="0.25">
      <c r="ES178" s="22"/>
    </row>
    <row r="179" spans="149:149" x14ac:dyDescent="0.25">
      <c r="ES179" s="22"/>
    </row>
    <row r="180" spans="149:149" x14ac:dyDescent="0.25">
      <c r="ES180" s="22"/>
    </row>
    <row r="181" spans="149:149" x14ac:dyDescent="0.25">
      <c r="ES181" s="22"/>
    </row>
    <row r="182" spans="149:149" x14ac:dyDescent="0.25">
      <c r="ES182" s="22"/>
    </row>
    <row r="183" spans="149:149" x14ac:dyDescent="0.25">
      <c r="ES183" s="22"/>
    </row>
    <row r="184" spans="149:149" x14ac:dyDescent="0.25">
      <c r="ES184" s="22"/>
    </row>
    <row r="185" spans="149:149" x14ac:dyDescent="0.25">
      <c r="ES185" s="22"/>
    </row>
    <row r="186" spans="149:149" x14ac:dyDescent="0.25">
      <c r="ES186" s="22"/>
    </row>
    <row r="187" spans="149:149" x14ac:dyDescent="0.25">
      <c r="ES187" s="22"/>
    </row>
    <row r="188" spans="149:149" x14ac:dyDescent="0.25">
      <c r="ES188" s="22"/>
    </row>
    <row r="189" spans="149:149" x14ac:dyDescent="0.25">
      <c r="ES189" s="22"/>
    </row>
    <row r="190" spans="149:149" x14ac:dyDescent="0.25">
      <c r="ES190" s="22"/>
    </row>
    <row r="191" spans="149:149" x14ac:dyDescent="0.25">
      <c r="ES191" s="22"/>
    </row>
    <row r="192" spans="149:149" x14ac:dyDescent="0.25">
      <c r="ES192" s="22"/>
    </row>
    <row r="193" spans="149:149" x14ac:dyDescent="0.25">
      <c r="ES193" s="22"/>
    </row>
    <row r="194" spans="149:149" x14ac:dyDescent="0.25">
      <c r="ES194" s="22"/>
    </row>
    <row r="195" spans="149:149" x14ac:dyDescent="0.25">
      <c r="ES195" s="22"/>
    </row>
    <row r="196" spans="149:149" x14ac:dyDescent="0.25">
      <c r="ES196" s="22"/>
    </row>
  </sheetData>
  <pageMargins left="0.7" right="0.7" top="0.75" bottom="0.75" header="0.3" footer="0.3"/>
  <pageSetup orientation="portrait" r:id="rId1"/>
  <ignoredErrors>
    <ignoredError sqref="CV5:CW5" evalError="1"/>
    <ignoredError sqref="BM35"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0E990-FD85-074F-8ECD-2BFD5164D939}">
  <dimension ref="B2:AP43"/>
  <sheetViews>
    <sheetView zoomScale="90" zoomScaleNormal="85" workbookViewId="0">
      <selection activeCell="J3" sqref="J3"/>
    </sheetView>
  </sheetViews>
  <sheetFormatPr defaultColWidth="11.42578125" defaultRowHeight="15" x14ac:dyDescent="0.25"/>
  <cols>
    <col min="1" max="1" width="11.42578125" bestFit="1" customWidth="1"/>
    <col min="2" max="2" width="24.140625" bestFit="1" customWidth="1"/>
    <col min="3" max="3" width="2.7109375" customWidth="1"/>
    <col min="4" max="4" width="13.42578125" customWidth="1"/>
    <col min="5" max="5" width="2.7109375" customWidth="1"/>
    <col min="6" max="6" width="11.140625" bestFit="1" customWidth="1"/>
    <col min="7" max="7" width="2.7109375" customWidth="1"/>
    <col min="8" max="8" width="13.7109375" customWidth="1"/>
    <col min="9" max="9" width="2.85546875" customWidth="1"/>
    <col min="10" max="10" width="13.42578125" bestFit="1" customWidth="1"/>
    <col min="11" max="11" width="2.7109375" customWidth="1"/>
    <col min="12" max="12" width="14.140625" bestFit="1" customWidth="1"/>
    <col min="13" max="13" width="2.7109375" customWidth="1"/>
    <col min="14" max="14" width="15.85546875" bestFit="1" customWidth="1"/>
    <col min="15" max="15" width="3.42578125" customWidth="1"/>
    <col min="16" max="16" width="16.42578125" bestFit="1" customWidth="1"/>
    <col min="17" max="17" width="2.7109375" customWidth="1"/>
    <col min="18" max="18" width="15.7109375" customWidth="1"/>
    <col min="19" max="19" width="2.85546875" customWidth="1"/>
    <col min="20" max="20" width="13.28515625" customWidth="1"/>
    <col min="21" max="21" width="17" bestFit="1" customWidth="1"/>
    <col min="22" max="22" width="2.28515625" customWidth="1"/>
    <col min="27" max="27" width="16.140625" bestFit="1" customWidth="1"/>
    <col min="40" max="40" width="13.28515625" bestFit="1" customWidth="1"/>
  </cols>
  <sheetData>
    <row r="2" spans="2:42" x14ac:dyDescent="0.25">
      <c r="B2" s="4" t="s">
        <v>12</v>
      </c>
      <c r="C2" s="4"/>
      <c r="D2" s="4" t="s">
        <v>0</v>
      </c>
      <c r="E2" s="4"/>
      <c r="F2" s="4" t="s">
        <v>3</v>
      </c>
      <c r="G2" s="4"/>
      <c r="H2" s="4" t="s">
        <v>6</v>
      </c>
      <c r="I2" s="4"/>
      <c r="J2" s="4" t="s">
        <v>13</v>
      </c>
      <c r="K2" s="4"/>
      <c r="L2" s="4" t="s">
        <v>14</v>
      </c>
      <c r="M2" s="4"/>
      <c r="N2" s="4" t="s">
        <v>15</v>
      </c>
      <c r="O2" s="4"/>
      <c r="P2" s="4" t="s">
        <v>123</v>
      </c>
      <c r="R2" s="4" t="s">
        <v>147</v>
      </c>
      <c r="T2" s="4" t="s">
        <v>119</v>
      </c>
      <c r="U2" s="4" t="s">
        <v>122</v>
      </c>
      <c r="W2" t="s">
        <v>151</v>
      </c>
      <c r="X2" t="s">
        <v>133</v>
      </c>
      <c r="Y2" t="s">
        <v>137</v>
      </c>
      <c r="Z2" t="s">
        <v>169</v>
      </c>
      <c r="AA2" t="s">
        <v>170</v>
      </c>
      <c r="AB2" t="s">
        <v>171</v>
      </c>
      <c r="AC2" t="s">
        <v>184</v>
      </c>
      <c r="AE2" t="s">
        <v>185</v>
      </c>
      <c r="AF2" t="s">
        <v>186</v>
      </c>
      <c r="AH2" t="s">
        <v>200</v>
      </c>
      <c r="AJ2" t="s">
        <v>209</v>
      </c>
      <c r="AN2" t="s">
        <v>1</v>
      </c>
      <c r="AO2" t="s">
        <v>1</v>
      </c>
    </row>
    <row r="3" spans="2:42" x14ac:dyDescent="0.25">
      <c r="B3" s="6">
        <v>2550000</v>
      </c>
      <c r="C3" s="4"/>
      <c r="D3" s="40">
        <v>85260</v>
      </c>
      <c r="E3" s="4"/>
      <c r="F3" s="164">
        <v>1500</v>
      </c>
      <c r="G3" s="4"/>
      <c r="H3" s="5">
        <v>0.78</v>
      </c>
      <c r="I3" s="4"/>
      <c r="J3" s="5" t="s">
        <v>74</v>
      </c>
      <c r="K3" s="4"/>
      <c r="L3" s="5">
        <v>1</v>
      </c>
      <c r="M3" s="4"/>
      <c r="N3" s="5">
        <v>1</v>
      </c>
      <c r="O3" s="4"/>
      <c r="P3" s="163">
        <v>45366</v>
      </c>
      <c r="Q3" s="132"/>
      <c r="R3" s="133">
        <v>2025</v>
      </c>
      <c r="T3" s="98">
        <v>0.1</v>
      </c>
      <c r="U3" s="158">
        <v>0</v>
      </c>
      <c r="W3" s="114">
        <v>0</v>
      </c>
      <c r="X3" t="s">
        <v>136</v>
      </c>
      <c r="Y3" t="b">
        <f>VLOOKUP('Input Sheet'!X3,'VLOOKUP Tables'!AA4:AB5,2,FALSE)</f>
        <v>0</v>
      </c>
      <c r="Z3" s="98" t="s">
        <v>136</v>
      </c>
      <c r="AA3" s="205">
        <v>0</v>
      </c>
      <c r="AB3" s="159">
        <v>46006</v>
      </c>
      <c r="AC3" s="159" t="s">
        <v>136</v>
      </c>
      <c r="AD3" s="159" t="b">
        <f>VLOOKUP('Input Sheet'!AC3,'VLOOKUP Tables'!AG4:AH5,2,FALSE)</f>
        <v>0</v>
      </c>
      <c r="AE3" s="158">
        <v>0</v>
      </c>
      <c r="AF3" s="175"/>
      <c r="AH3" s="175" t="s">
        <v>204</v>
      </c>
      <c r="AI3">
        <f>_xlfn.XLOOKUP(AH3,'VLOOKUP Tables'!AI4:AI6,'VLOOKUP Tables'!AI8:AI10,0)</f>
        <v>0</v>
      </c>
      <c r="AJ3" s="175" t="s">
        <v>136</v>
      </c>
      <c r="AK3" s="159" t="b">
        <f>VLOOKUP('Input Sheet'!AJ3,'VLOOKUP Tables'!AF15:AH18,3,FALSE)</f>
        <v>0</v>
      </c>
      <c r="AL3">
        <f>_xlfn.XLOOKUP(AJ3,'VLOOKUP Tables'!AF15:AF18,'VLOOKUP Tables'!AG15:AG18,0)</f>
        <v>1</v>
      </c>
      <c r="AN3" s="205">
        <v>0</v>
      </c>
      <c r="AO3" s="5" t="s">
        <v>136</v>
      </c>
      <c r="AP3" t="b">
        <f>_xlfn.XLOOKUP('Input Sheet'!AO3,'VLOOKUP Tables'!AR4:AR5,'VLOOKUP Tables'!AS4:AS5,FALSE,0)</f>
        <v>0</v>
      </c>
    </row>
    <row r="4" spans="2:42" x14ac:dyDescent="0.25">
      <c r="T4" t="s">
        <v>138</v>
      </c>
      <c r="AD4" t="s">
        <v>187</v>
      </c>
    </row>
    <row r="5" spans="2:42" x14ac:dyDescent="0.25">
      <c r="J5">
        <f>VLOOKUP($J$3,'VLOOKUP Tables'!$M$21:$N$30,2,)</f>
        <v>8</v>
      </c>
      <c r="T5" t="b">
        <f>IF(T3='VLOOKUP Tables'!Y10,TRUE,FALSE)</f>
        <v>0</v>
      </c>
      <c r="AE5" s="136"/>
      <c r="AF5" t="s">
        <v>188</v>
      </c>
    </row>
    <row r="6" spans="2:42" x14ac:dyDescent="0.25">
      <c r="J6">
        <f>VLOOKUP($J$3,'VLOOKUP Tables'!$M$21:$O$30,3,)</f>
        <v>2</v>
      </c>
      <c r="P6" s="4" t="s">
        <v>207</v>
      </c>
      <c r="R6" s="4" t="s">
        <v>190</v>
      </c>
      <c r="Y6" t="b">
        <v>0</v>
      </c>
      <c r="Z6" t="b">
        <f>_xlfn.XLOOKUP(Z3,'VLOOKUP Tables'!AE4:AE5,'VLOOKUP Tables'!AF4:AF5,FALSE)</f>
        <v>0</v>
      </c>
    </row>
    <row r="7" spans="2:42" x14ac:dyDescent="0.25">
      <c r="P7" s="133">
        <v>2024</v>
      </c>
      <c r="R7" s="133" t="s">
        <v>194</v>
      </c>
      <c r="AE7" s="57">
        <f>AE3*1.1</f>
        <v>0</v>
      </c>
    </row>
    <row r="8" spans="2:42" x14ac:dyDescent="0.25">
      <c r="B8" t="s">
        <v>38</v>
      </c>
      <c r="D8" t="s">
        <v>39</v>
      </c>
    </row>
    <row r="9" spans="2:42" x14ac:dyDescent="0.25">
      <c r="B9" s="16">
        <f>'Equation Sheet'!C21</f>
        <v>3058.2026410000008</v>
      </c>
      <c r="D9" s="16">
        <f>'Equation Sheet'!D21</f>
        <v>0</v>
      </c>
      <c r="AE9" s="57">
        <f>AE3*1.2</f>
        <v>0</v>
      </c>
    </row>
    <row r="10" spans="2:42" x14ac:dyDescent="0.25">
      <c r="D10" t="s">
        <v>18</v>
      </c>
    </row>
    <row r="11" spans="2:42" x14ac:dyDescent="0.25">
      <c r="D11" s="16">
        <f>'Equation Sheet'!D22</f>
        <v>3058.2026410000008</v>
      </c>
    </row>
    <row r="13" spans="2:42" x14ac:dyDescent="0.25">
      <c r="B13" t="s">
        <v>45</v>
      </c>
      <c r="D13" t="s">
        <v>251</v>
      </c>
      <c r="H13" t="s">
        <v>252</v>
      </c>
    </row>
    <row r="14" spans="2:42" x14ac:dyDescent="0.25">
      <c r="B14" s="17">
        <f>'Equation Sheet'!C51</f>
        <v>7483.4326259756099</v>
      </c>
      <c r="D14" s="207">
        <f>'Equation Sheet'!AB26</f>
        <v>2149</v>
      </c>
      <c r="H14" s="207" cm="1">
        <f t="array" ref="H14:I14">'Printable Quote'!B42+'Printable Quote'!C40:D40</f>
        <v>3058.2026410000008</v>
      </c>
      <c r="I14">
        <v>3058.2026410000008</v>
      </c>
    </row>
    <row r="15" spans="2:42" x14ac:dyDescent="0.25">
      <c r="B15" s="218">
        <f>IF(B14&gt;D11,B14,D11)</f>
        <v>7483.4326259756099</v>
      </c>
      <c r="D15" s="218">
        <f>IF(D14&gt;D11,D14,D11)</f>
        <v>3058.2026410000008</v>
      </c>
    </row>
    <row r="16" spans="2:42" x14ac:dyDescent="0.25">
      <c r="B16" t="s">
        <v>46</v>
      </c>
      <c r="D16" t="s">
        <v>76</v>
      </c>
      <c r="F16" t="s">
        <v>77</v>
      </c>
    </row>
    <row r="17" spans="2:8" x14ac:dyDescent="0.25">
      <c r="B17" s="16">
        <f>IF(MIN(B9,B14,D11)&lt;D14,D14,MIN(B9,B14,D11))</f>
        <v>3058.2026410000008</v>
      </c>
      <c r="D17" s="17">
        <f>B17*1.1/2</f>
        <v>1682.0114525500005</v>
      </c>
      <c r="F17" s="17">
        <f>B17*1.2</f>
        <v>3669.8431692000008</v>
      </c>
    </row>
    <row r="18" spans="2:8" x14ac:dyDescent="0.25">
      <c r="H18" t="s">
        <v>216</v>
      </c>
    </row>
    <row r="19" spans="2:8" x14ac:dyDescent="0.25">
      <c r="B19" s="3">
        <f>B17</f>
        <v>3058.2026410000008</v>
      </c>
      <c r="D19" s="1">
        <f>D17*2</f>
        <v>3364.022905100001</v>
      </c>
      <c r="F19" s="1">
        <f>D19*AL3</f>
        <v>3364.022905100001</v>
      </c>
      <c r="H19" s="207">
        <f>'Equation Sheet'!C21+AI3</f>
        <v>3058.2026410000008</v>
      </c>
    </row>
    <row r="20" spans="2:8" x14ac:dyDescent="0.25">
      <c r="B20" s="204">
        <v>0.95</v>
      </c>
      <c r="D20" s="1">
        <f>(B19*B20)+AI3</f>
        <v>2905.2925089500004</v>
      </c>
      <c r="F20" s="1">
        <f>B17*AL3</f>
        <v>3058.2026410000008</v>
      </c>
    </row>
    <row r="21" spans="2:8" x14ac:dyDescent="0.25">
      <c r="D21">
        <f>FLOOR(D20,100)</f>
        <v>2900</v>
      </c>
      <c r="F21" s="1">
        <f>F17*AL3</f>
        <v>3669.8431692000008</v>
      </c>
    </row>
    <row r="22" spans="2:8" x14ac:dyDescent="0.25">
      <c r="D22" s="206">
        <f>D21+AN3</f>
        <v>2900</v>
      </c>
    </row>
    <row r="23" spans="2:8" x14ac:dyDescent="0.25">
      <c r="F23" s="218">
        <f>'Equation Sheet'!AB20</f>
        <v>0</v>
      </c>
    </row>
    <row r="24" spans="2:8" x14ac:dyDescent="0.25">
      <c r="B24" t="s">
        <v>148</v>
      </c>
    </row>
    <row r="25" spans="2:8" x14ac:dyDescent="0.25">
      <c r="B25" s="23" t="s">
        <v>282</v>
      </c>
    </row>
    <row r="27" spans="2:8" x14ac:dyDescent="0.25">
      <c r="B27" t="s">
        <v>59</v>
      </c>
    </row>
    <row r="28" spans="2:8" x14ac:dyDescent="0.25">
      <c r="B28" t="s">
        <v>283</v>
      </c>
    </row>
    <row r="31" spans="2:8" x14ac:dyDescent="0.25">
      <c r="B31" s="202"/>
    </row>
    <row r="32" spans="2:8" x14ac:dyDescent="0.25">
      <c r="B32" t="str">
        <f>"SMART" &amp; "_" &amp; B25 &amp; "_" &amp; B28</f>
        <v>SMART_Valued Client_123 Main St, Yourtown, US, 85260</v>
      </c>
    </row>
    <row r="33" spans="2:8" x14ac:dyDescent="0.25">
      <c r="B33" t="str">
        <f>"RCGV" &amp; "_" &amp; B25 &amp; "_" &amp; B28</f>
        <v>RCGV_Valued Client_123 Main St, Yourtown, US, 85260</v>
      </c>
    </row>
    <row r="34" spans="2:8" x14ac:dyDescent="0.25">
      <c r="B34" t="str">
        <f>"PRO" &amp; "_" &amp; B25 &amp; "_" &amp; B28</f>
        <v>PRO_Valued Client_123 Main St, Yourtown, US, 85260</v>
      </c>
    </row>
    <row r="43" spans="2:8" x14ac:dyDescent="0.25">
      <c r="H43" s="23" t="s">
        <v>60</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showErrorMessage="1" xr:uid="{B60286B2-3D97-7D41-B7BA-6C0D60371493}">
          <x14:formula1>
            <xm:f>'Equation Sheet'!$L$2:$L$13</xm:f>
          </x14:formula1>
          <xm:sqref>L3</xm:sqref>
        </x14:dataValidation>
        <x14:dataValidation type="list" allowBlank="1" showInputMessage="1" showErrorMessage="1" xr:uid="{E4C5B070-C85F-4249-8789-36204D664236}">
          <x14:formula1>
            <xm:f>'Equation Sheet'!$N$2:$N$8</xm:f>
          </x14:formula1>
          <xm:sqref>N3</xm:sqref>
        </x14:dataValidation>
        <x14:dataValidation type="list" allowBlank="1" showInputMessage="1" showErrorMessage="1" xr:uid="{DD098B16-BF4B-0E4D-8EA9-655ED02040A1}">
          <x14:formula1>
            <xm:f>'Equation Sheet'!$J$2:$J$11</xm:f>
          </x14:formula1>
          <xm:sqref>J3</xm:sqref>
        </x14:dataValidation>
        <x14:dataValidation type="list" allowBlank="1" showInputMessage="1" showErrorMessage="1" xr:uid="{9A7700FD-01B5-47CC-8E33-B853CCC6839F}">
          <x14:formula1>
            <xm:f>'VLOOKUP Tables'!$AA$4:$AA$5</xm:f>
          </x14:formula1>
          <xm:sqref>X3</xm:sqref>
        </x14:dataValidation>
        <x14:dataValidation type="list" allowBlank="1" showInputMessage="1" showErrorMessage="1" xr:uid="{820B5CC7-2B44-420C-95C1-6CA847453F90}">
          <x14:formula1>
            <xm:f>'VLOOKUP Tables'!$AC$4:$AC$12</xm:f>
          </x14:formula1>
          <xm:sqref>R3</xm:sqref>
        </x14:dataValidation>
        <x14:dataValidation type="list" allowBlank="1" showInputMessage="1" showErrorMessage="1" xr:uid="{01812685-4708-45F5-8A1D-8F427A93E24C}">
          <x14:formula1>
            <xm:f>'VLOOKUP Tables'!$AE$4:$AE$5</xm:f>
          </x14:formula1>
          <xm:sqref>Z3</xm:sqref>
        </x14:dataValidation>
        <x14:dataValidation type="list" allowBlank="1" showInputMessage="1" showErrorMessage="1" xr:uid="{DBEF6654-AACE-4F72-B1F1-9996904072FA}">
          <x14:formula1>
            <xm:f>'VLOOKUP Tables'!$Y$4:$Y$10</xm:f>
          </x14:formula1>
          <xm:sqref>T3</xm:sqref>
        </x14:dataValidation>
        <x14:dataValidation type="list" allowBlank="1" showInputMessage="1" showErrorMessage="1" xr:uid="{50003AB0-0E91-421C-87EC-331BB04BECF0}">
          <x14:formula1>
            <xm:f>'VLOOKUP Tables'!$AG$4:$AG$5</xm:f>
          </x14:formula1>
          <xm:sqref>AC3</xm:sqref>
        </x14:dataValidation>
        <x14:dataValidation type="list" allowBlank="1" showInputMessage="1" showErrorMessage="1" xr:uid="{36575588-EB08-4558-B27B-F05019306F90}">
          <x14:formula1>
            <xm:f>'VLOOKUP Tables'!$AC$19:$AC$22</xm:f>
          </x14:formula1>
          <xm:sqref>R7</xm:sqref>
        </x14:dataValidation>
        <x14:dataValidation type="list" allowBlank="1" showInputMessage="1" showErrorMessage="1" xr:uid="{75D9F927-2D4D-4B0B-B4C9-B887DF147299}">
          <x14:formula1>
            <xm:f>'Equation Sheet'!$V$2:$V$4</xm:f>
          </x14:formula1>
          <xm:sqref>AH3</xm:sqref>
        </x14:dataValidation>
        <x14:dataValidation type="list" allowBlank="1" showInputMessage="1" showErrorMessage="1" xr:uid="{2031B1C4-1D1F-4CA9-B8A4-B264CA240FF9}">
          <x14:formula1>
            <xm:f>'VLOOKUP Tables'!$AF$15:$AF$18</xm:f>
          </x14:formula1>
          <xm:sqref>AJ3</xm:sqref>
        </x14:dataValidation>
        <x14:dataValidation type="list" allowBlank="1" showInputMessage="1" showErrorMessage="1" xr:uid="{5B8E6ED4-35FC-489B-9C91-66B987C5F1C0}">
          <x14:formula1>
            <xm:f>'VLOOKUP Tables'!$AO$4:$AO$57</xm:f>
          </x14:formula1>
          <xm:sqref>P7</xm:sqref>
        </x14:dataValidation>
        <x14:dataValidation type="list" allowBlank="1" showInputMessage="1" showErrorMessage="1" xr:uid="{3FB27854-1268-4BB4-8579-21F4552E808C}">
          <x14:formula1>
            <xm:f>'VLOOKUP Tables'!$AR$4:$AR$5</xm:f>
          </x14:formula1>
          <xm:sqref>AO3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973B4-F09D-4012-A66E-988D966BED8F}">
  <dimension ref="A3:AS57"/>
  <sheetViews>
    <sheetView workbookViewId="0">
      <selection activeCell="M16" sqref="M16"/>
    </sheetView>
  </sheetViews>
  <sheetFormatPr defaultColWidth="11.42578125" defaultRowHeight="15" x14ac:dyDescent="0.25"/>
  <cols>
    <col min="1" max="1" width="9.85546875" bestFit="1" customWidth="1"/>
    <col min="2" max="2" width="13.7109375" bestFit="1" customWidth="1"/>
    <col min="3" max="3" width="3.7109375" customWidth="1"/>
    <col min="5" max="5" width="12.85546875" bestFit="1" customWidth="1"/>
    <col min="6" max="6" width="3.7109375" customWidth="1"/>
    <col min="7" max="7" width="11.140625" bestFit="1" customWidth="1"/>
    <col min="8" max="8" width="9.7109375" bestFit="1" customWidth="1"/>
    <col min="9" max="9" width="3.7109375" customWidth="1"/>
    <col min="10" max="10" width="9.140625" bestFit="1" customWidth="1"/>
    <col min="11" max="11" width="10.28515625" bestFit="1" customWidth="1"/>
    <col min="12" max="12" width="3.7109375" customWidth="1"/>
    <col min="13" max="13" width="17.42578125" bestFit="1" customWidth="1"/>
    <col min="14" max="14" width="15.7109375" bestFit="1" customWidth="1"/>
    <col min="15" max="15" width="3.7109375" customWidth="1"/>
    <col min="17" max="17" width="12.140625" bestFit="1" customWidth="1"/>
    <col min="18" max="18" width="3.7109375" customWidth="1"/>
    <col min="19" max="19" width="10.140625" bestFit="1" customWidth="1"/>
    <col min="20" max="20" width="15.28515625" bestFit="1" customWidth="1"/>
    <col min="21" max="21" width="12.140625" customWidth="1"/>
    <col min="24" max="24" width="2" customWidth="1"/>
    <col min="25" max="25" width="14.28515625" bestFit="1" customWidth="1"/>
    <col min="27" max="27" width="12.5703125" bestFit="1" customWidth="1"/>
  </cols>
  <sheetData>
    <row r="3" spans="1:45" x14ac:dyDescent="0.25">
      <c r="A3" s="8" t="s">
        <v>2</v>
      </c>
      <c r="B3" s="8" t="s">
        <v>19</v>
      </c>
      <c r="D3" s="8" t="s">
        <v>0</v>
      </c>
      <c r="E3" s="8" t="s">
        <v>20</v>
      </c>
      <c r="G3" s="9" t="s">
        <v>3</v>
      </c>
      <c r="H3" s="9" t="s">
        <v>21</v>
      </c>
      <c r="J3" s="9" t="s">
        <v>6</v>
      </c>
      <c r="K3" s="9" t="s">
        <v>22</v>
      </c>
      <c r="M3" s="9" t="s">
        <v>33</v>
      </c>
      <c r="N3" s="9" t="s">
        <v>34</v>
      </c>
      <c r="P3" s="9" t="s">
        <v>10</v>
      </c>
      <c r="Q3" s="9" t="s">
        <v>30</v>
      </c>
      <c r="S3" s="9" t="s">
        <v>31</v>
      </c>
      <c r="T3" s="9" t="s">
        <v>32</v>
      </c>
      <c r="U3" s="9" t="s">
        <v>174</v>
      </c>
      <c r="V3" s="9" t="s">
        <v>84</v>
      </c>
      <c r="Y3" s="9" t="s">
        <v>119</v>
      </c>
      <c r="AA3" s="9" t="s">
        <v>134</v>
      </c>
      <c r="AC3" s="9" t="s">
        <v>146</v>
      </c>
      <c r="AE3" s="9" t="s">
        <v>169</v>
      </c>
      <c r="AG3" s="9" t="s">
        <v>184</v>
      </c>
      <c r="AI3" s="9" t="s">
        <v>201</v>
      </c>
      <c r="AJ3" s="9" t="s">
        <v>205</v>
      </c>
      <c r="AL3" s="9" t="s">
        <v>179</v>
      </c>
      <c r="AM3" s="9" t="s">
        <v>206</v>
      </c>
      <c r="AO3" s="9" t="s">
        <v>207</v>
      </c>
      <c r="AR3" t="s">
        <v>1</v>
      </c>
    </row>
    <row r="4" spans="1:45" x14ac:dyDescent="0.25">
      <c r="A4">
        <v>0</v>
      </c>
      <c r="B4">
        <v>1</v>
      </c>
      <c r="D4">
        <v>0</v>
      </c>
      <c r="E4">
        <v>1.1100000000000001</v>
      </c>
      <c r="G4">
        <v>0</v>
      </c>
      <c r="H4">
        <v>1</v>
      </c>
      <c r="J4">
        <v>0</v>
      </c>
      <c r="K4">
        <v>0.75</v>
      </c>
      <c r="M4" t="s">
        <v>23</v>
      </c>
      <c r="N4">
        <v>1.01</v>
      </c>
      <c r="P4">
        <v>1</v>
      </c>
      <c r="Q4">
        <v>1</v>
      </c>
      <c r="S4">
        <v>1</v>
      </c>
      <c r="T4">
        <v>1</v>
      </c>
      <c r="U4">
        <v>1</v>
      </c>
      <c r="V4">
        <v>2011</v>
      </c>
      <c r="W4">
        <v>2011</v>
      </c>
      <c r="Y4" s="96">
        <v>0.1</v>
      </c>
      <c r="Z4" s="96">
        <v>0.1</v>
      </c>
      <c r="AA4" t="s">
        <v>136</v>
      </c>
      <c r="AB4" t="b">
        <v>0</v>
      </c>
      <c r="AC4">
        <v>2025</v>
      </c>
      <c r="AE4" t="s">
        <v>136</v>
      </c>
      <c r="AF4" t="b">
        <v>0</v>
      </c>
      <c r="AG4" t="s">
        <v>136</v>
      </c>
      <c r="AH4" t="b">
        <v>0</v>
      </c>
      <c r="AI4" t="s">
        <v>204</v>
      </c>
      <c r="AJ4" t="s">
        <v>136</v>
      </c>
      <c r="AK4" t="b">
        <v>0</v>
      </c>
      <c r="AL4" t="s">
        <v>201</v>
      </c>
      <c r="AM4" t="s">
        <v>206</v>
      </c>
      <c r="AO4">
        <v>2025</v>
      </c>
      <c r="AP4">
        <v>1</v>
      </c>
      <c r="AR4" t="s">
        <v>136</v>
      </c>
      <c r="AS4" t="b">
        <v>0</v>
      </c>
    </row>
    <row r="5" spans="1:45" x14ac:dyDescent="0.25">
      <c r="A5" s="7">
        <v>250000</v>
      </c>
      <c r="B5">
        <v>1.01</v>
      </c>
      <c r="D5">
        <v>10000</v>
      </c>
      <c r="E5">
        <v>1.1000000000000001</v>
      </c>
      <c r="G5">
        <v>2500</v>
      </c>
      <c r="H5">
        <v>1.02</v>
      </c>
      <c r="J5">
        <v>0.25</v>
      </c>
      <c r="K5">
        <v>0.8</v>
      </c>
      <c r="M5" t="s">
        <v>24</v>
      </c>
      <c r="N5">
        <v>1.01</v>
      </c>
      <c r="P5">
        <v>2</v>
      </c>
      <c r="Q5">
        <v>1</v>
      </c>
      <c r="S5">
        <v>2</v>
      </c>
      <c r="T5">
        <v>0.95</v>
      </c>
      <c r="U5">
        <v>2</v>
      </c>
      <c r="V5">
        <v>2012</v>
      </c>
      <c r="W5">
        <v>2012</v>
      </c>
      <c r="Y5" s="96">
        <v>0.15</v>
      </c>
      <c r="Z5" s="96">
        <v>0.15</v>
      </c>
      <c r="AA5" t="s">
        <v>135</v>
      </c>
      <c r="AB5" t="b">
        <v>1</v>
      </c>
      <c r="AC5">
        <v>2024</v>
      </c>
      <c r="AE5" t="s">
        <v>135</v>
      </c>
      <c r="AF5" t="b">
        <v>1</v>
      </c>
      <c r="AG5" t="s">
        <v>135</v>
      </c>
      <c r="AH5" t="b">
        <v>1</v>
      </c>
      <c r="AI5" t="s">
        <v>202</v>
      </c>
      <c r="AJ5" t="s">
        <v>135</v>
      </c>
      <c r="AK5" t="b">
        <v>1</v>
      </c>
      <c r="AM5" t="s">
        <v>206</v>
      </c>
      <c r="AO5">
        <v>2024</v>
      </c>
      <c r="AP5">
        <v>2</v>
      </c>
      <c r="AR5" t="s">
        <v>135</v>
      </c>
      <c r="AS5" t="b">
        <v>1</v>
      </c>
    </row>
    <row r="6" spans="1:45" x14ac:dyDescent="0.25">
      <c r="A6" s="7">
        <v>500000</v>
      </c>
      <c r="B6">
        <v>1.02</v>
      </c>
      <c r="D6">
        <v>20000</v>
      </c>
      <c r="E6">
        <v>1.0900000000000001</v>
      </c>
      <c r="G6">
        <v>5000</v>
      </c>
      <c r="H6">
        <v>1.04</v>
      </c>
      <c r="J6">
        <v>0.5</v>
      </c>
      <c r="K6">
        <v>0.85</v>
      </c>
      <c r="M6" t="s">
        <v>25</v>
      </c>
      <c r="N6">
        <v>1</v>
      </c>
      <c r="P6">
        <v>3</v>
      </c>
      <c r="Q6">
        <v>1.05</v>
      </c>
      <c r="S6">
        <v>3</v>
      </c>
      <c r="T6">
        <v>0.9</v>
      </c>
      <c r="U6">
        <v>3</v>
      </c>
      <c r="V6">
        <v>2013</v>
      </c>
      <c r="W6">
        <v>2013</v>
      </c>
      <c r="Y6" s="96">
        <v>0.2</v>
      </c>
      <c r="Z6" s="96">
        <v>0.2</v>
      </c>
      <c r="AC6">
        <v>2023</v>
      </c>
      <c r="AI6" t="s">
        <v>203</v>
      </c>
      <c r="AK6" t="b">
        <v>1</v>
      </c>
      <c r="AM6" t="s">
        <v>206</v>
      </c>
      <c r="AO6">
        <v>2023</v>
      </c>
      <c r="AP6">
        <v>3</v>
      </c>
    </row>
    <row r="7" spans="1:45" x14ac:dyDescent="0.25">
      <c r="A7" s="7">
        <v>750000</v>
      </c>
      <c r="B7">
        <v>1.05</v>
      </c>
      <c r="D7">
        <v>30000</v>
      </c>
      <c r="E7">
        <v>1.08</v>
      </c>
      <c r="G7">
        <v>10000</v>
      </c>
      <c r="H7">
        <v>1.06</v>
      </c>
      <c r="J7">
        <v>1</v>
      </c>
      <c r="K7">
        <v>0.9</v>
      </c>
      <c r="M7" t="s">
        <v>26</v>
      </c>
      <c r="N7">
        <v>1</v>
      </c>
      <c r="P7">
        <v>4</v>
      </c>
      <c r="Q7">
        <v>1.1000000000000001</v>
      </c>
      <c r="S7">
        <v>4</v>
      </c>
      <c r="T7">
        <v>0.875</v>
      </c>
      <c r="U7">
        <v>4</v>
      </c>
      <c r="V7">
        <v>2014</v>
      </c>
      <c r="W7">
        <v>2014</v>
      </c>
      <c r="Y7" s="96">
        <v>0.25</v>
      </c>
      <c r="Z7" s="96">
        <v>0.25</v>
      </c>
      <c r="AC7">
        <v>2022</v>
      </c>
      <c r="AK7" t="b">
        <v>0</v>
      </c>
      <c r="AO7">
        <v>2022</v>
      </c>
      <c r="AP7">
        <v>4</v>
      </c>
    </row>
    <row r="8" spans="1:45" x14ac:dyDescent="0.25">
      <c r="A8" s="7">
        <v>1000000</v>
      </c>
      <c r="B8">
        <v>1.075</v>
      </c>
      <c r="D8">
        <v>40000</v>
      </c>
      <c r="E8">
        <v>1.07</v>
      </c>
      <c r="G8">
        <v>15000</v>
      </c>
      <c r="H8">
        <v>1.08</v>
      </c>
      <c r="J8">
        <v>2</v>
      </c>
      <c r="K8">
        <v>0.95</v>
      </c>
      <c r="M8" t="s">
        <v>27</v>
      </c>
      <c r="N8">
        <v>1.01</v>
      </c>
      <c r="P8">
        <v>5</v>
      </c>
      <c r="Q8">
        <v>1.1000000000000001</v>
      </c>
      <c r="S8">
        <v>5</v>
      </c>
      <c r="T8">
        <v>0.85</v>
      </c>
      <c r="U8">
        <v>5</v>
      </c>
      <c r="V8">
        <v>2015</v>
      </c>
      <c r="W8">
        <v>2015</v>
      </c>
      <c r="Y8" s="96">
        <v>0.4</v>
      </c>
      <c r="Z8" s="96">
        <v>0.4</v>
      </c>
      <c r="AC8">
        <v>2021</v>
      </c>
      <c r="AI8">
        <v>0</v>
      </c>
      <c r="AO8">
        <v>2021</v>
      </c>
      <c r="AP8">
        <v>5</v>
      </c>
    </row>
    <row r="9" spans="1:45" x14ac:dyDescent="0.25">
      <c r="A9" s="7">
        <v>1250000</v>
      </c>
      <c r="B9">
        <v>1.1000000000000001</v>
      </c>
      <c r="D9">
        <v>50000</v>
      </c>
      <c r="E9">
        <v>1.06</v>
      </c>
      <c r="G9">
        <v>20000</v>
      </c>
      <c r="H9">
        <v>1.1000000000000001</v>
      </c>
      <c r="J9">
        <v>3</v>
      </c>
      <c r="K9">
        <v>1</v>
      </c>
      <c r="M9" t="s">
        <v>28</v>
      </c>
      <c r="N9">
        <v>0.85</v>
      </c>
      <c r="P9">
        <v>6</v>
      </c>
      <c r="Q9">
        <v>1.1499999999999999</v>
      </c>
      <c r="S9">
        <v>6</v>
      </c>
      <c r="T9">
        <v>0.82499999999999996</v>
      </c>
      <c r="U9">
        <v>6</v>
      </c>
      <c r="V9">
        <v>2016</v>
      </c>
      <c r="W9">
        <v>2016</v>
      </c>
      <c r="Y9" s="2" t="s">
        <v>120</v>
      </c>
      <c r="Z9" s="96">
        <v>0</v>
      </c>
      <c r="AC9">
        <v>2020</v>
      </c>
      <c r="AI9">
        <v>500</v>
      </c>
      <c r="AO9">
        <v>2020</v>
      </c>
      <c r="AP9">
        <v>6</v>
      </c>
    </row>
    <row r="10" spans="1:45" x14ac:dyDescent="0.25">
      <c r="A10" s="7">
        <v>1500000</v>
      </c>
      <c r="B10">
        <v>1.25</v>
      </c>
      <c r="D10">
        <v>60000</v>
      </c>
      <c r="E10">
        <v>1.04</v>
      </c>
      <c r="G10">
        <v>30000</v>
      </c>
      <c r="H10">
        <v>1.1200000000000001</v>
      </c>
      <c r="J10">
        <v>4</v>
      </c>
      <c r="K10">
        <v>1.05</v>
      </c>
      <c r="M10" t="s">
        <v>29</v>
      </c>
      <c r="N10">
        <v>0.4</v>
      </c>
      <c r="P10">
        <v>7</v>
      </c>
      <c r="Q10">
        <v>1.1499999999999999</v>
      </c>
      <c r="S10" s="2" t="s">
        <v>211</v>
      </c>
      <c r="T10">
        <v>0.8</v>
      </c>
      <c r="U10">
        <v>7</v>
      </c>
      <c r="V10">
        <v>2017</v>
      </c>
      <c r="W10">
        <v>2017</v>
      </c>
      <c r="Y10" s="2" t="s">
        <v>121</v>
      </c>
      <c r="Z10" s="96">
        <v>0</v>
      </c>
      <c r="AC10">
        <v>2019</v>
      </c>
      <c r="AI10">
        <v>1000</v>
      </c>
      <c r="AO10">
        <v>2019</v>
      </c>
      <c r="AP10">
        <v>7</v>
      </c>
    </row>
    <row r="11" spans="1:45" x14ac:dyDescent="0.25">
      <c r="A11" s="7">
        <v>2000000</v>
      </c>
      <c r="B11">
        <v>1.3</v>
      </c>
      <c r="D11">
        <v>70000</v>
      </c>
      <c r="E11">
        <v>1.02</v>
      </c>
      <c r="G11">
        <v>35000</v>
      </c>
      <c r="H11">
        <v>1.1399999999999999</v>
      </c>
      <c r="J11">
        <v>5</v>
      </c>
      <c r="K11">
        <v>1.1000000000000001</v>
      </c>
      <c r="M11" t="s">
        <v>74</v>
      </c>
      <c r="N11">
        <v>0.4</v>
      </c>
      <c r="P11">
        <v>8</v>
      </c>
      <c r="Q11">
        <v>1.2</v>
      </c>
      <c r="V11">
        <v>2018</v>
      </c>
      <c r="W11">
        <v>2018</v>
      </c>
      <c r="AC11">
        <v>2018</v>
      </c>
      <c r="AO11">
        <v>2018</v>
      </c>
      <c r="AP11">
        <v>8</v>
      </c>
    </row>
    <row r="12" spans="1:45" x14ac:dyDescent="0.25">
      <c r="A12" s="7">
        <v>3000000</v>
      </c>
      <c r="B12">
        <v>1.35</v>
      </c>
      <c r="D12">
        <v>80000</v>
      </c>
      <c r="E12">
        <v>1</v>
      </c>
      <c r="G12">
        <v>40000</v>
      </c>
      <c r="H12">
        <v>1.1599999999999999</v>
      </c>
      <c r="J12">
        <v>6</v>
      </c>
      <c r="K12">
        <v>1.1499999999999999</v>
      </c>
      <c r="M12" t="s">
        <v>281</v>
      </c>
      <c r="N12">
        <v>0.7</v>
      </c>
      <c r="P12">
        <v>9</v>
      </c>
      <c r="Q12">
        <v>1.2</v>
      </c>
      <c r="V12">
        <v>2019</v>
      </c>
      <c r="W12">
        <v>2019</v>
      </c>
      <c r="AC12">
        <v>2017</v>
      </c>
      <c r="AO12">
        <v>2017</v>
      </c>
      <c r="AP12">
        <v>9</v>
      </c>
    </row>
    <row r="13" spans="1:45" x14ac:dyDescent="0.25">
      <c r="A13" s="7">
        <v>5000000</v>
      </c>
      <c r="B13">
        <v>1.4</v>
      </c>
      <c r="D13">
        <v>90000</v>
      </c>
      <c r="E13">
        <v>1.01</v>
      </c>
      <c r="G13">
        <v>45000</v>
      </c>
      <c r="H13">
        <v>1.18</v>
      </c>
      <c r="J13">
        <v>7</v>
      </c>
      <c r="K13">
        <v>1.2</v>
      </c>
      <c r="M13" t="s">
        <v>176</v>
      </c>
      <c r="N13">
        <v>0.7</v>
      </c>
      <c r="P13">
        <v>10</v>
      </c>
      <c r="Q13">
        <v>1.3</v>
      </c>
      <c r="V13">
        <v>2020</v>
      </c>
      <c r="W13">
        <v>2020</v>
      </c>
      <c r="AO13">
        <v>2016</v>
      </c>
      <c r="AP13">
        <v>10</v>
      </c>
    </row>
    <row r="14" spans="1:45" x14ac:dyDescent="0.25">
      <c r="A14" s="7">
        <v>7500000</v>
      </c>
      <c r="B14">
        <v>1.45</v>
      </c>
      <c r="D14">
        <v>96100</v>
      </c>
      <c r="E14">
        <v>1.1000000000000001</v>
      </c>
      <c r="G14">
        <v>50000</v>
      </c>
      <c r="H14">
        <v>1.2</v>
      </c>
      <c r="J14">
        <v>8</v>
      </c>
      <c r="K14">
        <v>1.25</v>
      </c>
      <c r="P14">
        <v>11</v>
      </c>
      <c r="Q14">
        <v>1.3</v>
      </c>
      <c r="V14">
        <v>2021</v>
      </c>
      <c r="W14">
        <v>2021</v>
      </c>
      <c r="AF14" s="9" t="s">
        <v>209</v>
      </c>
      <c r="AO14">
        <v>2015</v>
      </c>
      <c r="AP14">
        <v>11</v>
      </c>
    </row>
    <row r="15" spans="1:45" x14ac:dyDescent="0.25">
      <c r="A15" s="7">
        <v>10000000</v>
      </c>
      <c r="B15">
        <v>1.5</v>
      </c>
      <c r="D15">
        <v>99000</v>
      </c>
      <c r="E15">
        <v>1.1000000000000001</v>
      </c>
      <c r="G15" s="2" t="s">
        <v>8</v>
      </c>
      <c r="H15">
        <v>1.22</v>
      </c>
      <c r="J15" s="2" t="s">
        <v>7</v>
      </c>
      <c r="K15">
        <v>1.3</v>
      </c>
      <c r="P15" s="2" t="s">
        <v>11</v>
      </c>
      <c r="Q15">
        <v>1.4</v>
      </c>
      <c r="S15" s="2"/>
      <c r="V15">
        <v>2022</v>
      </c>
      <c r="W15">
        <v>2022</v>
      </c>
      <c r="AF15" t="s">
        <v>136</v>
      </c>
      <c r="AG15">
        <v>1</v>
      </c>
      <c r="AH15" t="b">
        <v>0</v>
      </c>
      <c r="AO15">
        <v>2014</v>
      </c>
      <c r="AP15">
        <v>12</v>
      </c>
    </row>
    <row r="16" spans="1:45" x14ac:dyDescent="0.25">
      <c r="V16">
        <v>2023</v>
      </c>
      <c r="W16">
        <v>2023</v>
      </c>
      <c r="AF16" t="s">
        <v>214</v>
      </c>
      <c r="AG16">
        <v>1.05</v>
      </c>
      <c r="AH16" t="b">
        <v>1</v>
      </c>
      <c r="AO16">
        <v>2013</v>
      </c>
      <c r="AP16">
        <v>13</v>
      </c>
    </row>
    <row r="17" spans="13:42" x14ac:dyDescent="0.25">
      <c r="AF17" t="s">
        <v>213</v>
      </c>
      <c r="AG17">
        <v>1.1000000000000001</v>
      </c>
      <c r="AH17" t="b">
        <v>1</v>
      </c>
      <c r="AO17">
        <v>2012</v>
      </c>
      <c r="AP17">
        <v>14</v>
      </c>
    </row>
    <row r="18" spans="13:42" x14ac:dyDescent="0.25">
      <c r="AC18" s="9" t="s">
        <v>190</v>
      </c>
      <c r="AF18" t="s">
        <v>215</v>
      </c>
      <c r="AG18">
        <v>1.2</v>
      </c>
      <c r="AH18" t="b">
        <v>1</v>
      </c>
      <c r="AO18">
        <v>2011</v>
      </c>
      <c r="AP18">
        <v>15</v>
      </c>
    </row>
    <row r="19" spans="13:42" x14ac:dyDescent="0.25">
      <c r="AC19" t="s">
        <v>191</v>
      </c>
      <c r="AO19">
        <v>2010</v>
      </c>
      <c r="AP19">
        <v>16</v>
      </c>
    </row>
    <row r="20" spans="13:42" x14ac:dyDescent="0.25">
      <c r="AC20" t="s">
        <v>192</v>
      </c>
      <c r="AO20">
        <v>2009</v>
      </c>
      <c r="AP20">
        <v>17</v>
      </c>
    </row>
    <row r="21" spans="13:42" x14ac:dyDescent="0.25">
      <c r="M21" t="s">
        <v>23</v>
      </c>
      <c r="N21">
        <v>1</v>
      </c>
      <c r="O21">
        <v>2</v>
      </c>
      <c r="AC21" t="s">
        <v>193</v>
      </c>
      <c r="AO21">
        <v>2008</v>
      </c>
      <c r="AP21">
        <v>18</v>
      </c>
    </row>
    <row r="22" spans="13:42" ht="18" x14ac:dyDescent="0.25">
      <c r="M22" t="s">
        <v>24</v>
      </c>
      <c r="N22">
        <v>2</v>
      </c>
      <c r="O22">
        <v>2</v>
      </c>
      <c r="S22" s="37"/>
      <c r="AC22" t="s">
        <v>194</v>
      </c>
      <c r="AO22">
        <v>2007</v>
      </c>
      <c r="AP22">
        <v>19</v>
      </c>
    </row>
    <row r="23" spans="13:42" x14ac:dyDescent="0.25">
      <c r="M23" t="s">
        <v>25</v>
      </c>
      <c r="N23">
        <v>3</v>
      </c>
      <c r="O23">
        <v>1</v>
      </c>
      <c r="AO23">
        <v>2006</v>
      </c>
      <c r="AP23">
        <v>20</v>
      </c>
    </row>
    <row r="24" spans="13:42" x14ac:dyDescent="0.25">
      <c r="M24" t="s">
        <v>26</v>
      </c>
      <c r="N24">
        <v>4</v>
      </c>
      <c r="O24">
        <v>2</v>
      </c>
      <c r="AO24">
        <v>2005</v>
      </c>
      <c r="AP24">
        <v>21</v>
      </c>
    </row>
    <row r="25" spans="13:42" x14ac:dyDescent="0.25">
      <c r="M25" t="s">
        <v>27</v>
      </c>
      <c r="N25">
        <v>5</v>
      </c>
      <c r="O25">
        <v>2</v>
      </c>
      <c r="AO25">
        <v>2004</v>
      </c>
      <c r="AP25">
        <v>22</v>
      </c>
    </row>
    <row r="26" spans="13:42" x14ac:dyDescent="0.25">
      <c r="M26" t="s">
        <v>28</v>
      </c>
      <c r="N26">
        <v>6</v>
      </c>
      <c r="O26">
        <v>2</v>
      </c>
      <c r="AO26">
        <v>2003</v>
      </c>
      <c r="AP26">
        <v>23</v>
      </c>
    </row>
    <row r="27" spans="13:42" x14ac:dyDescent="0.25">
      <c r="M27" t="s">
        <v>29</v>
      </c>
      <c r="N27">
        <v>7</v>
      </c>
      <c r="O27">
        <v>2</v>
      </c>
      <c r="AO27">
        <v>2002</v>
      </c>
      <c r="AP27">
        <v>24</v>
      </c>
    </row>
    <row r="28" spans="13:42" x14ac:dyDescent="0.25">
      <c r="M28" t="s">
        <v>74</v>
      </c>
      <c r="N28">
        <v>8</v>
      </c>
      <c r="O28">
        <v>2</v>
      </c>
      <c r="AO28">
        <v>2001</v>
      </c>
      <c r="AP28">
        <v>25</v>
      </c>
    </row>
    <row r="29" spans="13:42" x14ac:dyDescent="0.25">
      <c r="M29" t="s">
        <v>281</v>
      </c>
      <c r="N29">
        <v>9</v>
      </c>
      <c r="O29">
        <v>1</v>
      </c>
      <c r="AO29">
        <v>2000</v>
      </c>
      <c r="AP29">
        <v>26</v>
      </c>
    </row>
    <row r="30" spans="13:42" x14ac:dyDescent="0.25">
      <c r="M30" t="s">
        <v>176</v>
      </c>
      <c r="N30">
        <v>10</v>
      </c>
      <c r="O30">
        <v>2</v>
      </c>
      <c r="AO30">
        <v>1999</v>
      </c>
      <c r="AP30">
        <v>27</v>
      </c>
    </row>
    <row r="31" spans="13:42" x14ac:dyDescent="0.25">
      <c r="AO31">
        <v>1998</v>
      </c>
      <c r="AP31">
        <v>28</v>
      </c>
    </row>
    <row r="32" spans="13:42" x14ac:dyDescent="0.25">
      <c r="AO32">
        <v>1997</v>
      </c>
      <c r="AP32">
        <v>29</v>
      </c>
    </row>
    <row r="33" spans="41:42" x14ac:dyDescent="0.25">
      <c r="AO33">
        <v>1996</v>
      </c>
      <c r="AP33">
        <v>30</v>
      </c>
    </row>
    <row r="34" spans="41:42" x14ac:dyDescent="0.25">
      <c r="AO34">
        <v>1995</v>
      </c>
      <c r="AP34">
        <v>31</v>
      </c>
    </row>
    <row r="35" spans="41:42" x14ac:dyDescent="0.25">
      <c r="AO35">
        <v>1994</v>
      </c>
      <c r="AP35">
        <v>32</v>
      </c>
    </row>
    <row r="36" spans="41:42" x14ac:dyDescent="0.25">
      <c r="AO36">
        <v>1993</v>
      </c>
      <c r="AP36">
        <v>33</v>
      </c>
    </row>
    <row r="37" spans="41:42" x14ac:dyDescent="0.25">
      <c r="AO37">
        <v>1992</v>
      </c>
      <c r="AP37">
        <v>34</v>
      </c>
    </row>
    <row r="38" spans="41:42" x14ac:dyDescent="0.25">
      <c r="AO38">
        <v>1991</v>
      </c>
      <c r="AP38">
        <v>35</v>
      </c>
    </row>
    <row r="39" spans="41:42" x14ac:dyDescent="0.25">
      <c r="AO39">
        <v>1990</v>
      </c>
      <c r="AP39">
        <v>36</v>
      </c>
    </row>
    <row r="40" spans="41:42" x14ac:dyDescent="0.25">
      <c r="AO40">
        <v>1989</v>
      </c>
      <c r="AP40">
        <v>37</v>
      </c>
    </row>
    <row r="41" spans="41:42" x14ac:dyDescent="0.25">
      <c r="AO41">
        <v>1988</v>
      </c>
      <c r="AP41">
        <v>38</v>
      </c>
    </row>
    <row r="42" spans="41:42" x14ac:dyDescent="0.25">
      <c r="AO42">
        <v>1987</v>
      </c>
      <c r="AP42">
        <v>39</v>
      </c>
    </row>
    <row r="43" spans="41:42" x14ac:dyDescent="0.25">
      <c r="AO43">
        <v>1986</v>
      </c>
      <c r="AP43">
        <v>40</v>
      </c>
    </row>
    <row r="44" spans="41:42" x14ac:dyDescent="0.25">
      <c r="AO44">
        <v>1985</v>
      </c>
      <c r="AP44">
        <v>41</v>
      </c>
    </row>
    <row r="45" spans="41:42" x14ac:dyDescent="0.25">
      <c r="AO45">
        <v>1984</v>
      </c>
      <c r="AP45">
        <v>42</v>
      </c>
    </row>
    <row r="46" spans="41:42" x14ac:dyDescent="0.25">
      <c r="AO46">
        <v>1983</v>
      </c>
      <c r="AP46">
        <v>43</v>
      </c>
    </row>
    <row r="47" spans="41:42" x14ac:dyDescent="0.25">
      <c r="AO47">
        <v>1982</v>
      </c>
      <c r="AP47">
        <v>44</v>
      </c>
    </row>
    <row r="48" spans="41:42" x14ac:dyDescent="0.25">
      <c r="AO48">
        <v>1981</v>
      </c>
      <c r="AP48">
        <v>45</v>
      </c>
    </row>
    <row r="49" spans="41:42" x14ac:dyDescent="0.25">
      <c r="AO49">
        <v>1980</v>
      </c>
      <c r="AP49">
        <v>46</v>
      </c>
    </row>
    <row r="50" spans="41:42" x14ac:dyDescent="0.25">
      <c r="AO50">
        <v>1979</v>
      </c>
      <c r="AP50">
        <v>47</v>
      </c>
    </row>
    <row r="51" spans="41:42" x14ac:dyDescent="0.25">
      <c r="AO51">
        <v>1978</v>
      </c>
      <c r="AP51">
        <v>48</v>
      </c>
    </row>
    <row r="52" spans="41:42" x14ac:dyDescent="0.25">
      <c r="AO52">
        <v>1977</v>
      </c>
      <c r="AP52">
        <v>49</v>
      </c>
    </row>
    <row r="53" spans="41:42" x14ac:dyDescent="0.25">
      <c r="AO53">
        <v>1976</v>
      </c>
      <c r="AP53">
        <v>50</v>
      </c>
    </row>
    <row r="54" spans="41:42" x14ac:dyDescent="0.25">
      <c r="AO54">
        <v>1975</v>
      </c>
      <c r="AP54">
        <v>51</v>
      </c>
    </row>
    <row r="55" spans="41:42" x14ac:dyDescent="0.25">
      <c r="AO55">
        <v>1974</v>
      </c>
      <c r="AP55">
        <v>52</v>
      </c>
    </row>
    <row r="56" spans="41:42" x14ac:dyDescent="0.25">
      <c r="AO56">
        <v>1973</v>
      </c>
      <c r="AP56">
        <v>53</v>
      </c>
    </row>
    <row r="57" spans="41:42" x14ac:dyDescent="0.25">
      <c r="AO57">
        <v>1972</v>
      </c>
      <c r="AP57">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CEC98-6C69-459D-84A8-CC14718BFC87}">
  <sheetPr>
    <pageSetUpPr fitToPage="1"/>
  </sheetPr>
  <dimension ref="A1:W60"/>
  <sheetViews>
    <sheetView tabSelected="1" view="pageLayout" topLeftCell="A28" zoomScaleNormal="100" workbookViewId="0">
      <selection activeCell="B51" sqref="B51:I54"/>
    </sheetView>
  </sheetViews>
  <sheetFormatPr defaultColWidth="8.85546875" defaultRowHeight="18.95" customHeight="1" x14ac:dyDescent="0.3"/>
  <cols>
    <col min="1" max="1" width="8.85546875" style="115"/>
    <col min="2" max="2" width="29" style="115" bestFit="1" customWidth="1"/>
    <col min="3" max="3" width="10.7109375" style="115" customWidth="1"/>
    <col min="4" max="4" width="5.140625" style="115" customWidth="1"/>
    <col min="5" max="5" width="12.7109375" style="115" customWidth="1"/>
    <col min="6" max="6" width="12.28515625" style="115" customWidth="1"/>
    <col min="7" max="7" width="15.140625" style="115" customWidth="1"/>
    <col min="8" max="8" width="17.7109375" style="115" customWidth="1"/>
    <col min="9" max="9" width="14" style="115" bestFit="1" customWidth="1"/>
    <col min="10" max="10" width="15.140625" style="115" customWidth="1"/>
    <col min="11" max="20" width="8.85546875" style="115"/>
    <col min="21" max="21" width="12.85546875" style="115" bestFit="1" customWidth="1"/>
    <col min="22" max="16384" width="8.85546875" style="115"/>
  </cols>
  <sheetData>
    <row r="1" spans="1:23" ht="18.95" customHeight="1" x14ac:dyDescent="0.3">
      <c r="A1" s="117" t="s">
        <v>253</v>
      </c>
      <c r="B1" s="117" t="s">
        <v>254</v>
      </c>
      <c r="C1" s="117" t="s">
        <v>255</v>
      </c>
      <c r="D1" s="117" t="s">
        <v>256</v>
      </c>
      <c r="E1" s="117" t="s">
        <v>257</v>
      </c>
      <c r="F1" s="117" t="s">
        <v>258</v>
      </c>
      <c r="G1" s="117" t="s">
        <v>259</v>
      </c>
      <c r="H1" s="117" t="s">
        <v>260</v>
      </c>
      <c r="I1" s="117" t="s">
        <v>261</v>
      </c>
      <c r="J1" s="117" t="s">
        <v>262</v>
      </c>
      <c r="K1" s="117" t="s">
        <v>263</v>
      </c>
      <c r="L1" s="117" t="s">
        <v>264</v>
      </c>
      <c r="M1" s="117" t="s">
        <v>265</v>
      </c>
      <c r="N1" s="117" t="s">
        <v>266</v>
      </c>
      <c r="O1" s="117" t="s">
        <v>267</v>
      </c>
      <c r="P1" s="117" t="s">
        <v>268</v>
      </c>
      <c r="Q1" s="117" t="s">
        <v>269</v>
      </c>
      <c r="R1" s="117" t="s">
        <v>270</v>
      </c>
      <c r="S1" s="117" t="s">
        <v>271</v>
      </c>
      <c r="T1" s="117" t="s">
        <v>272</v>
      </c>
      <c r="U1" s="115" t="s">
        <v>273</v>
      </c>
      <c r="V1" s="115" t="s">
        <v>274</v>
      </c>
      <c r="W1" s="115" t="s">
        <v>284</v>
      </c>
    </row>
    <row r="2" spans="1:23" ht="18.95" customHeight="1" x14ac:dyDescent="0.3">
      <c r="A2" s="117" t="str">
        <f>'Input Sheet'!B25</f>
        <v>Valued Client</v>
      </c>
      <c r="B2" s="117" t="str">
        <f>'Input Sheet'!B28</f>
        <v>123 Main St, Yourtown, US, 85260</v>
      </c>
      <c r="C2" s="117">
        <f>'Input Sheet'!D3</f>
        <v>85260</v>
      </c>
      <c r="D2" s="117">
        <f>'Input Sheet'!B3</f>
        <v>2550000</v>
      </c>
      <c r="E2" s="117">
        <f>'Input Sheet'!AA3</f>
        <v>0</v>
      </c>
      <c r="F2" s="222">
        <f>B15-B21</f>
        <v>2295000</v>
      </c>
      <c r="G2" s="222">
        <f>B21</f>
        <v>255000</v>
      </c>
      <c r="H2" s="223">
        <f>'Input Sheet'!P3</f>
        <v>45366</v>
      </c>
      <c r="I2" s="117">
        <f>'Input Sheet'!F3</f>
        <v>1500</v>
      </c>
      <c r="J2" s="117">
        <f>'Input Sheet'!H3</f>
        <v>0.78</v>
      </c>
      <c r="K2" s="225">
        <f>'Input Sheet'!P7</f>
        <v>2024</v>
      </c>
      <c r="L2" s="224">
        <f>B40</f>
        <v>3364.022905100001</v>
      </c>
      <c r="M2" s="224">
        <f>B42</f>
        <v>3058.2026410000008</v>
      </c>
      <c r="N2" s="224">
        <f>B44</f>
        <v>1682.0114525500005</v>
      </c>
      <c r="O2" s="224">
        <f>B47</f>
        <v>841.00572627500026</v>
      </c>
      <c r="P2" s="224">
        <f>C40</f>
        <v>0</v>
      </c>
      <c r="Q2" s="225">
        <f>'Input Sheet'!N3</f>
        <v>1</v>
      </c>
      <c r="R2" s="222">
        <f>I7</f>
        <v>569422.71841568721</v>
      </c>
      <c r="S2" s="225">
        <f>F7</f>
        <v>2025</v>
      </c>
      <c r="T2" s="225" t="str">
        <f>'Input Sheet'!R7</f>
        <v>October</v>
      </c>
      <c r="U2" s="223">
        <f>'Input Sheet'!AB3</f>
        <v>46006</v>
      </c>
      <c r="V2" s="117" t="str">
        <f>'Input Sheet'!J3</f>
        <v>Multi-Family</v>
      </c>
      <c r="W2" s="115">
        <f>'Input Sheet'!L3</f>
        <v>1</v>
      </c>
    </row>
    <row r="3" spans="1:23" ht="18.95" customHeight="1" x14ac:dyDescent="0.3">
      <c r="A3" s="117"/>
      <c r="B3" s="117"/>
      <c r="C3" s="117"/>
      <c r="D3" s="117"/>
      <c r="E3" s="117"/>
      <c r="F3" s="117"/>
      <c r="G3" s="117"/>
      <c r="H3" s="117"/>
      <c r="I3" s="117"/>
      <c r="J3" s="117"/>
      <c r="K3" s="117"/>
      <c r="L3" s="117"/>
      <c r="M3" s="117"/>
      <c r="N3" s="117"/>
      <c r="O3" s="117"/>
      <c r="P3" s="117"/>
      <c r="Q3" s="117"/>
      <c r="R3" s="117"/>
      <c r="S3" s="117"/>
      <c r="T3" s="117"/>
      <c r="U3" s="117"/>
      <c r="V3" s="117"/>
    </row>
    <row r="4" spans="1:23" ht="18.95" customHeight="1" x14ac:dyDescent="0.3">
      <c r="A4" s="117"/>
      <c r="B4" s="117"/>
      <c r="C4" s="221"/>
      <c r="D4" s="221"/>
      <c r="E4" s="221"/>
      <c r="F4" s="117"/>
      <c r="G4" s="117"/>
      <c r="H4" s="117"/>
      <c r="I4" s="117"/>
      <c r="J4" s="117"/>
      <c r="K4" s="117"/>
    </row>
    <row r="5" spans="1:23" ht="18.95" customHeight="1" x14ac:dyDescent="0.3">
      <c r="A5" s="117"/>
      <c r="B5" s="117"/>
      <c r="C5" s="221"/>
      <c r="D5" s="221"/>
      <c r="E5" s="221"/>
      <c r="F5" s="233" t="s">
        <v>131</v>
      </c>
      <c r="G5" s="233"/>
      <c r="H5" s="233" t="s">
        <v>130</v>
      </c>
      <c r="I5" s="233"/>
      <c r="J5" s="143"/>
      <c r="K5" s="117"/>
    </row>
    <row r="6" spans="1:23" ht="18.95" customHeight="1" x14ac:dyDescent="0.3">
      <c r="A6" s="117"/>
      <c r="B6" s="117"/>
      <c r="C6" s="221"/>
      <c r="D6" s="221"/>
      <c r="E6" s="221"/>
      <c r="F6" s="130" t="s">
        <v>56</v>
      </c>
      <c r="G6" s="131" t="s">
        <v>163</v>
      </c>
      <c r="H6" s="131" t="s">
        <v>57</v>
      </c>
      <c r="I6" s="131" t="s">
        <v>58</v>
      </c>
      <c r="J6" s="143"/>
      <c r="K6" s="117"/>
    </row>
    <row r="7" spans="1:23" ht="18.95" customHeight="1" x14ac:dyDescent="0.3">
      <c r="A7" s="117"/>
      <c r="B7" s="117"/>
      <c r="C7" s="117"/>
      <c r="D7" s="117"/>
      <c r="E7" s="117"/>
      <c r="F7" s="127">
        <f>'Input Sheet'!R3</f>
        <v>2025</v>
      </c>
      <c r="G7" s="165">
        <f>IF('YbyY data'!$A$9=39,'YbyY data'!FV5,'YbyY data'!FJ5)</f>
        <v>66073.05</v>
      </c>
      <c r="H7" s="165">
        <f>IF('YbyY data'!$A$9=39,'YbyY data'!FW5,'YbyY data'!FK5)</f>
        <v>113694.10179921797</v>
      </c>
      <c r="I7" s="165">
        <f>IF('YbyY data'!$A$9=39,'YbyY data'!FX5,'YbyY data'!FL5)</f>
        <v>569422.71841568721</v>
      </c>
      <c r="J7" s="143"/>
      <c r="K7" s="117"/>
    </row>
    <row r="8" spans="1:23" ht="18.95" customHeight="1" x14ac:dyDescent="0.3">
      <c r="A8" s="117"/>
      <c r="B8" s="144" t="s">
        <v>139</v>
      </c>
      <c r="C8" s="144"/>
      <c r="D8" s="144"/>
      <c r="E8" s="117"/>
      <c r="F8" s="127">
        <f>F7+1</f>
        <v>2026</v>
      </c>
      <c r="G8" s="165">
        <f>IF('YbyY data'!$A$9=39,'YbyY data'!FV6,'YbyY data'!FJ6)</f>
        <v>83446.200000000012</v>
      </c>
      <c r="H8" s="165">
        <f>IF('YbyY data'!$A$9=39,'YbyY data'!FW6,'YbyY data'!FK6)</f>
        <v>177171.92789882695</v>
      </c>
      <c r="I8" s="165">
        <f>IF('YbyY data'!$A$9=39,'YbyY data'!FX6,'YbyY data'!FL6)</f>
        <v>102805.30082353079</v>
      </c>
      <c r="J8" s="143"/>
      <c r="K8" s="117"/>
    </row>
    <row r="9" spans="1:23" ht="18.95" customHeight="1" x14ac:dyDescent="0.3">
      <c r="A9" s="117"/>
      <c r="B9" s="145" t="s">
        <v>140</v>
      </c>
      <c r="C9" s="146"/>
      <c r="D9" s="146"/>
      <c r="E9" s="117"/>
      <c r="F9" s="127">
        <f t="shared" ref="F9:F47" si="0">F8+1</f>
        <v>2027</v>
      </c>
      <c r="G9" s="165">
        <f>IF('YbyY data'!$A$9=39,'YbyY data'!FV7,'YbyY data'!FJ7)</f>
        <v>83446.200000000012</v>
      </c>
      <c r="H9" s="165">
        <f>IF('YbyY data'!$A$9=39,'YbyY data'!FW7,'YbyY data'!FK7)</f>
        <v>145581.64644384477</v>
      </c>
      <c r="I9" s="165">
        <f>IF('YbyY data'!$A$9=39,'YbyY data'!FX7,'YbyY data'!FL7)</f>
        <v>90169.188241537922</v>
      </c>
      <c r="J9" s="143"/>
      <c r="K9" s="117"/>
    </row>
    <row r="10" spans="1:23" ht="18.75" customHeight="1" x14ac:dyDescent="0.3">
      <c r="A10" s="117"/>
      <c r="B10" s="169" t="str">
        <f>'Input Sheet'!B25</f>
        <v>Valued Client</v>
      </c>
      <c r="C10" s="169"/>
      <c r="D10" s="169"/>
      <c r="E10" s="117"/>
      <c r="F10" s="127">
        <f t="shared" si="0"/>
        <v>2028</v>
      </c>
      <c r="G10" s="165">
        <f>IF('YbyY data'!$A$9=39,'YbyY data'!FV8,'YbyY data'!FJ8)</f>
        <v>83446.200000000012</v>
      </c>
      <c r="H10" s="165">
        <f>IF('YbyY data'!$A$9=39,'YbyY data'!FW8,'YbyY data'!FK8)</f>
        <v>124860.28754278753</v>
      </c>
      <c r="I10" s="165">
        <f>IF('YbyY data'!$A$9=39,'YbyY data'!FX8,'YbyY data'!FL8)</f>
        <v>81880.644681115009</v>
      </c>
      <c r="J10" s="143"/>
      <c r="K10" s="117"/>
    </row>
    <row r="11" spans="1:23" ht="18.95" customHeight="1" x14ac:dyDescent="0.3">
      <c r="A11" s="117"/>
      <c r="B11" s="234" t="str">
        <f>'Input Sheet'!J3&amp;" "&amp;"Property - Address:"</f>
        <v>Multi-Family Property - Address:</v>
      </c>
      <c r="C11" s="234"/>
      <c r="D11" s="146"/>
      <c r="E11" s="117"/>
      <c r="F11" s="127">
        <f t="shared" si="0"/>
        <v>2029</v>
      </c>
      <c r="G11" s="165">
        <f>IF('YbyY data'!$A$9=39,'YbyY data'!FV9,'YbyY data'!FJ9)</f>
        <v>83446.200000000012</v>
      </c>
      <c r="H11" s="165">
        <f>IF('YbyY data'!$A$9=39,'YbyY data'!FW9,'YbyY data'!FK9)</f>
        <v>120000.51496560071</v>
      </c>
      <c r="I11" s="165">
        <f>IF('YbyY data'!$A$9=39,'YbyY data'!FX9,'YbyY data'!FL9)</f>
        <v>79936.735650240284</v>
      </c>
      <c r="J11" s="143"/>
      <c r="K11" s="117"/>
    </row>
    <row r="12" spans="1:23" ht="18.95" customHeight="1" x14ac:dyDescent="0.3">
      <c r="A12" s="117"/>
      <c r="B12" s="235" t="str">
        <f>'Input Sheet'!B28</f>
        <v>123 Main St, Yourtown, US, 85260</v>
      </c>
      <c r="C12" s="169"/>
      <c r="D12" s="169"/>
      <c r="E12" s="117"/>
      <c r="F12" s="127">
        <f t="shared" si="0"/>
        <v>2030</v>
      </c>
      <c r="G12" s="165">
        <f>IF('YbyY data'!$A$9=39,'YbyY data'!FV10,'YbyY data'!FJ10)</f>
        <v>83446.200000000012</v>
      </c>
      <c r="H12" s="165">
        <f>IF('YbyY data'!$A$9=39,'YbyY data'!FW10,'YbyY data'!FK10)</f>
        <v>104065.03372997118</v>
      </c>
      <c r="I12" s="165">
        <f>IF('YbyY data'!$A$9=39,'YbyY data'!FX10,'YbyY data'!FL10)</f>
        <v>73562.543155988475</v>
      </c>
      <c r="J12" s="143"/>
      <c r="K12" s="117"/>
    </row>
    <row r="13" spans="1:23" ht="18.95" customHeight="1" x14ac:dyDescent="0.3">
      <c r="A13" s="117"/>
      <c r="B13" s="235"/>
      <c r="C13" s="169"/>
      <c r="D13" s="169"/>
      <c r="E13" s="117"/>
      <c r="F13" s="127">
        <f t="shared" si="0"/>
        <v>2031</v>
      </c>
      <c r="G13" s="165">
        <f>IF('YbyY data'!$A$9=39,'YbyY data'!FV11,'YbyY data'!FJ11)</f>
        <v>83446.200000000012</v>
      </c>
      <c r="H13" s="165">
        <f>IF('YbyY data'!$A$9=39,'YbyY data'!FW11,'YbyY data'!FK11)</f>
        <v>90464.767888574279</v>
      </c>
      <c r="I13" s="165">
        <f>IF('YbyY data'!$A$9=39,'YbyY data'!FX11,'YbyY data'!FL11)</f>
        <v>68122.436819429713</v>
      </c>
      <c r="J13" s="143"/>
      <c r="K13" s="117"/>
    </row>
    <row r="14" spans="1:23" ht="18.95" customHeight="1" x14ac:dyDescent="0.3">
      <c r="A14" s="117"/>
      <c r="B14" s="145" t="s">
        <v>12</v>
      </c>
      <c r="C14" s="146"/>
      <c r="D14" s="146"/>
      <c r="E14" s="117"/>
      <c r="F14" s="127">
        <f t="shared" si="0"/>
        <v>2032</v>
      </c>
      <c r="G14" s="165">
        <f>IF('YbyY data'!$A$9=39,'YbyY data'!FV12,'YbyY data'!FJ12)</f>
        <v>83446.200000000012</v>
      </c>
      <c r="H14" s="165">
        <f>IF('YbyY data'!$A$9=39,'YbyY data'!FW12,'YbyY data'!FK12)</f>
        <v>90464.767888574279</v>
      </c>
      <c r="I14" s="165">
        <f>IF('YbyY data'!$A$9=39,'YbyY data'!FX12,'YbyY data'!FL12)</f>
        <v>68122.436819429713</v>
      </c>
      <c r="J14" s="143"/>
      <c r="K14" s="117"/>
    </row>
    <row r="15" spans="1:23" ht="18.95" customHeight="1" x14ac:dyDescent="0.3">
      <c r="A15" s="117"/>
      <c r="B15" s="147">
        <f>'Input Sheet'!B3</f>
        <v>2550000</v>
      </c>
      <c r="C15" s="148"/>
      <c r="D15" s="148"/>
      <c r="E15" s="118"/>
      <c r="F15" s="127">
        <f t="shared" si="0"/>
        <v>2033</v>
      </c>
      <c r="G15" s="165">
        <f>IF('YbyY data'!$A$9=39,'YbyY data'!FV13,'YbyY data'!FJ13)</f>
        <v>83446.200000000012</v>
      </c>
      <c r="H15" s="165">
        <f>IF('YbyY data'!$A$9=39,'YbyY data'!FW13,'YbyY data'!FK13)</f>
        <v>90527.881818148133</v>
      </c>
      <c r="I15" s="165">
        <f>IF('YbyY data'!$A$9=39,'YbyY data'!FX13,'YbyY data'!FL13)</f>
        <v>68147.682391259252</v>
      </c>
      <c r="J15" s="143"/>
      <c r="K15" s="117"/>
    </row>
    <row r="16" spans="1:23" ht="18.95" customHeight="1" x14ac:dyDescent="0.3">
      <c r="A16" s="117"/>
      <c r="B16" s="145" t="s">
        <v>175</v>
      </c>
      <c r="C16" s="145"/>
      <c r="D16" s="145"/>
      <c r="E16" s="118"/>
      <c r="F16" s="127">
        <f t="shared" si="0"/>
        <v>2034</v>
      </c>
      <c r="G16" s="165">
        <f>IF('YbyY data'!$A$9=39,'YbyY data'!FV14,'YbyY data'!FJ14)</f>
        <v>83469.149999999994</v>
      </c>
      <c r="H16" s="165">
        <f>IF('YbyY data'!$A$9=39,'YbyY data'!FW14,'YbyY data'!FK14)</f>
        <v>90479.406928574259</v>
      </c>
      <c r="I16" s="165">
        <f>IF('YbyY data'!$A$9=39,'YbyY data'!FX14,'YbyY data'!FL14)</f>
        <v>68137.075859429708</v>
      </c>
      <c r="J16" s="143"/>
      <c r="K16" s="117"/>
    </row>
    <row r="17" spans="1:11" ht="18.95" customHeight="1" x14ac:dyDescent="0.3">
      <c r="A17" s="117"/>
      <c r="B17" s="147">
        <f>'Input Sheet'!AA3</f>
        <v>0</v>
      </c>
      <c r="C17" s="145"/>
      <c r="D17" s="145"/>
      <c r="E17" s="117"/>
      <c r="F17" s="127">
        <f t="shared" si="0"/>
        <v>2035</v>
      </c>
      <c r="G17" s="165">
        <f>IF('YbyY data'!$A$9=39,'YbyY data'!FV15,'YbyY data'!FJ15)</f>
        <v>83446.200000000012</v>
      </c>
      <c r="H17" s="165">
        <f>IF('YbyY data'!$A$9=39,'YbyY data'!FW15,'YbyY data'!FK15)</f>
        <v>90527.881818148133</v>
      </c>
      <c r="I17" s="165">
        <f>IF('YbyY data'!$A$9=39,'YbyY data'!FX15,'YbyY data'!FL15)</f>
        <v>68147.682391259252</v>
      </c>
      <c r="J17" s="143"/>
      <c r="K17" s="117"/>
    </row>
    <row r="18" spans="1:11" ht="18.95" customHeight="1" x14ac:dyDescent="0.3">
      <c r="A18" s="117"/>
      <c r="B18" s="145" t="s">
        <v>189</v>
      </c>
      <c r="C18" s="146"/>
      <c r="D18" s="146"/>
      <c r="E18" s="117"/>
      <c r="F18" s="127">
        <f t="shared" si="0"/>
        <v>2036</v>
      </c>
      <c r="G18" s="165">
        <f>IF('YbyY data'!$A$9=39,'YbyY data'!FV16,'YbyY data'!FJ16)</f>
        <v>83469.149999999994</v>
      </c>
      <c r="H18" s="165">
        <f>IF('YbyY data'!$A$9=39,'YbyY data'!FW16,'YbyY data'!FK16)</f>
        <v>90479.406928574259</v>
      </c>
      <c r="I18" s="165">
        <f>IF('YbyY data'!$A$9=39,'YbyY data'!FX16,'YbyY data'!FL16)</f>
        <v>68137.075859429708</v>
      </c>
      <c r="J18" s="143"/>
      <c r="K18" s="117"/>
    </row>
    <row r="19" spans="1:11" ht="18.95" customHeight="1" x14ac:dyDescent="0.3">
      <c r="A19" s="117"/>
      <c r="B19" s="149">
        <f>'YbyY data'!B5</f>
        <v>2295000</v>
      </c>
      <c r="C19" s="169"/>
      <c r="D19" s="169"/>
      <c r="E19" s="117"/>
      <c r="F19" s="127">
        <f t="shared" si="0"/>
        <v>2037</v>
      </c>
      <c r="G19" s="165">
        <f>IF('YbyY data'!$A$9=39,'YbyY data'!FV17,'YbyY data'!FJ17)</f>
        <v>83446.200000000012</v>
      </c>
      <c r="H19" s="165">
        <f>IF('YbyY data'!$A$9=39,'YbyY data'!FW17,'YbyY data'!FK17)</f>
        <v>90527.881818148133</v>
      </c>
      <c r="I19" s="165">
        <f>IF('YbyY data'!$A$9=39,'YbyY data'!FX17,'YbyY data'!FL17)</f>
        <v>68147.682391259252</v>
      </c>
      <c r="J19" s="143"/>
      <c r="K19" s="117"/>
    </row>
    <row r="20" spans="1:11" ht="18.95" customHeight="1" x14ac:dyDescent="0.3">
      <c r="A20" s="117"/>
      <c r="B20" s="145" t="s">
        <v>53</v>
      </c>
      <c r="C20" s="146"/>
      <c r="D20" s="146"/>
      <c r="E20" s="117"/>
      <c r="F20" s="127">
        <f t="shared" si="0"/>
        <v>2038</v>
      </c>
      <c r="G20" s="165">
        <f>IF('YbyY data'!$A$9=39,'YbyY data'!FV18,'YbyY data'!FJ18)</f>
        <v>83469.149999999994</v>
      </c>
      <c r="H20" s="165">
        <f>IF('YbyY data'!$A$9=39,'YbyY data'!FW18,'YbyY data'!FK18)</f>
        <v>90479.406928574259</v>
      </c>
      <c r="I20" s="165">
        <f>IF('YbyY data'!$A$9=39,'YbyY data'!FX18,'YbyY data'!FL18)</f>
        <v>68137.075859429708</v>
      </c>
      <c r="J20" s="143"/>
      <c r="K20" s="117"/>
    </row>
    <row r="21" spans="1:11" ht="18.95" customHeight="1" x14ac:dyDescent="0.3">
      <c r="A21" s="117"/>
      <c r="B21" s="149">
        <f>'YbyY data'!B2</f>
        <v>255000</v>
      </c>
      <c r="C21" s="169"/>
      <c r="D21" s="169"/>
      <c r="E21" s="117"/>
      <c r="F21" s="127">
        <f t="shared" si="0"/>
        <v>2039</v>
      </c>
      <c r="G21" s="165">
        <f>IF('YbyY data'!$A$9=39,'YbyY data'!FV19,'YbyY data'!FJ19)</f>
        <v>83446.200000000012</v>
      </c>
      <c r="H21" s="165">
        <f>IF('YbyY data'!$A$9=39,'YbyY data'!FW19,'YbyY data'!FK19)</f>
        <v>90527.881818148133</v>
      </c>
      <c r="I21" s="165">
        <f>IF('YbyY data'!$A$9=39,'YbyY data'!FX19,'YbyY data'!FL19)</f>
        <v>68147.682391259252</v>
      </c>
      <c r="J21" s="143"/>
      <c r="K21" s="117"/>
    </row>
    <row r="22" spans="1:11" ht="18.95" customHeight="1" x14ac:dyDescent="0.3">
      <c r="A22" s="117"/>
      <c r="B22" s="145" t="s">
        <v>141</v>
      </c>
      <c r="C22" s="146"/>
      <c r="D22" s="146"/>
      <c r="E22" s="117"/>
      <c r="F22" s="127">
        <f t="shared" si="0"/>
        <v>2040</v>
      </c>
      <c r="G22" s="165">
        <f>IF('YbyY data'!$A$9=39,'YbyY data'!FV20,'YbyY data'!FJ20)</f>
        <v>83469.149999999994</v>
      </c>
      <c r="H22" s="165">
        <f>IF('YbyY data'!$A$9=39,'YbyY data'!FW20,'YbyY data'!FK20)</f>
        <v>71860.797704287135</v>
      </c>
      <c r="I22" s="165">
        <f>IF('YbyY data'!$A$9=39,'YbyY data'!FX20,'YbyY data'!FL20)</f>
        <v>60689.632169714852</v>
      </c>
      <c r="J22" s="143"/>
      <c r="K22" s="117"/>
    </row>
    <row r="23" spans="1:11" ht="18.95" customHeight="1" x14ac:dyDescent="0.3">
      <c r="A23" s="117"/>
      <c r="B23" s="150">
        <f>'Input Sheet'!P3</f>
        <v>45366</v>
      </c>
      <c r="C23" s="150"/>
      <c r="D23" s="150"/>
      <c r="E23" s="117"/>
      <c r="F23" s="127">
        <f t="shared" si="0"/>
        <v>2041</v>
      </c>
      <c r="G23" s="165">
        <f>IF('YbyY data'!$A$9=39,'YbyY data'!FV21,'YbyY data'!FJ21)</f>
        <v>83446.200000000012</v>
      </c>
      <c r="H23" s="165">
        <f>IF('YbyY data'!$A$9=39,'YbyY data'!FW21,'YbyY data'!FK21)</f>
        <v>53227.549440000003</v>
      </c>
      <c r="I23" s="165">
        <f>IF('YbyY data'!$A$9=39,'YbyY data'!FX21,'YbyY data'!FL21)</f>
        <v>53227.549440000003</v>
      </c>
      <c r="J23" s="143"/>
      <c r="K23" s="117"/>
    </row>
    <row r="24" spans="1:11" ht="18.95" customHeight="1" x14ac:dyDescent="0.3">
      <c r="A24" s="117"/>
      <c r="B24" s="151" t="str">
        <f>IF('Input Sheet'!$Y$3=TRUE,'Input Sheet'!$W$2,'Input Sheet'!$F$2)</f>
        <v>SqFt Building</v>
      </c>
      <c r="C24" s="170"/>
      <c r="D24" s="170"/>
      <c r="E24" s="117"/>
      <c r="F24" s="127">
        <f t="shared" si="0"/>
        <v>2042</v>
      </c>
      <c r="G24" s="165">
        <f>IF('YbyY data'!$A$9=39,'YbyY data'!FV22,'YbyY data'!FJ22)</f>
        <v>83469.149999999994</v>
      </c>
      <c r="H24" s="165">
        <f>IF('YbyY data'!$A$9=39,'YbyY data'!FW22,'YbyY data'!FK22)</f>
        <v>53242.188479999997</v>
      </c>
      <c r="I24" s="165">
        <f>IF('YbyY data'!$A$9=39,'YbyY data'!FX22,'YbyY data'!FL22)</f>
        <v>53242.188479999997</v>
      </c>
      <c r="J24" s="143"/>
      <c r="K24" s="117"/>
    </row>
    <row r="25" spans="1:11" ht="18.95" customHeight="1" x14ac:dyDescent="0.3">
      <c r="A25" s="117"/>
      <c r="B25" s="148">
        <f>IF('Input Sheet'!$Y$3=TRUE,-'Input Sheet'!$W$3,'Input Sheet'!$F$3)</f>
        <v>1500</v>
      </c>
      <c r="C25" s="171"/>
      <c r="D25" s="171"/>
      <c r="E25" s="117"/>
      <c r="F25" s="127">
        <f t="shared" si="0"/>
        <v>2043</v>
      </c>
      <c r="G25" s="165">
        <f>IF('YbyY data'!$A$9=39,'YbyY data'!FV23,'YbyY data'!FJ23)</f>
        <v>83446.200000000012</v>
      </c>
      <c r="H25" s="165">
        <f>IF('YbyY data'!$A$9=39,'YbyY data'!FW23,'YbyY data'!FK23)</f>
        <v>53227.549440000003</v>
      </c>
      <c r="I25" s="165">
        <f>IF('YbyY data'!$A$9=39,'YbyY data'!FX23,'YbyY data'!FL23)</f>
        <v>53227.549440000003</v>
      </c>
      <c r="J25" s="143"/>
      <c r="K25" s="117"/>
    </row>
    <row r="26" spans="1:11" ht="18.95" customHeight="1" x14ac:dyDescent="0.3">
      <c r="A26" s="117"/>
      <c r="B26" s="151" t="str">
        <f>IF('Input Sheet'!$Y$3=TRUE,'Input Sheet'!$F$2,'Input Sheet'!$H$2)</f>
        <v>Acres Land</v>
      </c>
      <c r="C26" s="151" t="str">
        <f>IF('Input Sheet'!$Y$3=TRUE,'Input Sheet'!$H$2," ")</f>
        <v xml:space="preserve"> </v>
      </c>
      <c r="D26" s="151"/>
      <c r="E26" s="117"/>
      <c r="F26" s="127">
        <f t="shared" si="0"/>
        <v>2044</v>
      </c>
      <c r="G26" s="165">
        <f>IF('YbyY data'!$A$9=39,'YbyY data'!FV24,'YbyY data'!FJ24)</f>
        <v>83469.149999999994</v>
      </c>
      <c r="H26" s="165">
        <f>IF('YbyY data'!$A$9=39,'YbyY data'!FW24,'YbyY data'!FK24)</f>
        <v>53242.188479999997</v>
      </c>
      <c r="I26" s="165">
        <f>IF('YbyY data'!$A$9=39,'YbyY data'!FX24,'YbyY data'!FL24)</f>
        <v>53242.188479999997</v>
      </c>
      <c r="J26" s="143"/>
      <c r="K26" s="117"/>
    </row>
    <row r="27" spans="1:11" ht="18.95" customHeight="1" x14ac:dyDescent="0.3">
      <c r="A27" s="117"/>
      <c r="B27" s="172">
        <f>IF('Input Sheet'!$Y$3=TRUE,'Input Sheet'!$F$3,'Input Sheet'!$H$3)</f>
        <v>0.78</v>
      </c>
      <c r="C27" s="151" t="str">
        <f>IF('Input Sheet'!$Y$3=TRUE,'Input Sheet'!$H$3," ")</f>
        <v xml:space="preserve"> </v>
      </c>
      <c r="D27" s="151"/>
      <c r="E27" s="117"/>
      <c r="F27" s="127">
        <f t="shared" si="0"/>
        <v>2045</v>
      </c>
      <c r="G27" s="165">
        <f>IF('YbyY data'!$A$9=39,'YbyY data'!FV25,'YbyY data'!FJ25)</f>
        <v>83446.200000000012</v>
      </c>
      <c r="H27" s="165">
        <f>IF('YbyY data'!$A$9=39,'YbyY data'!FW25,'YbyY data'!FK25)</f>
        <v>53227.549440000003</v>
      </c>
      <c r="I27" s="165">
        <f>IF('YbyY data'!$A$9=39,'YbyY data'!FX25,'YbyY data'!FL25)</f>
        <v>53227.549440000003</v>
      </c>
      <c r="J27" s="143"/>
      <c r="K27" s="117"/>
    </row>
    <row r="28" spans="1:11" ht="18.95" customHeight="1" x14ac:dyDescent="0.3">
      <c r="A28" s="117"/>
      <c r="B28" s="177" t="str">
        <f>"Due Date"</f>
        <v>Due Date</v>
      </c>
      <c r="C28" s="230" t="str">
        <f>_xlfn.CONCAT('Input Sheet'!$R$7," ",'Input Sheet'!$R$3)</f>
        <v>October 2025</v>
      </c>
      <c r="D28" s="231"/>
      <c r="E28" s="117"/>
      <c r="F28" s="127">
        <f t="shared" si="0"/>
        <v>2046</v>
      </c>
      <c r="G28" s="165">
        <f>IF('YbyY data'!$A$9=39,'YbyY data'!FV26,'YbyY data'!FJ26)</f>
        <v>83469.149999999994</v>
      </c>
      <c r="H28" s="165">
        <f>IF('YbyY data'!$A$9=39,'YbyY data'!FW26,'YbyY data'!FK26)</f>
        <v>53242.188479999997</v>
      </c>
      <c r="I28" s="165">
        <f>IF('YbyY data'!$A$9=39,'YbyY data'!FX26,'YbyY data'!FL26)</f>
        <v>53242.188479999997</v>
      </c>
      <c r="J28" s="143"/>
      <c r="K28" s="117"/>
    </row>
    <row r="29" spans="1:11" ht="18.95" customHeight="1" x14ac:dyDescent="0.3">
      <c r="A29" s="117"/>
      <c r="B29" s="178"/>
      <c r="C29" s="179"/>
      <c r="D29" s="179"/>
      <c r="E29" s="117"/>
      <c r="F29" s="127">
        <f t="shared" si="0"/>
        <v>2047</v>
      </c>
      <c r="G29" s="165">
        <f>IF('YbyY data'!$A$9=39,'YbyY data'!FV27,'YbyY data'!FJ27)</f>
        <v>83446.200000000012</v>
      </c>
      <c r="H29" s="165">
        <f>IF('YbyY data'!$A$9=39,'YbyY data'!FW27,'YbyY data'!FK27)</f>
        <v>53227.549440000003</v>
      </c>
      <c r="I29" s="165">
        <f>IF('YbyY data'!$A$9=39,'YbyY data'!FX27,'YbyY data'!FL27)</f>
        <v>53227.549440000003</v>
      </c>
      <c r="J29" s="143"/>
      <c r="K29" s="117"/>
    </row>
    <row r="30" spans="1:11" ht="18.95" customHeight="1" x14ac:dyDescent="0.35">
      <c r="A30" s="117"/>
      <c r="B30" s="152" t="s">
        <v>144</v>
      </c>
      <c r="C30" s="153"/>
      <c r="D30" s="153"/>
      <c r="E30" s="117"/>
      <c r="F30" s="127">
        <f t="shared" si="0"/>
        <v>2048</v>
      </c>
      <c r="G30" s="165">
        <f>IF('YbyY data'!$A$9=39,'YbyY data'!FV28,'YbyY data'!FJ28)</f>
        <v>83469.149999999994</v>
      </c>
      <c r="H30" s="165">
        <f>IF('YbyY data'!$A$9=39,'YbyY data'!FW28,'YbyY data'!FK28)</f>
        <v>53242.188479999997</v>
      </c>
      <c r="I30" s="165">
        <f>IF('YbyY data'!$A$9=39,'YbyY data'!FX28,'YbyY data'!FL28)</f>
        <v>53242.188479999997</v>
      </c>
      <c r="J30" s="143"/>
      <c r="K30" s="117"/>
    </row>
    <row r="31" spans="1:11" ht="18.95" customHeight="1" x14ac:dyDescent="0.3">
      <c r="A31" s="117"/>
      <c r="B31" s="154" t="s">
        <v>210</v>
      </c>
      <c r="C31" s="153"/>
      <c r="D31" s="153"/>
      <c r="E31" s="117"/>
      <c r="F31" s="127">
        <f t="shared" si="0"/>
        <v>2049</v>
      </c>
      <c r="G31" s="165">
        <f>IF('YbyY data'!$A$9=39,'YbyY data'!FV29,'YbyY data'!FJ29)</f>
        <v>83446.200000000012</v>
      </c>
      <c r="H31" s="165">
        <f>IF('YbyY data'!$A$9=39,'YbyY data'!FW29,'YbyY data'!FK29)</f>
        <v>53227.549440000003</v>
      </c>
      <c r="I31" s="165">
        <f>IF('YbyY data'!$A$9=39,'YbyY data'!FX29,'YbyY data'!FL29)</f>
        <v>53227.549440000003</v>
      </c>
      <c r="J31" s="143"/>
      <c r="K31" s="117"/>
    </row>
    <row r="32" spans="1:11" ht="18.95" customHeight="1" x14ac:dyDescent="0.3">
      <c r="A32" s="117"/>
      <c r="B32" s="155" t="s">
        <v>286</v>
      </c>
      <c r="C32" s="153"/>
      <c r="D32" s="153"/>
      <c r="E32" s="117"/>
      <c r="F32" s="127">
        <f t="shared" si="0"/>
        <v>2050</v>
      </c>
      <c r="G32" s="165">
        <f>IF('YbyY data'!$A$9=39,'YbyY data'!FV30,'YbyY data'!FJ30)</f>
        <v>83469.149999999994</v>
      </c>
      <c r="H32" s="165">
        <f>IF('YbyY data'!$A$9=39,'YbyY data'!FW30,'YbyY data'!FK30)</f>
        <v>53242.188479999997</v>
      </c>
      <c r="I32" s="165">
        <f>IF('YbyY data'!$A$9=39,'YbyY data'!FX30,'YbyY data'!FL30)</f>
        <v>53242.188479999997</v>
      </c>
      <c r="J32" s="143"/>
      <c r="K32" s="117"/>
    </row>
    <row r="33" spans="1:11" ht="18.95" customHeight="1" x14ac:dyDescent="0.3">
      <c r="A33" s="117"/>
      <c r="B33" s="174" t="s">
        <v>182</v>
      </c>
      <c r="C33" s="153"/>
      <c r="D33" s="153"/>
      <c r="E33" s="117"/>
      <c r="F33" s="127">
        <f t="shared" si="0"/>
        <v>2051</v>
      </c>
      <c r="G33" s="165">
        <f>IF('YbyY data'!$A$9=39,'YbyY data'!FV31,'YbyY data'!FJ31)</f>
        <v>83446.200000000012</v>
      </c>
      <c r="H33" s="165">
        <f>IF('YbyY data'!$A$9=39,'YbyY data'!FW31,'YbyY data'!FK31)</f>
        <v>53227.549440000003</v>
      </c>
      <c r="I33" s="165">
        <f>IF('YbyY data'!$A$9=39,'YbyY data'!FX31,'YbyY data'!FL31)</f>
        <v>53227.549440000003</v>
      </c>
      <c r="J33" s="143"/>
      <c r="K33" s="117"/>
    </row>
    <row r="34" spans="1:11" ht="18.95" customHeight="1" x14ac:dyDescent="0.3">
      <c r="A34" s="117"/>
      <c r="B34" s="155" t="s">
        <v>145</v>
      </c>
      <c r="C34" s="153"/>
      <c r="D34" s="153"/>
      <c r="E34" s="117"/>
      <c r="F34" s="127">
        <f t="shared" si="0"/>
        <v>2052</v>
      </c>
      <c r="G34" s="165">
        <f>IF('YbyY data'!$A$9=39,'YbyY data'!FV32,'YbyY data'!FJ32)</f>
        <v>59119.200000000004</v>
      </c>
      <c r="H34" s="165">
        <f>IF('YbyY data'!$A$9=39,'YbyY data'!FW32,'YbyY data'!FK32)</f>
        <v>37710.16704</v>
      </c>
      <c r="I34" s="165">
        <f>IF('YbyY data'!$A$9=39,'YbyY data'!FX32,'YbyY data'!FL32)</f>
        <v>37710.16704</v>
      </c>
      <c r="J34" s="143"/>
      <c r="K34" s="117"/>
    </row>
    <row r="35" spans="1:11" ht="18.95" customHeight="1" x14ac:dyDescent="0.3">
      <c r="A35" s="117"/>
      <c r="B35" s="180" t="s">
        <v>195</v>
      </c>
      <c r="C35" s="153"/>
      <c r="D35" s="153"/>
      <c r="E35" s="117"/>
      <c r="F35" s="127">
        <f t="shared" si="0"/>
        <v>2053</v>
      </c>
      <c r="G35" s="165">
        <f>IF('YbyY data'!$A$9=39,'YbyY data'!FV33,'YbyY data'!FJ33)</f>
        <v>0</v>
      </c>
      <c r="H35" s="165">
        <f>IF('YbyY data'!$A$9=39,'YbyY data'!FW33,'YbyY data'!FK33)</f>
        <v>0</v>
      </c>
      <c r="I35" s="165">
        <f>IF('YbyY data'!$A$9=39,'YbyY data'!FX33,'YbyY data'!FL33)</f>
        <v>0</v>
      </c>
      <c r="J35" s="143"/>
      <c r="K35" s="117"/>
    </row>
    <row r="36" spans="1:11" ht="18.95" customHeight="1" x14ac:dyDescent="0.3">
      <c r="A36" s="117"/>
      <c r="B36" s="155" t="s">
        <v>196</v>
      </c>
      <c r="C36" s="153"/>
      <c r="D36" s="153"/>
      <c r="E36" s="117"/>
      <c r="F36" s="127">
        <f t="shared" si="0"/>
        <v>2054</v>
      </c>
      <c r="G36" s="165">
        <f>IF('YbyY data'!$A$9=39,'YbyY data'!FV34,'YbyY data'!FJ34)</f>
        <v>0</v>
      </c>
      <c r="H36" s="165">
        <f>IF('YbyY data'!$A$9=39,'YbyY data'!FW34,'YbyY data'!FK34)</f>
        <v>0</v>
      </c>
      <c r="I36" s="165">
        <f>IF('YbyY data'!$A$9=39,'YbyY data'!FX34,'YbyY data'!FL34)</f>
        <v>0</v>
      </c>
      <c r="J36" s="143"/>
      <c r="K36" s="117"/>
    </row>
    <row r="37" spans="1:11" ht="18.95" customHeight="1" x14ac:dyDescent="0.3">
      <c r="A37" s="117"/>
      <c r="B37" s="118"/>
      <c r="C37" s="118"/>
      <c r="D37" s="118"/>
      <c r="E37" s="117"/>
      <c r="F37" s="127">
        <f t="shared" si="0"/>
        <v>2055</v>
      </c>
      <c r="G37" s="165">
        <f>IF('YbyY data'!$A$9=39,'YbyY data'!FV35,'YbyY data'!FJ35)</f>
        <v>0</v>
      </c>
      <c r="H37" s="165">
        <f>IF('YbyY data'!$A$9=39,'YbyY data'!FW35,'YbyY data'!FK35)</f>
        <v>0</v>
      </c>
      <c r="I37" s="165">
        <f>IF('YbyY data'!$A$9=39,'YbyY data'!FX35,'YbyY data'!FL35)</f>
        <v>0</v>
      </c>
      <c r="J37" s="143"/>
      <c r="K37" s="117"/>
    </row>
    <row r="38" spans="1:11" ht="18.95" customHeight="1" x14ac:dyDescent="0.3">
      <c r="A38" s="117"/>
      <c r="B38" s="173" t="s">
        <v>179</v>
      </c>
      <c r="C38" s="118"/>
      <c r="D38" s="118"/>
      <c r="E38" s="117"/>
      <c r="F38" s="127">
        <f t="shared" si="0"/>
        <v>2056</v>
      </c>
      <c r="G38" s="165">
        <f>IF('YbyY data'!$A$9=39,'YbyY data'!FV36,'YbyY data'!FJ36)</f>
        <v>0</v>
      </c>
      <c r="H38" s="165">
        <f>IF('YbyY data'!$A$9=39,'YbyY data'!FW36,'YbyY data'!FK36)</f>
        <v>0</v>
      </c>
      <c r="I38" s="165">
        <f>IF('YbyY data'!$A$9=39,'YbyY data'!FX36,'YbyY data'!FL36)</f>
        <v>0</v>
      </c>
      <c r="J38" s="143"/>
      <c r="K38" s="117"/>
    </row>
    <row r="39" spans="1:11" ht="18.95" customHeight="1" x14ac:dyDescent="0.3">
      <c r="A39" s="117"/>
      <c r="B39" s="129" t="s">
        <v>180</v>
      </c>
      <c r="C39" s="236" t="s">
        <v>212</v>
      </c>
      <c r="D39" s="237"/>
      <c r="E39" s="117"/>
      <c r="F39" s="127">
        <f t="shared" si="0"/>
        <v>2057</v>
      </c>
      <c r="G39" s="165">
        <f>IF('YbyY data'!$A$9=39,'YbyY data'!FV37,'YbyY data'!FJ37)</f>
        <v>0</v>
      </c>
      <c r="H39" s="165">
        <f>IF('YbyY data'!$A$9=39,'YbyY data'!FW37,'YbyY data'!FK37)</f>
        <v>0</v>
      </c>
      <c r="I39" s="165">
        <f>IF('YbyY data'!$A$9=39,'YbyY data'!FX37,'YbyY data'!FL37)</f>
        <v>0</v>
      </c>
      <c r="J39" s="143"/>
      <c r="K39" s="117"/>
    </row>
    <row r="40" spans="1:11" ht="18.95" customHeight="1" x14ac:dyDescent="0.3">
      <c r="A40" s="117"/>
      <c r="B40" s="128">
        <f>IF(AND('Input Sheet'!AD3=TRUE, 'Input Sheet'!AF3="X1ZHYVML"),'Input Sheet'!$AE$7,'Input Sheet'!$F$19)</f>
        <v>3364.022905100001</v>
      </c>
      <c r="C40" s="238">
        <f>'Input Sheet'!AI3</f>
        <v>0</v>
      </c>
      <c r="D40" s="239"/>
      <c r="E40" s="117"/>
      <c r="F40" s="127">
        <f t="shared" si="0"/>
        <v>2058</v>
      </c>
      <c r="G40" s="165">
        <f>IF('YbyY data'!$A$9=39,'YbyY data'!FV38,'YbyY data'!FJ38)</f>
        <v>0</v>
      </c>
      <c r="H40" s="165">
        <f>IF('YbyY data'!$A$9=39,'YbyY data'!FW38,'YbyY data'!FK38)</f>
        <v>0</v>
      </c>
      <c r="I40" s="165">
        <f>IF('YbyY data'!$A$9=39,'YbyY data'!FX38,'YbyY data'!FL38)</f>
        <v>0</v>
      </c>
      <c r="J40" s="143"/>
      <c r="K40" s="117"/>
    </row>
    <row r="41" spans="1:11" ht="18.95" customHeight="1" x14ac:dyDescent="0.3">
      <c r="A41" s="117"/>
      <c r="B41" s="129" t="s">
        <v>181</v>
      </c>
      <c r="C41" s="120"/>
      <c r="D41" s="120"/>
      <c r="E41" s="117"/>
      <c r="F41" s="127">
        <f t="shared" si="0"/>
        <v>2059</v>
      </c>
      <c r="G41" s="165">
        <f>IF('YbyY data'!$A$9=39,'YbyY data'!FV39,'YbyY data'!FJ39)</f>
        <v>0</v>
      </c>
      <c r="H41" s="165">
        <f>IF('YbyY data'!$A$9=39,'YbyY data'!FW39,'YbyY data'!FK39)</f>
        <v>0</v>
      </c>
      <c r="I41" s="165">
        <f>IF('YbyY data'!$A$9=39,'YbyY data'!FX39,'YbyY data'!FL39)</f>
        <v>0</v>
      </c>
      <c r="J41" s="143"/>
      <c r="K41" s="117"/>
    </row>
    <row r="42" spans="1:11" ht="18.95" customHeight="1" x14ac:dyDescent="0.3">
      <c r="A42" s="117"/>
      <c r="B42" s="128">
        <f>IF(AND('Input Sheet'!AD3=TRUE, 'Input Sheet'!AF3="X1ZHYVML"),'Input Sheet'!$AE$3,'Input Sheet'!$F$20)</f>
        <v>3058.2026410000008</v>
      </c>
      <c r="C42" s="121"/>
      <c r="D42" s="121"/>
      <c r="E42" s="117"/>
      <c r="F42" s="127">
        <f t="shared" si="0"/>
        <v>2060</v>
      </c>
      <c r="G42" s="165">
        <f>IF('YbyY data'!$A$9=39,'YbyY data'!FV40,'YbyY data'!FJ40)</f>
        <v>0</v>
      </c>
      <c r="H42" s="165">
        <f>IF('YbyY data'!$A$9=39,'YbyY data'!FW40,'YbyY data'!FK40)</f>
        <v>0</v>
      </c>
      <c r="I42" s="165">
        <f>IF('YbyY data'!$A$9=39,'YbyY data'!FX40,'YbyY data'!FL40)</f>
        <v>0</v>
      </c>
      <c r="J42" s="143"/>
      <c r="K42" s="117"/>
    </row>
    <row r="43" spans="1:11" ht="18.95" customHeight="1" x14ac:dyDescent="0.3">
      <c r="A43" s="117"/>
      <c r="B43" s="129" t="s">
        <v>78</v>
      </c>
      <c r="C43" s="120"/>
      <c r="D43" s="120"/>
      <c r="E43" s="117"/>
      <c r="F43" s="127">
        <f t="shared" si="0"/>
        <v>2061</v>
      </c>
      <c r="G43" s="165">
        <f>IF('YbyY data'!$A$9=39,'YbyY data'!FV41,'YbyY data'!FJ41)</f>
        <v>0</v>
      </c>
      <c r="H43" s="165">
        <f>IF('YbyY data'!$A$9=39,'YbyY data'!FW41,'YbyY data'!FK41)</f>
        <v>0</v>
      </c>
      <c r="I43" s="165">
        <f>IF('YbyY data'!$A$9=39,'YbyY data'!FX41,'YbyY data'!FL41)</f>
        <v>0</v>
      </c>
      <c r="J43" s="143"/>
      <c r="K43" s="117"/>
    </row>
    <row r="44" spans="1:11" ht="18.95" customHeight="1" x14ac:dyDescent="0.3">
      <c r="A44" s="117"/>
      <c r="B44" s="128">
        <f>IF(AND('Input Sheet'!AD3=TRUE, 'Input Sheet'!AF3="X1ZHYVML"),'Input Sheet'!$AE$7*0.5,'Input Sheet'!$F$19*0.5)</f>
        <v>1682.0114525500005</v>
      </c>
      <c r="C44" s="121"/>
      <c r="D44" s="121"/>
      <c r="E44" s="117"/>
      <c r="F44" s="127">
        <f t="shared" si="0"/>
        <v>2062</v>
      </c>
      <c r="G44" s="165">
        <f>IF('YbyY data'!$A$9=39,'YbyY data'!FV42,'YbyY data'!FJ42)</f>
        <v>0</v>
      </c>
      <c r="H44" s="165">
        <f>IF('YbyY data'!$A$9=39,'YbyY data'!FW42,'YbyY data'!FK42)</f>
        <v>0</v>
      </c>
      <c r="I44" s="165">
        <f>IF('YbyY data'!$A$9=39,'YbyY data'!FX42,'YbyY data'!FL42)</f>
        <v>0</v>
      </c>
      <c r="J44" s="143"/>
      <c r="K44" s="117"/>
    </row>
    <row r="45" spans="1:11" ht="18.95" customHeight="1" x14ac:dyDescent="0.3">
      <c r="A45" s="117"/>
      <c r="B45" s="129" t="s">
        <v>241</v>
      </c>
      <c r="C45" s="120"/>
      <c r="D45" s="120"/>
      <c r="E45" s="117"/>
      <c r="F45" s="127">
        <f t="shared" si="0"/>
        <v>2063</v>
      </c>
      <c r="G45" s="165">
        <f>IF('YbyY data'!$A$9=39,'YbyY data'!FV43,'YbyY data'!FJ43)</f>
        <v>0</v>
      </c>
      <c r="H45" s="165">
        <f>IF('YbyY data'!$A$9=39,'YbyY data'!FW43,'YbyY data'!FK43)</f>
        <v>0</v>
      </c>
      <c r="I45" s="165">
        <f>IF('YbyY data'!$A$9=39,'YbyY data'!FX43,'YbyY data'!FL43)</f>
        <v>0</v>
      </c>
      <c r="J45" s="143"/>
      <c r="K45" s="117"/>
    </row>
    <row r="46" spans="1:11" ht="18.95" customHeight="1" x14ac:dyDescent="0.3">
      <c r="A46" s="117"/>
      <c r="B46" s="214" t="s">
        <v>240</v>
      </c>
      <c r="C46" s="121"/>
      <c r="D46" s="121"/>
      <c r="E46" s="117"/>
      <c r="F46" s="127">
        <f t="shared" si="0"/>
        <v>2064</v>
      </c>
      <c r="G46" s="165">
        <f>IF('YbyY data'!$A$9=39,'YbyY data'!FV44,'YbyY data'!FJ44)</f>
        <v>0</v>
      </c>
      <c r="H46" s="165">
        <f>IF('YbyY data'!$A$9=39,'YbyY data'!FW44,'YbyY data'!FK44)</f>
        <v>0</v>
      </c>
      <c r="I46" s="165">
        <f>IF('YbyY data'!$A$9=39,'YbyY data'!FX44,'YbyY data'!FL44)</f>
        <v>0</v>
      </c>
      <c r="J46" s="143"/>
      <c r="K46" s="117"/>
    </row>
    <row r="47" spans="1:11" ht="18.95" customHeight="1" x14ac:dyDescent="0.35">
      <c r="A47" s="117"/>
      <c r="B47" s="213">
        <f>B40/4</f>
        <v>841.00572627500026</v>
      </c>
      <c r="C47" s="123"/>
      <c r="D47" s="123"/>
      <c r="E47" s="117"/>
      <c r="F47" s="127">
        <f t="shared" si="0"/>
        <v>2065</v>
      </c>
      <c r="G47" s="165">
        <f>IF('YbyY data'!$A$9=39,'YbyY data'!FV45,'YbyY data'!FJ45)</f>
        <v>0</v>
      </c>
      <c r="H47" s="165">
        <f>IF('YbyY data'!$A$9=39,'YbyY data'!FW45,'YbyY data'!FK45)</f>
        <v>0</v>
      </c>
      <c r="I47" s="165">
        <f>IF('YbyY data'!$A$9=39,'YbyY data'!FX45,'YbyY data'!FL45)</f>
        <v>0</v>
      </c>
      <c r="J47" s="143"/>
      <c r="K47" s="117"/>
    </row>
    <row r="48" spans="1:11" ht="18.95" customHeight="1" x14ac:dyDescent="0.3">
      <c r="A48" s="117"/>
      <c r="B48" s="117"/>
      <c r="C48" s="117"/>
      <c r="D48" s="117"/>
      <c r="E48" s="117"/>
      <c r="F48" s="122"/>
      <c r="G48" s="166"/>
      <c r="H48" s="166"/>
      <c r="I48" s="166"/>
      <c r="J48" s="143"/>
      <c r="K48" s="117"/>
    </row>
    <row r="49" spans="1:11" ht="18.95" customHeight="1" x14ac:dyDescent="0.3">
      <c r="A49" s="117"/>
      <c r="B49" s="117"/>
      <c r="C49" s="117"/>
      <c r="D49" s="117"/>
      <c r="E49" s="117"/>
      <c r="F49" s="167" t="s">
        <v>143</v>
      </c>
      <c r="G49" s="168">
        <f>SUM(G7:G46)</f>
        <v>2294999.9999999995</v>
      </c>
      <c r="H49" s="168">
        <f>SUM(H7:H46)</f>
        <v>2295000</v>
      </c>
      <c r="I49" s="168">
        <f>SUM(I7:I46)</f>
        <v>2295000.0000000014</v>
      </c>
      <c r="J49" s="143"/>
      <c r="K49" s="117"/>
    </row>
    <row r="50" spans="1:11" ht="18.95" customHeight="1" x14ac:dyDescent="0.3">
      <c r="A50" s="117"/>
      <c r="B50" s="117"/>
      <c r="C50" s="117"/>
      <c r="D50" s="117"/>
      <c r="E50" s="117"/>
      <c r="F50" s="140"/>
      <c r="G50" s="141"/>
      <c r="H50" s="141"/>
      <c r="I50" s="141"/>
      <c r="J50" s="134"/>
      <c r="K50" s="117"/>
    </row>
    <row r="51" spans="1:11" ht="18.95" customHeight="1" x14ac:dyDescent="0.3">
      <c r="B51" s="232" t="s">
        <v>288</v>
      </c>
      <c r="C51" s="232"/>
      <c r="D51" s="232"/>
      <c r="E51" s="232"/>
      <c r="F51" s="232"/>
      <c r="G51" s="232"/>
      <c r="H51" s="232"/>
      <c r="I51" s="232"/>
      <c r="J51" s="161"/>
      <c r="K51" s="117"/>
    </row>
    <row r="52" spans="1:11" ht="18.95" customHeight="1" x14ac:dyDescent="0.3">
      <c r="A52" s="161"/>
      <c r="B52" s="232"/>
      <c r="C52" s="232"/>
      <c r="D52" s="232"/>
      <c r="E52" s="232"/>
      <c r="F52" s="232"/>
      <c r="G52" s="232"/>
      <c r="H52" s="232"/>
      <c r="I52" s="232"/>
      <c r="J52" s="161"/>
      <c r="K52" s="117"/>
    </row>
    <row r="53" spans="1:11" ht="18.95" customHeight="1" x14ac:dyDescent="0.3">
      <c r="A53" s="161"/>
      <c r="B53" s="232"/>
      <c r="C53" s="232"/>
      <c r="D53" s="232"/>
      <c r="E53" s="232"/>
      <c r="F53" s="232"/>
      <c r="G53" s="232"/>
      <c r="H53" s="232"/>
      <c r="I53" s="232"/>
      <c r="J53" s="161"/>
      <c r="K53" s="117"/>
    </row>
    <row r="54" spans="1:11" ht="18.95" customHeight="1" x14ac:dyDescent="0.3">
      <c r="A54" s="161"/>
      <c r="B54" s="232"/>
      <c r="C54" s="232"/>
      <c r="D54" s="232"/>
      <c r="E54" s="232"/>
      <c r="F54" s="232"/>
      <c r="G54" s="232"/>
      <c r="H54" s="232"/>
      <c r="I54" s="232"/>
      <c r="J54" s="161"/>
      <c r="K54" s="117"/>
    </row>
    <row r="55" spans="1:11" ht="18.95" customHeight="1" x14ac:dyDescent="0.3">
      <c r="A55" s="161"/>
      <c r="B55" s="161"/>
      <c r="C55" s="161"/>
      <c r="D55" s="161"/>
      <c r="E55" s="161"/>
      <c r="F55" s="161"/>
      <c r="G55" s="161"/>
      <c r="H55" s="161"/>
      <c r="I55" s="161"/>
      <c r="J55" s="161"/>
      <c r="K55" s="117"/>
    </row>
    <row r="56" spans="1:11" ht="18.95" customHeight="1" x14ac:dyDescent="0.3">
      <c r="A56" s="161"/>
      <c r="B56" s="161"/>
      <c r="C56" s="161"/>
      <c r="D56" s="161"/>
      <c r="E56" s="226" t="str">
        <f>"||Name_of_Prospect:"&amp;A2&amp;
"||Address_of_Property:"&amp;B2&amp;
"||Zip_Code:"&amp;TEXT(C2,"00000")&amp;
"||Purchase_Price:"&amp;TEXT(D2,"0")&amp;
"||Capital_Improvements_Amount:"&amp;TEXT(E2,"0.00")&amp;
"||Building_Value:"&amp;TEXT(F2,"0")&amp;
"||Know_Land_Value:"&amp;TEXT(G2,"0")&amp;
"||Date_of_Purchase:"&amp;TEXT(H2,"mm/dd/yyyy")&amp;
"||SqFt_Building:"&amp;TEXT(I2,"0")&amp;
"||Acres_Land:"&amp;TEXT(J2,"0.##")&amp;
"||Year_Built:"&amp;TEXT(K2,"0")&amp;
"||Bid_Amount_Original:"&amp;TEXT(L2,"0.00")&amp;
"||Pay_Upfront:"&amp;TEXT(M2,"0.00")&amp;
"||Pay_50_50_Amount:"&amp;TEXT(N2,"0.00")&amp;
"||Pay_Over_Time:"&amp;TEXT(O2,"0.00")&amp;
"||Rush_Fee:"&amp;TEXT(P2,"0.00")&amp;
"||Multiple_Properties_Quote:"&amp;TEXT(Q2,"0")&amp;
"||First_Year_Bonus_Quote:"&amp;TEXT(R2,"0.00")&amp;
"||Tax_Year:"&amp;TEXT(S2,"0")&amp;
"||Tax_Deadline_Quote:"&amp;T2&amp;
"||CapEx_Date:"&amp;TEXT(U2,"mm/dd/yyyy")&amp;
"||Type_of_Property_Quote:"&amp;V2&amp;
"||Number_of_Floors:"&amp;W2&amp;"||"</f>
        <v>||Name_of_Prospect:Valued Client||Address_of_Property:123 Main St, Yourtown, US, 85260||Zip_Code:85260||Purchase_Price:2550000||Capital_Improvements_Amount:0.00||Building_Value:2295000||Know_Land_Value:255000||Date_of_Purchase:03/15/2024||SqFt_Building:1500||Acres_Land:0.78||Year_Built:2024||Bid_Amount_Original:3364.02||Pay_Upfront:3058.20||Pay_50_50_Amount:1682.01||Pay_Over_Time:841.01||Rush_Fee:0.00||Multiple_Properties_Quote:1||First_Year_Bonus_Quote:569422.72||Tax_Year:2025||Tax_Deadline_Quote:October||CapEx_Date:12/15/2025||Type_of_Property_Quote:Multi-Family||Number_of_Floors:1||</v>
      </c>
      <c r="F56" s="161"/>
      <c r="G56" s="161"/>
      <c r="I56" s="220"/>
      <c r="J56" s="161"/>
      <c r="K56" s="117"/>
    </row>
    <row r="57" spans="1:11" ht="18.95" customHeight="1" x14ac:dyDescent="0.3">
      <c r="A57" s="117"/>
      <c r="B57" s="142" t="str">
        <f>'Input Sheet'!J3</f>
        <v>Multi-Family</v>
      </c>
      <c r="C57" s="161"/>
      <c r="D57" s="161"/>
      <c r="E57" s="161"/>
      <c r="F57" s="176"/>
      <c r="G57" s="162">
        <f>IF('Input Sheet'!AD3=TRUE,'Input Sheet'!AF2,'Input Sheet'!AE4)</f>
        <v>0</v>
      </c>
      <c r="H57" s="162">
        <f>IF('Input Sheet'!AD3=TRUE,'Input Sheet'!AF5,'Input Sheet'!AF4)</f>
        <v>0</v>
      </c>
      <c r="I57" s="125"/>
      <c r="J57" s="125"/>
      <c r="K57" s="117"/>
    </row>
    <row r="58" spans="1:11" ht="18.95" customHeight="1" x14ac:dyDescent="0.3">
      <c r="A58" s="117"/>
      <c r="B58" s="117"/>
      <c r="C58" s="124">
        <f ca="1">TODAY()</f>
        <v>45946</v>
      </c>
      <c r="D58" s="176" t="str">
        <f>IF('Input Sheet'!AD3,'Input Sheet'!AE5,"*Previously Accumulated Depreciation")</f>
        <v>*Previously Accumulated Depreciation</v>
      </c>
      <c r="E58" s="176"/>
      <c r="F58" s="125"/>
      <c r="G58" s="125"/>
      <c r="H58" s="125"/>
      <c r="I58" s="125"/>
      <c r="J58" s="117"/>
      <c r="K58" s="117"/>
    </row>
    <row r="59" spans="1:11" ht="18.95" customHeight="1" x14ac:dyDescent="0.3">
      <c r="A59" s="117"/>
      <c r="B59" s="117"/>
      <c r="C59" s="117"/>
      <c r="D59" s="117"/>
      <c r="E59" s="125"/>
      <c r="F59" s="125"/>
      <c r="G59" s="125"/>
      <c r="H59" s="125"/>
      <c r="I59" s="125"/>
      <c r="J59" s="117"/>
      <c r="K59" s="117"/>
    </row>
    <row r="60" spans="1:11" ht="18.95" customHeight="1" x14ac:dyDescent="0.3">
      <c r="B60" s="117"/>
      <c r="C60" s="117"/>
      <c r="D60" s="117"/>
      <c r="E60" s="116"/>
      <c r="F60" s="116"/>
      <c r="G60" s="116"/>
      <c r="H60" s="116"/>
      <c r="I60" s="116"/>
    </row>
  </sheetData>
  <mergeCells count="8">
    <mergeCell ref="C28:D28"/>
    <mergeCell ref="B51:I54"/>
    <mergeCell ref="F5:G5"/>
    <mergeCell ref="H5:I5"/>
    <mergeCell ref="B11:C11"/>
    <mergeCell ref="B12:B13"/>
    <mergeCell ref="C39:D39"/>
    <mergeCell ref="C40:D40"/>
  </mergeCells>
  <conditionalFormatting sqref="B25">
    <cfRule type="cellIs" dxfId="5" priority="1" operator="greaterThanOrEqual">
      <formula>1</formula>
    </cfRule>
  </conditionalFormatting>
  <hyperlinks>
    <hyperlink ref="B33" r:id="rId1" xr:uid="{5B409CE3-6D14-4C1B-8955-995A08C42051}"/>
  </hyperlinks>
  <pageMargins left="0.25" right="0.25" top="0.25" bottom="0" header="0" footer="0"/>
  <pageSetup scale="37" fitToHeight="0" orientation="portrait" r:id="rId2"/>
  <drawing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1B5E-3AB9-4AF3-B6C3-F2FDBB1028C6}">
  <sheetPr>
    <pageSetUpPr fitToPage="1"/>
  </sheetPr>
  <dimension ref="A1:W60"/>
  <sheetViews>
    <sheetView topLeftCell="A34" zoomScale="130" zoomScaleNormal="130" workbookViewId="0">
      <selection activeCell="B51" sqref="B51:I54"/>
    </sheetView>
  </sheetViews>
  <sheetFormatPr defaultColWidth="8.85546875" defaultRowHeight="18.95" customHeight="1" x14ac:dyDescent="0.3"/>
  <cols>
    <col min="1" max="1" width="8.85546875" style="115"/>
    <col min="2" max="2" width="29" style="115" bestFit="1" customWidth="1"/>
    <col min="3" max="3" width="10.7109375" style="115" customWidth="1"/>
    <col min="4" max="4" width="5.140625" style="115" customWidth="1"/>
    <col min="5" max="5" width="12.7109375" style="115" customWidth="1"/>
    <col min="6" max="6" width="12.28515625" style="115" customWidth="1"/>
    <col min="7" max="7" width="15.140625" style="115" customWidth="1"/>
    <col min="8" max="8" width="17.7109375" style="115" customWidth="1"/>
    <col min="9" max="9" width="14" style="115" bestFit="1" customWidth="1"/>
    <col min="10" max="10" width="15.140625" style="115" customWidth="1"/>
    <col min="11" max="11" width="8.85546875" style="115"/>
    <col min="12" max="12" width="12.5703125" style="115" customWidth="1"/>
    <col min="13" max="13" width="13.140625" style="115" customWidth="1"/>
    <col min="14" max="16384" width="8.85546875" style="115"/>
  </cols>
  <sheetData>
    <row r="1" spans="1:23" ht="18.95" customHeight="1" x14ac:dyDescent="0.3">
      <c r="A1" s="117" t="s">
        <v>253</v>
      </c>
      <c r="B1" s="117" t="s">
        <v>254</v>
      </c>
      <c r="C1" s="117" t="s">
        <v>255</v>
      </c>
      <c r="D1" s="117" t="s">
        <v>256</v>
      </c>
      <c r="E1" s="117" t="s">
        <v>257</v>
      </c>
      <c r="F1" s="117" t="s">
        <v>258</v>
      </c>
      <c r="G1" s="117" t="s">
        <v>259</v>
      </c>
      <c r="H1" s="117" t="s">
        <v>260</v>
      </c>
      <c r="I1" s="117" t="s">
        <v>261</v>
      </c>
      <c r="J1" s="117" t="s">
        <v>262</v>
      </c>
      <c r="K1" s="117" t="s">
        <v>263</v>
      </c>
      <c r="L1" s="117" t="s">
        <v>264</v>
      </c>
      <c r="M1" s="117" t="s">
        <v>265</v>
      </c>
      <c r="N1" s="117" t="s">
        <v>266</v>
      </c>
      <c r="O1" s="117" t="s">
        <v>267</v>
      </c>
      <c r="P1" s="117" t="s">
        <v>268</v>
      </c>
      <c r="Q1" s="117" t="s">
        <v>269</v>
      </c>
      <c r="R1" s="117" t="s">
        <v>270</v>
      </c>
      <c r="S1" s="117" t="s">
        <v>271</v>
      </c>
      <c r="T1" s="117" t="s">
        <v>272</v>
      </c>
      <c r="U1" s="115" t="s">
        <v>278</v>
      </c>
      <c r="V1" s="115" t="s">
        <v>274</v>
      </c>
      <c r="W1" s="115" t="s">
        <v>284</v>
      </c>
    </row>
    <row r="2" spans="1:23" ht="18.95" customHeight="1" x14ac:dyDescent="0.3">
      <c r="A2" s="117" t="str">
        <f>'Input Sheet'!B25</f>
        <v>Valued Client</v>
      </c>
      <c r="B2" s="117" t="str">
        <f>'Input Sheet'!B28</f>
        <v>123 Main St, Yourtown, US, 85260</v>
      </c>
      <c r="C2" s="117">
        <f>'Input Sheet'!D3</f>
        <v>85260</v>
      </c>
      <c r="D2" s="117">
        <f>'Input Sheet'!B3</f>
        <v>2550000</v>
      </c>
      <c r="E2" s="117">
        <f>'Input Sheet'!AA3</f>
        <v>0</v>
      </c>
      <c r="F2" s="222">
        <f>B15-B21</f>
        <v>2295000</v>
      </c>
      <c r="G2" s="222">
        <f>B21</f>
        <v>255000</v>
      </c>
      <c r="H2" s="223">
        <f>'Input Sheet'!P3</f>
        <v>45366</v>
      </c>
      <c r="I2" s="117">
        <f>'Input Sheet'!F3</f>
        <v>1500</v>
      </c>
      <c r="J2" s="117">
        <f>'Input Sheet'!H3</f>
        <v>0.78</v>
      </c>
      <c r="K2" s="225">
        <f>'Input Sheet'!P7</f>
        <v>2024</v>
      </c>
      <c r="L2" s="224">
        <f>B40</f>
        <v>3364.022905100001</v>
      </c>
      <c r="M2" s="224">
        <f>B42</f>
        <v>3058.2026410000008</v>
      </c>
      <c r="N2" s="224">
        <f>B44</f>
        <v>1682.0114525500005</v>
      </c>
      <c r="O2" s="224">
        <f>B47</f>
        <v>841.00572627500026</v>
      </c>
      <c r="P2" s="224">
        <f>C40</f>
        <v>0</v>
      </c>
      <c r="Q2" s="225">
        <f>'Input Sheet'!N3</f>
        <v>1</v>
      </c>
      <c r="R2" s="222">
        <f>I7</f>
        <v>569422.71841568721</v>
      </c>
      <c r="S2" s="225">
        <f>F7</f>
        <v>2025</v>
      </c>
      <c r="T2" s="225" t="str">
        <f>'Input Sheet'!R7</f>
        <v>October</v>
      </c>
      <c r="U2" s="115">
        <f>'Input Sheet'!AL3</f>
        <v>1</v>
      </c>
      <c r="V2" s="115" t="str">
        <f>'Input Sheet'!J3</f>
        <v>Multi-Family</v>
      </c>
      <c r="W2" s="115">
        <f>'Input Sheet'!L3</f>
        <v>1</v>
      </c>
    </row>
    <row r="3" spans="1:23" ht="18.95" customHeight="1" x14ac:dyDescent="0.3">
      <c r="A3" s="117"/>
      <c r="B3" s="117"/>
      <c r="C3" s="240"/>
      <c r="D3" s="241"/>
      <c r="E3" s="241"/>
      <c r="F3" s="117"/>
      <c r="G3" s="117"/>
      <c r="H3" s="117"/>
      <c r="I3" s="117"/>
      <c r="J3" s="117"/>
      <c r="K3" s="117"/>
    </row>
    <row r="4" spans="1:23" ht="18.95" customHeight="1" x14ac:dyDescent="0.3">
      <c r="A4" s="117"/>
      <c r="B4" s="117"/>
      <c r="C4" s="241"/>
      <c r="D4" s="241"/>
      <c r="E4" s="241"/>
      <c r="F4" s="117"/>
      <c r="G4" s="117"/>
      <c r="H4" s="117"/>
      <c r="I4" s="117"/>
      <c r="J4" s="117"/>
      <c r="K4" s="117"/>
    </row>
    <row r="5" spans="1:23" ht="18.95" customHeight="1" x14ac:dyDescent="0.3">
      <c r="A5" s="117"/>
      <c r="B5" s="117"/>
      <c r="C5" s="241"/>
      <c r="D5" s="241"/>
      <c r="E5" s="241"/>
      <c r="F5" s="233" t="s">
        <v>131</v>
      </c>
      <c r="G5" s="233"/>
      <c r="H5" s="233" t="s">
        <v>130</v>
      </c>
      <c r="I5" s="233"/>
      <c r="J5" s="143"/>
      <c r="K5" s="117"/>
    </row>
    <row r="6" spans="1:23" ht="18.95" customHeight="1" x14ac:dyDescent="0.3">
      <c r="A6" s="117"/>
      <c r="B6" s="117"/>
      <c r="C6" s="241"/>
      <c r="D6" s="241"/>
      <c r="E6" s="241"/>
      <c r="F6" s="130" t="s">
        <v>56</v>
      </c>
      <c r="G6" s="131" t="s">
        <v>163</v>
      </c>
      <c r="H6" s="131" t="s">
        <v>57</v>
      </c>
      <c r="I6" s="131" t="s">
        <v>58</v>
      </c>
      <c r="J6" s="143"/>
      <c r="K6" s="117"/>
    </row>
    <row r="7" spans="1:23" ht="18.95" customHeight="1" x14ac:dyDescent="0.3">
      <c r="A7" s="117"/>
      <c r="B7" s="117"/>
      <c r="C7" s="117"/>
      <c r="D7" s="117"/>
      <c r="E7" s="117"/>
      <c r="F7" s="127">
        <f>'Input Sheet'!R3</f>
        <v>2025</v>
      </c>
      <c r="G7" s="165">
        <f>IF('YbyY data'!$A$9=39,'YbyY data'!FV5,'YbyY data'!FJ5)</f>
        <v>66073.05</v>
      </c>
      <c r="H7" s="165">
        <f>IF('YbyY data'!$A$9=39,'YbyY data'!FW5,'YbyY data'!FK5)</f>
        <v>113694.10179921797</v>
      </c>
      <c r="I7" s="165">
        <f>IF('YbyY data'!$A$9=39,'YbyY data'!FX5,'YbyY data'!FL5)</f>
        <v>569422.71841568721</v>
      </c>
      <c r="J7" s="143"/>
      <c r="K7" s="117"/>
    </row>
    <row r="8" spans="1:23" ht="18.95" customHeight="1" x14ac:dyDescent="0.3">
      <c r="A8" s="117"/>
      <c r="B8" s="144" t="s">
        <v>139</v>
      </c>
      <c r="C8" s="144"/>
      <c r="D8" s="144"/>
      <c r="E8" s="117"/>
      <c r="F8" s="127">
        <f>F7+1</f>
        <v>2026</v>
      </c>
      <c r="G8" s="165">
        <f>IF('YbyY data'!$A$9=39,'YbyY data'!FV6,'YbyY data'!FJ6)</f>
        <v>83446.200000000012</v>
      </c>
      <c r="H8" s="165">
        <f>IF('YbyY data'!$A$9=39,'YbyY data'!FW6,'YbyY data'!FK6)</f>
        <v>177171.92789882695</v>
      </c>
      <c r="I8" s="165">
        <f>IF('YbyY data'!$A$9=39,'YbyY data'!FX6,'YbyY data'!FL6)</f>
        <v>102805.30082353079</v>
      </c>
      <c r="J8" s="143"/>
      <c r="K8" s="117"/>
    </row>
    <row r="9" spans="1:23" ht="18.95" customHeight="1" x14ac:dyDescent="0.3">
      <c r="A9" s="117"/>
      <c r="B9" s="145" t="s">
        <v>140</v>
      </c>
      <c r="C9" s="146"/>
      <c r="D9" s="146"/>
      <c r="E9" s="117"/>
      <c r="F9" s="127">
        <f t="shared" ref="F9:F47" si="0">F8+1</f>
        <v>2027</v>
      </c>
      <c r="G9" s="165">
        <f>IF('YbyY data'!$A$9=39,'YbyY data'!FV7,'YbyY data'!FJ7)</f>
        <v>83446.200000000012</v>
      </c>
      <c r="H9" s="165">
        <f>IF('YbyY data'!$A$9=39,'YbyY data'!FW7,'YbyY data'!FK7)</f>
        <v>145581.64644384477</v>
      </c>
      <c r="I9" s="165">
        <f>IF('YbyY data'!$A$9=39,'YbyY data'!FX7,'YbyY data'!FL7)</f>
        <v>90169.188241537922</v>
      </c>
      <c r="J9" s="143"/>
      <c r="K9" s="117"/>
    </row>
    <row r="10" spans="1:23" ht="18.75" customHeight="1" x14ac:dyDescent="0.3">
      <c r="A10" s="117"/>
      <c r="B10" s="169" t="str">
        <f>'Input Sheet'!B25</f>
        <v>Valued Client</v>
      </c>
      <c r="C10" s="169"/>
      <c r="D10" s="169"/>
      <c r="E10" s="117"/>
      <c r="F10" s="127">
        <f t="shared" si="0"/>
        <v>2028</v>
      </c>
      <c r="G10" s="165">
        <f>IF('YbyY data'!$A$9=39,'YbyY data'!FV8,'YbyY data'!FJ8)</f>
        <v>83446.200000000012</v>
      </c>
      <c r="H10" s="165">
        <f>IF('YbyY data'!$A$9=39,'YbyY data'!FW8,'YbyY data'!FK8)</f>
        <v>124860.28754278753</v>
      </c>
      <c r="I10" s="165">
        <f>IF('YbyY data'!$A$9=39,'YbyY data'!FX8,'YbyY data'!FL8)</f>
        <v>81880.644681115009</v>
      </c>
      <c r="J10" s="143"/>
      <c r="K10" s="117"/>
    </row>
    <row r="11" spans="1:23" ht="18.95" customHeight="1" x14ac:dyDescent="0.3">
      <c r="A11" s="117"/>
      <c r="B11" s="234" t="str">
        <f>'Input Sheet'!J3&amp;" "&amp;"Property - Address:"</f>
        <v>Multi-Family Property - Address:</v>
      </c>
      <c r="C11" s="234"/>
      <c r="D11" s="146"/>
      <c r="E11" s="117"/>
      <c r="F11" s="127">
        <f t="shared" si="0"/>
        <v>2029</v>
      </c>
      <c r="G11" s="165">
        <f>IF('YbyY data'!$A$9=39,'YbyY data'!FV9,'YbyY data'!FJ9)</f>
        <v>83446.200000000012</v>
      </c>
      <c r="H11" s="165">
        <f>IF('YbyY data'!$A$9=39,'YbyY data'!FW9,'YbyY data'!FK9)</f>
        <v>120000.51496560071</v>
      </c>
      <c r="I11" s="165">
        <f>IF('YbyY data'!$A$9=39,'YbyY data'!FX9,'YbyY data'!FL9)</f>
        <v>79936.735650240284</v>
      </c>
      <c r="J11" s="143"/>
      <c r="K11" s="117"/>
    </row>
    <row r="12" spans="1:23" ht="18.95" customHeight="1" x14ac:dyDescent="0.3">
      <c r="A12" s="117"/>
      <c r="B12" s="235" t="str">
        <f>'Input Sheet'!B28</f>
        <v>123 Main St, Yourtown, US, 85260</v>
      </c>
      <c r="C12" s="169"/>
      <c r="D12" s="169"/>
      <c r="E12" s="117"/>
      <c r="F12" s="127">
        <f t="shared" si="0"/>
        <v>2030</v>
      </c>
      <c r="G12" s="165">
        <f>IF('YbyY data'!$A$9=39,'YbyY data'!FV10,'YbyY data'!FJ10)</f>
        <v>83446.200000000012</v>
      </c>
      <c r="H12" s="165">
        <f>IF('YbyY data'!$A$9=39,'YbyY data'!FW10,'YbyY data'!FK10)</f>
        <v>104065.03372997118</v>
      </c>
      <c r="I12" s="165">
        <f>IF('YbyY data'!$A$9=39,'YbyY data'!FX10,'YbyY data'!FL10)</f>
        <v>73562.543155988475</v>
      </c>
      <c r="J12" s="143"/>
      <c r="K12" s="117"/>
    </row>
    <row r="13" spans="1:23" ht="18.95" customHeight="1" x14ac:dyDescent="0.3">
      <c r="A13" s="117"/>
      <c r="B13" s="235"/>
      <c r="C13" s="169"/>
      <c r="D13" s="169"/>
      <c r="E13" s="117"/>
      <c r="F13" s="127">
        <f t="shared" si="0"/>
        <v>2031</v>
      </c>
      <c r="G13" s="165">
        <f>IF('YbyY data'!$A$9=39,'YbyY data'!FV11,'YbyY data'!FJ11)</f>
        <v>83446.200000000012</v>
      </c>
      <c r="H13" s="165">
        <f>IF('YbyY data'!$A$9=39,'YbyY data'!FW11,'YbyY data'!FK11)</f>
        <v>90464.767888574279</v>
      </c>
      <c r="I13" s="165">
        <f>IF('YbyY data'!$A$9=39,'YbyY data'!FX11,'YbyY data'!FL11)</f>
        <v>68122.436819429713</v>
      </c>
      <c r="J13" s="143"/>
      <c r="K13" s="117"/>
    </row>
    <row r="14" spans="1:23" ht="18.95" customHeight="1" x14ac:dyDescent="0.3">
      <c r="A14" s="117"/>
      <c r="B14" s="145" t="s">
        <v>12</v>
      </c>
      <c r="C14" s="146"/>
      <c r="D14" s="146"/>
      <c r="E14" s="117"/>
      <c r="F14" s="127">
        <f t="shared" si="0"/>
        <v>2032</v>
      </c>
      <c r="G14" s="165">
        <f>IF('YbyY data'!$A$9=39,'YbyY data'!FV12,'YbyY data'!FJ12)</f>
        <v>83446.200000000012</v>
      </c>
      <c r="H14" s="165">
        <f>IF('YbyY data'!$A$9=39,'YbyY data'!FW12,'YbyY data'!FK12)</f>
        <v>90464.767888574279</v>
      </c>
      <c r="I14" s="165">
        <f>IF('YbyY data'!$A$9=39,'YbyY data'!FX12,'YbyY data'!FL12)</f>
        <v>68122.436819429713</v>
      </c>
      <c r="J14" s="143"/>
      <c r="K14" s="117"/>
    </row>
    <row r="15" spans="1:23" ht="18.95" customHeight="1" x14ac:dyDescent="0.3">
      <c r="A15" s="117"/>
      <c r="B15" s="147">
        <f>'Input Sheet'!B3</f>
        <v>2550000</v>
      </c>
      <c r="C15" s="148"/>
      <c r="D15" s="148"/>
      <c r="E15" s="118"/>
      <c r="F15" s="127">
        <f t="shared" si="0"/>
        <v>2033</v>
      </c>
      <c r="G15" s="165">
        <f>IF('YbyY data'!$A$9=39,'YbyY data'!FV13,'YbyY data'!FJ13)</f>
        <v>83446.200000000012</v>
      </c>
      <c r="H15" s="165">
        <f>IF('YbyY data'!$A$9=39,'YbyY data'!FW13,'YbyY data'!FK13)</f>
        <v>90527.881818148133</v>
      </c>
      <c r="I15" s="165">
        <f>IF('YbyY data'!$A$9=39,'YbyY data'!FX13,'YbyY data'!FL13)</f>
        <v>68147.682391259252</v>
      </c>
      <c r="J15" s="143"/>
      <c r="K15" s="117"/>
    </row>
    <row r="16" spans="1:23" ht="18.95" customHeight="1" x14ac:dyDescent="0.3">
      <c r="A16" s="117"/>
      <c r="B16" s="145" t="s">
        <v>175</v>
      </c>
      <c r="C16" s="145"/>
      <c r="D16" s="145"/>
      <c r="E16" s="118"/>
      <c r="F16" s="127">
        <f t="shared" si="0"/>
        <v>2034</v>
      </c>
      <c r="G16" s="165">
        <f>IF('YbyY data'!$A$9=39,'YbyY data'!FV14,'YbyY data'!FJ14)</f>
        <v>83469.149999999994</v>
      </c>
      <c r="H16" s="165">
        <f>IF('YbyY data'!$A$9=39,'YbyY data'!FW14,'YbyY data'!FK14)</f>
        <v>90479.406928574259</v>
      </c>
      <c r="I16" s="165">
        <f>IF('YbyY data'!$A$9=39,'YbyY data'!FX14,'YbyY data'!FL14)</f>
        <v>68137.075859429708</v>
      </c>
      <c r="J16" s="143"/>
      <c r="K16" s="117"/>
    </row>
    <row r="17" spans="1:11" ht="18.95" customHeight="1" x14ac:dyDescent="0.3">
      <c r="A17" s="117"/>
      <c r="B17" s="147">
        <f>'Input Sheet'!AA3</f>
        <v>0</v>
      </c>
      <c r="C17" s="145"/>
      <c r="D17" s="145"/>
      <c r="E17" s="117"/>
      <c r="F17" s="127">
        <f t="shared" si="0"/>
        <v>2035</v>
      </c>
      <c r="G17" s="165">
        <f>IF('YbyY data'!$A$9=39,'YbyY data'!FV15,'YbyY data'!FJ15)</f>
        <v>83446.200000000012</v>
      </c>
      <c r="H17" s="165">
        <f>IF('YbyY data'!$A$9=39,'YbyY data'!FW15,'YbyY data'!FK15)</f>
        <v>90527.881818148133</v>
      </c>
      <c r="I17" s="165">
        <f>IF('YbyY data'!$A$9=39,'YbyY data'!FX15,'YbyY data'!FL15)</f>
        <v>68147.682391259252</v>
      </c>
      <c r="J17" s="143"/>
      <c r="K17" s="117"/>
    </row>
    <row r="18" spans="1:11" ht="18.95" customHeight="1" x14ac:dyDescent="0.3">
      <c r="A18" s="117"/>
      <c r="B18" s="145" t="s">
        <v>189</v>
      </c>
      <c r="C18" s="146"/>
      <c r="D18" s="146"/>
      <c r="E18" s="117"/>
      <c r="F18" s="127">
        <f t="shared" si="0"/>
        <v>2036</v>
      </c>
      <c r="G18" s="165">
        <f>IF('YbyY data'!$A$9=39,'YbyY data'!FV16,'YbyY data'!FJ16)</f>
        <v>83469.149999999994</v>
      </c>
      <c r="H18" s="165">
        <f>IF('YbyY data'!$A$9=39,'YbyY data'!FW16,'YbyY data'!FK16)</f>
        <v>90479.406928574259</v>
      </c>
      <c r="I18" s="165">
        <f>IF('YbyY data'!$A$9=39,'YbyY data'!FX16,'YbyY data'!FL16)</f>
        <v>68137.075859429708</v>
      </c>
      <c r="J18" s="143"/>
      <c r="K18" s="117"/>
    </row>
    <row r="19" spans="1:11" ht="18.95" customHeight="1" x14ac:dyDescent="0.3">
      <c r="A19" s="117"/>
      <c r="B19" s="149">
        <f>'YbyY data'!B5</f>
        <v>2295000</v>
      </c>
      <c r="C19" s="169"/>
      <c r="D19" s="169"/>
      <c r="E19" s="117"/>
      <c r="F19" s="127">
        <f t="shared" si="0"/>
        <v>2037</v>
      </c>
      <c r="G19" s="165">
        <f>IF('YbyY data'!$A$9=39,'YbyY data'!FV17,'YbyY data'!FJ17)</f>
        <v>83446.200000000012</v>
      </c>
      <c r="H19" s="165">
        <f>IF('YbyY data'!$A$9=39,'YbyY data'!FW17,'YbyY data'!FK17)</f>
        <v>90527.881818148133</v>
      </c>
      <c r="I19" s="165">
        <f>IF('YbyY data'!$A$9=39,'YbyY data'!FX17,'YbyY data'!FL17)</f>
        <v>68147.682391259252</v>
      </c>
      <c r="J19" s="143"/>
      <c r="K19" s="117"/>
    </row>
    <row r="20" spans="1:11" ht="18.95" customHeight="1" x14ac:dyDescent="0.3">
      <c r="A20" s="117"/>
      <c r="B20" s="145" t="s">
        <v>53</v>
      </c>
      <c r="C20" s="146"/>
      <c r="D20" s="146"/>
      <c r="E20" s="117"/>
      <c r="F20" s="127">
        <f t="shared" si="0"/>
        <v>2038</v>
      </c>
      <c r="G20" s="165">
        <f>IF('YbyY data'!$A$9=39,'YbyY data'!FV18,'YbyY data'!FJ18)</f>
        <v>83469.149999999994</v>
      </c>
      <c r="H20" s="165">
        <f>IF('YbyY data'!$A$9=39,'YbyY data'!FW18,'YbyY data'!FK18)</f>
        <v>90479.406928574259</v>
      </c>
      <c r="I20" s="165">
        <f>IF('YbyY data'!$A$9=39,'YbyY data'!FX18,'YbyY data'!FL18)</f>
        <v>68137.075859429708</v>
      </c>
      <c r="J20" s="143"/>
      <c r="K20" s="117"/>
    </row>
    <row r="21" spans="1:11" ht="18.95" customHeight="1" x14ac:dyDescent="0.3">
      <c r="A21" s="117"/>
      <c r="B21" s="149">
        <f>'YbyY data'!B2</f>
        <v>255000</v>
      </c>
      <c r="C21" s="169"/>
      <c r="D21" s="169"/>
      <c r="E21" s="117"/>
      <c r="F21" s="127">
        <f t="shared" si="0"/>
        <v>2039</v>
      </c>
      <c r="G21" s="165">
        <f>IF('YbyY data'!$A$9=39,'YbyY data'!FV19,'YbyY data'!FJ19)</f>
        <v>83446.200000000012</v>
      </c>
      <c r="H21" s="165">
        <f>IF('YbyY data'!$A$9=39,'YbyY data'!FW19,'YbyY data'!FK19)</f>
        <v>90527.881818148133</v>
      </c>
      <c r="I21" s="165">
        <f>IF('YbyY data'!$A$9=39,'YbyY data'!FX19,'YbyY data'!FL19)</f>
        <v>68147.682391259252</v>
      </c>
      <c r="J21" s="143"/>
      <c r="K21" s="117"/>
    </row>
    <row r="22" spans="1:11" ht="18.95" customHeight="1" x14ac:dyDescent="0.3">
      <c r="A22" s="117"/>
      <c r="B22" s="145" t="s">
        <v>141</v>
      </c>
      <c r="C22" s="146"/>
      <c r="D22" s="146"/>
      <c r="E22" s="117"/>
      <c r="F22" s="127">
        <f t="shared" si="0"/>
        <v>2040</v>
      </c>
      <c r="G22" s="165">
        <f>IF('YbyY data'!$A$9=39,'YbyY data'!FV20,'YbyY data'!FJ20)</f>
        <v>83469.149999999994</v>
      </c>
      <c r="H22" s="165">
        <f>IF('YbyY data'!$A$9=39,'YbyY data'!FW20,'YbyY data'!FK20)</f>
        <v>71860.797704287135</v>
      </c>
      <c r="I22" s="165">
        <f>IF('YbyY data'!$A$9=39,'YbyY data'!FX20,'YbyY data'!FL20)</f>
        <v>60689.632169714852</v>
      </c>
      <c r="J22" s="143"/>
      <c r="K22" s="117"/>
    </row>
    <row r="23" spans="1:11" ht="18.95" customHeight="1" x14ac:dyDescent="0.3">
      <c r="A23" s="117"/>
      <c r="B23" s="150">
        <f>'Input Sheet'!P3</f>
        <v>45366</v>
      </c>
      <c r="C23" s="150"/>
      <c r="D23" s="150"/>
      <c r="E23" s="117"/>
      <c r="F23" s="127">
        <f t="shared" si="0"/>
        <v>2041</v>
      </c>
      <c r="G23" s="165">
        <f>IF('YbyY data'!$A$9=39,'YbyY data'!FV21,'YbyY data'!FJ21)</f>
        <v>83446.200000000012</v>
      </c>
      <c r="H23" s="165">
        <f>IF('YbyY data'!$A$9=39,'YbyY data'!FW21,'YbyY data'!FK21)</f>
        <v>53227.549440000003</v>
      </c>
      <c r="I23" s="165">
        <f>IF('YbyY data'!$A$9=39,'YbyY data'!FX21,'YbyY data'!FL21)</f>
        <v>53227.549440000003</v>
      </c>
      <c r="J23" s="143"/>
      <c r="K23" s="117"/>
    </row>
    <row r="24" spans="1:11" ht="18.95" customHeight="1" x14ac:dyDescent="0.3">
      <c r="A24" s="117"/>
      <c r="B24" s="151" t="str">
        <f>IF('Input Sheet'!$Y$3=TRUE,'Input Sheet'!$W$2,'Input Sheet'!$F$2)</f>
        <v>SqFt Building</v>
      </c>
      <c r="C24" s="170"/>
      <c r="D24" s="170"/>
      <c r="E24" s="117"/>
      <c r="F24" s="127">
        <f t="shared" si="0"/>
        <v>2042</v>
      </c>
      <c r="G24" s="165">
        <f>IF('YbyY data'!$A$9=39,'YbyY data'!FV22,'YbyY data'!FJ22)</f>
        <v>83469.149999999994</v>
      </c>
      <c r="H24" s="165">
        <f>IF('YbyY data'!$A$9=39,'YbyY data'!FW22,'YbyY data'!FK22)</f>
        <v>53242.188479999997</v>
      </c>
      <c r="I24" s="165">
        <f>IF('YbyY data'!$A$9=39,'YbyY data'!FX22,'YbyY data'!FL22)</f>
        <v>53242.188479999997</v>
      </c>
      <c r="J24" s="143"/>
      <c r="K24" s="117"/>
    </row>
    <row r="25" spans="1:11" ht="18.95" customHeight="1" x14ac:dyDescent="0.3">
      <c r="A25" s="117"/>
      <c r="B25" s="148">
        <f>IF('Input Sheet'!$Y$3=TRUE,-'Input Sheet'!$W$3,'Input Sheet'!$F$3)</f>
        <v>1500</v>
      </c>
      <c r="C25" s="171"/>
      <c r="D25" s="171"/>
      <c r="E25" s="117"/>
      <c r="F25" s="127">
        <f t="shared" si="0"/>
        <v>2043</v>
      </c>
      <c r="G25" s="165">
        <f>IF('YbyY data'!$A$9=39,'YbyY data'!FV23,'YbyY data'!FJ23)</f>
        <v>83446.200000000012</v>
      </c>
      <c r="H25" s="165">
        <f>IF('YbyY data'!$A$9=39,'YbyY data'!FW23,'YbyY data'!FK23)</f>
        <v>53227.549440000003</v>
      </c>
      <c r="I25" s="165">
        <f>IF('YbyY data'!$A$9=39,'YbyY data'!FX23,'YbyY data'!FL23)</f>
        <v>53227.549440000003</v>
      </c>
      <c r="J25" s="143"/>
      <c r="K25" s="117"/>
    </row>
    <row r="26" spans="1:11" ht="18.95" customHeight="1" x14ac:dyDescent="0.3">
      <c r="A26" s="117"/>
      <c r="B26" s="151" t="str">
        <f>IF('Input Sheet'!$Y$3=TRUE,'Input Sheet'!$F$2,'Input Sheet'!$H$2)</f>
        <v>Acres Land</v>
      </c>
      <c r="C26" s="151" t="str">
        <f>IF('Input Sheet'!$Y$3=TRUE,'Input Sheet'!$H$2," ")</f>
        <v xml:space="preserve"> </v>
      </c>
      <c r="D26" s="151"/>
      <c r="E26" s="117"/>
      <c r="F26" s="127">
        <f t="shared" si="0"/>
        <v>2044</v>
      </c>
      <c r="G26" s="165">
        <f>IF('YbyY data'!$A$9=39,'YbyY data'!FV24,'YbyY data'!FJ24)</f>
        <v>83469.149999999994</v>
      </c>
      <c r="H26" s="165">
        <f>IF('YbyY data'!$A$9=39,'YbyY data'!FW24,'YbyY data'!FK24)</f>
        <v>53242.188479999997</v>
      </c>
      <c r="I26" s="165">
        <f>IF('YbyY data'!$A$9=39,'YbyY data'!FX24,'YbyY data'!FL24)</f>
        <v>53242.188479999997</v>
      </c>
      <c r="J26" s="143"/>
      <c r="K26" s="117"/>
    </row>
    <row r="27" spans="1:11" ht="18.95" customHeight="1" x14ac:dyDescent="0.3">
      <c r="A27" s="117"/>
      <c r="B27" s="172">
        <f>IF('Input Sheet'!$Y$3=TRUE,'Input Sheet'!$F$3,'Input Sheet'!$H$3)</f>
        <v>0.78</v>
      </c>
      <c r="C27" s="151" t="str">
        <f>IF('Input Sheet'!$Y$3=TRUE,'Input Sheet'!$H$3," ")</f>
        <v xml:space="preserve"> </v>
      </c>
      <c r="D27" s="151"/>
      <c r="E27" s="117"/>
      <c r="F27" s="127">
        <f t="shared" si="0"/>
        <v>2045</v>
      </c>
      <c r="G27" s="165">
        <f>IF('YbyY data'!$A$9=39,'YbyY data'!FV25,'YbyY data'!FJ25)</f>
        <v>83446.200000000012</v>
      </c>
      <c r="H27" s="165">
        <f>IF('YbyY data'!$A$9=39,'YbyY data'!FW25,'YbyY data'!FK25)</f>
        <v>53227.549440000003</v>
      </c>
      <c r="I27" s="165">
        <f>IF('YbyY data'!$A$9=39,'YbyY data'!FX25,'YbyY data'!FL25)</f>
        <v>53227.549440000003</v>
      </c>
      <c r="J27" s="143"/>
      <c r="K27" s="117"/>
    </row>
    <row r="28" spans="1:11" ht="18.95" customHeight="1" x14ac:dyDescent="0.3">
      <c r="A28" s="117"/>
      <c r="B28" s="177" t="str">
        <f>"Due Date"</f>
        <v>Due Date</v>
      </c>
      <c r="C28" s="230" t="str">
        <f>_xlfn.CONCAT('Input Sheet'!$R$7," ",'Input Sheet'!$R$3)</f>
        <v>October 2025</v>
      </c>
      <c r="D28" s="231"/>
      <c r="E28" s="117"/>
      <c r="F28" s="127">
        <f t="shared" si="0"/>
        <v>2046</v>
      </c>
      <c r="G28" s="165">
        <f>IF('YbyY data'!$A$9=39,'YbyY data'!FV26,'YbyY data'!FJ26)</f>
        <v>83469.149999999994</v>
      </c>
      <c r="H28" s="165">
        <f>IF('YbyY data'!$A$9=39,'YbyY data'!FW26,'YbyY data'!FK26)</f>
        <v>53242.188479999997</v>
      </c>
      <c r="I28" s="165">
        <f>IF('YbyY data'!$A$9=39,'YbyY data'!FX26,'YbyY data'!FL26)</f>
        <v>53242.188479999997</v>
      </c>
      <c r="J28" s="143"/>
      <c r="K28" s="117"/>
    </row>
    <row r="29" spans="1:11" ht="18.95" customHeight="1" x14ac:dyDescent="0.3">
      <c r="A29" s="117"/>
      <c r="B29" s="178"/>
      <c r="C29" s="179"/>
      <c r="D29" s="179"/>
      <c r="E29" s="117"/>
      <c r="F29" s="127">
        <f t="shared" si="0"/>
        <v>2047</v>
      </c>
      <c r="G29" s="165">
        <f>IF('YbyY data'!$A$9=39,'YbyY data'!FV27,'YbyY data'!FJ27)</f>
        <v>83446.200000000012</v>
      </c>
      <c r="H29" s="165">
        <f>IF('YbyY data'!$A$9=39,'YbyY data'!FW27,'YbyY data'!FK27)</f>
        <v>53227.549440000003</v>
      </c>
      <c r="I29" s="165">
        <f>IF('YbyY data'!$A$9=39,'YbyY data'!FX27,'YbyY data'!FL27)</f>
        <v>53227.549440000003</v>
      </c>
      <c r="J29" s="143"/>
      <c r="K29" s="117"/>
    </row>
    <row r="30" spans="1:11" ht="18.95" customHeight="1" x14ac:dyDescent="0.35">
      <c r="A30" s="117"/>
      <c r="B30" s="152" t="s">
        <v>144</v>
      </c>
      <c r="C30" s="153"/>
      <c r="D30" s="153"/>
      <c r="E30" s="117"/>
      <c r="F30" s="127">
        <f t="shared" si="0"/>
        <v>2048</v>
      </c>
      <c r="G30" s="165">
        <f>IF('YbyY data'!$A$9=39,'YbyY data'!FV28,'YbyY data'!FJ28)</f>
        <v>83469.149999999994</v>
      </c>
      <c r="H30" s="165">
        <f>IF('YbyY data'!$A$9=39,'YbyY data'!FW28,'YbyY data'!FK28)</f>
        <v>53242.188479999997</v>
      </c>
      <c r="I30" s="165">
        <f>IF('YbyY data'!$A$9=39,'YbyY data'!FX28,'YbyY data'!FL28)</f>
        <v>53242.188479999997</v>
      </c>
      <c r="J30" s="143"/>
      <c r="K30" s="117"/>
    </row>
    <row r="31" spans="1:11" ht="18.95" customHeight="1" x14ac:dyDescent="0.3">
      <c r="A31" s="117"/>
      <c r="B31" s="154" t="s">
        <v>210</v>
      </c>
      <c r="C31" s="153"/>
      <c r="D31" s="153"/>
      <c r="E31" s="117"/>
      <c r="F31" s="127">
        <f t="shared" si="0"/>
        <v>2049</v>
      </c>
      <c r="G31" s="165">
        <f>IF('YbyY data'!$A$9=39,'YbyY data'!FV29,'YbyY data'!FJ29)</f>
        <v>83446.200000000012</v>
      </c>
      <c r="H31" s="165">
        <f>IF('YbyY data'!$A$9=39,'YbyY data'!FW29,'YbyY data'!FK29)</f>
        <v>53227.549440000003</v>
      </c>
      <c r="I31" s="165">
        <f>IF('YbyY data'!$A$9=39,'YbyY data'!FX29,'YbyY data'!FL29)</f>
        <v>53227.549440000003</v>
      </c>
      <c r="J31" s="143"/>
      <c r="K31" s="117"/>
    </row>
    <row r="32" spans="1:11" ht="18.95" customHeight="1" x14ac:dyDescent="0.3">
      <c r="A32" s="117"/>
      <c r="B32" s="155" t="s">
        <v>286</v>
      </c>
      <c r="C32" s="153"/>
      <c r="D32" s="153"/>
      <c r="E32" s="117"/>
      <c r="F32" s="127">
        <f t="shared" si="0"/>
        <v>2050</v>
      </c>
      <c r="G32" s="165">
        <f>IF('YbyY data'!$A$9=39,'YbyY data'!FV30,'YbyY data'!FJ30)</f>
        <v>83469.149999999994</v>
      </c>
      <c r="H32" s="165">
        <f>IF('YbyY data'!$A$9=39,'YbyY data'!FW30,'YbyY data'!FK30)</f>
        <v>53242.188479999997</v>
      </c>
      <c r="I32" s="165">
        <f>IF('YbyY data'!$A$9=39,'YbyY data'!FX30,'YbyY data'!FL30)</f>
        <v>53242.188479999997</v>
      </c>
      <c r="J32" s="143"/>
      <c r="K32" s="117"/>
    </row>
    <row r="33" spans="1:11" ht="18.95" customHeight="1" x14ac:dyDescent="0.3">
      <c r="A33" s="117"/>
      <c r="B33" s="174" t="s">
        <v>182</v>
      </c>
      <c r="C33" s="153"/>
      <c r="D33" s="153"/>
      <c r="E33" s="117"/>
      <c r="F33" s="127">
        <f t="shared" si="0"/>
        <v>2051</v>
      </c>
      <c r="G33" s="165">
        <f>IF('YbyY data'!$A$9=39,'YbyY data'!FV31,'YbyY data'!FJ31)</f>
        <v>83446.200000000012</v>
      </c>
      <c r="H33" s="165">
        <f>IF('YbyY data'!$A$9=39,'YbyY data'!FW31,'YbyY data'!FK31)</f>
        <v>53227.549440000003</v>
      </c>
      <c r="I33" s="165">
        <f>IF('YbyY data'!$A$9=39,'YbyY data'!FX31,'YbyY data'!FL31)</f>
        <v>53227.549440000003</v>
      </c>
      <c r="J33" s="143"/>
      <c r="K33" s="117"/>
    </row>
    <row r="34" spans="1:11" ht="18.95" customHeight="1" x14ac:dyDescent="0.3">
      <c r="A34" s="117"/>
      <c r="B34" s="155" t="s">
        <v>145</v>
      </c>
      <c r="C34" s="153"/>
      <c r="D34" s="153"/>
      <c r="E34" s="117"/>
      <c r="F34" s="127">
        <f t="shared" si="0"/>
        <v>2052</v>
      </c>
      <c r="G34" s="165">
        <f>IF('YbyY data'!$A$9=39,'YbyY data'!FV32,'YbyY data'!FJ32)</f>
        <v>59119.200000000004</v>
      </c>
      <c r="H34" s="165">
        <f>IF('YbyY data'!$A$9=39,'YbyY data'!FW32,'YbyY data'!FK32)</f>
        <v>37710.16704</v>
      </c>
      <c r="I34" s="165">
        <f>IF('YbyY data'!$A$9=39,'YbyY data'!FX32,'YbyY data'!FL32)</f>
        <v>37710.16704</v>
      </c>
      <c r="J34" s="143"/>
      <c r="K34" s="117"/>
    </row>
    <row r="35" spans="1:11" ht="18.95" customHeight="1" x14ac:dyDescent="0.3">
      <c r="A35" s="117"/>
      <c r="B35" s="180" t="s">
        <v>195</v>
      </c>
      <c r="C35" s="153"/>
      <c r="D35" s="153"/>
      <c r="E35" s="117"/>
      <c r="F35" s="127">
        <f t="shared" si="0"/>
        <v>2053</v>
      </c>
      <c r="G35" s="165">
        <f>IF('YbyY data'!$A$9=39,'YbyY data'!FV33,'YbyY data'!FJ33)</f>
        <v>0</v>
      </c>
      <c r="H35" s="165">
        <f>IF('YbyY data'!$A$9=39,'YbyY data'!FW33,'YbyY data'!FK33)</f>
        <v>0</v>
      </c>
      <c r="I35" s="165">
        <f>IF('YbyY data'!$A$9=39,'YbyY data'!FX33,'YbyY data'!FL33)</f>
        <v>0</v>
      </c>
      <c r="J35" s="143"/>
      <c r="K35" s="117"/>
    </row>
    <row r="36" spans="1:11" ht="18.95" customHeight="1" x14ac:dyDescent="0.3">
      <c r="A36" s="117"/>
      <c r="B36" s="155" t="s">
        <v>196</v>
      </c>
      <c r="C36" s="153"/>
      <c r="D36" s="153"/>
      <c r="E36" s="117"/>
      <c r="F36" s="127">
        <f t="shared" si="0"/>
        <v>2054</v>
      </c>
      <c r="G36" s="165">
        <f>IF('YbyY data'!$A$9=39,'YbyY data'!FV34,'YbyY data'!FJ34)</f>
        <v>0</v>
      </c>
      <c r="H36" s="165">
        <f>IF('YbyY data'!$A$9=39,'YbyY data'!FW34,'YbyY data'!FK34)</f>
        <v>0</v>
      </c>
      <c r="I36" s="165">
        <f>IF('YbyY data'!$A$9=39,'YbyY data'!FX34,'YbyY data'!FL34)</f>
        <v>0</v>
      </c>
      <c r="J36" s="143"/>
      <c r="K36" s="117"/>
    </row>
    <row r="37" spans="1:11" ht="18.95" customHeight="1" x14ac:dyDescent="0.3">
      <c r="A37" s="117"/>
      <c r="B37" s="118"/>
      <c r="C37" s="118"/>
      <c r="D37" s="118"/>
      <c r="E37" s="117"/>
      <c r="F37" s="127">
        <f t="shared" si="0"/>
        <v>2055</v>
      </c>
      <c r="G37" s="165">
        <f>IF('YbyY data'!$A$9=39,'YbyY data'!FV35,'YbyY data'!FJ35)</f>
        <v>0</v>
      </c>
      <c r="H37" s="165">
        <f>IF('YbyY data'!$A$9=39,'YbyY data'!FW35,'YbyY data'!FK35)</f>
        <v>0</v>
      </c>
      <c r="I37" s="165">
        <f>IF('YbyY data'!$A$9=39,'YbyY data'!FX35,'YbyY data'!FL35)</f>
        <v>0</v>
      </c>
      <c r="J37" s="143"/>
      <c r="K37" s="117"/>
    </row>
    <row r="38" spans="1:11" ht="18.95" customHeight="1" x14ac:dyDescent="0.3">
      <c r="A38" s="117"/>
      <c r="B38" s="173" t="s">
        <v>179</v>
      </c>
      <c r="C38" s="118"/>
      <c r="D38" s="118"/>
      <c r="E38" s="117"/>
      <c r="F38" s="127">
        <f t="shared" si="0"/>
        <v>2056</v>
      </c>
      <c r="G38" s="165">
        <f>IF('YbyY data'!$A$9=39,'YbyY data'!FV36,'YbyY data'!FJ36)</f>
        <v>0</v>
      </c>
      <c r="H38" s="165">
        <f>IF('YbyY data'!$A$9=39,'YbyY data'!FW36,'YbyY data'!FK36)</f>
        <v>0</v>
      </c>
      <c r="I38" s="165">
        <f>IF('YbyY data'!$A$9=39,'YbyY data'!FX36,'YbyY data'!FL36)</f>
        <v>0</v>
      </c>
      <c r="J38" s="143"/>
      <c r="K38" s="117"/>
    </row>
    <row r="39" spans="1:11" ht="18.95" customHeight="1" x14ac:dyDescent="0.3">
      <c r="A39" s="117"/>
      <c r="B39" s="129" t="s">
        <v>180</v>
      </c>
      <c r="C39" s="236" t="s">
        <v>212</v>
      </c>
      <c r="D39" s="237"/>
      <c r="E39" s="117"/>
      <c r="F39" s="127">
        <f t="shared" si="0"/>
        <v>2057</v>
      </c>
      <c r="G39" s="165">
        <f>IF('YbyY data'!$A$9=39,'YbyY data'!FV37,'YbyY data'!FJ37)</f>
        <v>0</v>
      </c>
      <c r="H39" s="165">
        <f>IF('YbyY data'!$A$9=39,'YbyY data'!FW37,'YbyY data'!FK37)</f>
        <v>0</v>
      </c>
      <c r="I39" s="165">
        <f>IF('YbyY data'!$A$9=39,'YbyY data'!FX37,'YbyY data'!FL37)</f>
        <v>0</v>
      </c>
      <c r="J39" s="143"/>
      <c r="K39" s="117"/>
    </row>
    <row r="40" spans="1:11" ht="18.95" customHeight="1" x14ac:dyDescent="0.3">
      <c r="A40" s="117"/>
      <c r="B40" s="128">
        <f>'Input Sheet'!F19</f>
        <v>3364.022905100001</v>
      </c>
      <c r="C40" s="238">
        <f>'Input Sheet'!AI3</f>
        <v>0</v>
      </c>
      <c r="D40" s="239"/>
      <c r="E40" s="117"/>
      <c r="F40" s="127">
        <f t="shared" si="0"/>
        <v>2058</v>
      </c>
      <c r="G40" s="165">
        <f>IF('YbyY data'!$A$9=39,'YbyY data'!FV38,'YbyY data'!FJ38)</f>
        <v>0</v>
      </c>
      <c r="H40" s="165">
        <f>IF('YbyY data'!$A$9=39,'YbyY data'!FW38,'YbyY data'!FK38)</f>
        <v>0</v>
      </c>
      <c r="I40" s="165">
        <f>IF('YbyY data'!$A$9=39,'YbyY data'!FX38,'YbyY data'!FL38)</f>
        <v>0</v>
      </c>
      <c r="J40" s="143"/>
      <c r="K40" s="117"/>
    </row>
    <row r="41" spans="1:11" ht="18.95" customHeight="1" x14ac:dyDescent="0.3">
      <c r="A41" s="117"/>
      <c r="B41" s="129" t="s">
        <v>181</v>
      </c>
      <c r="C41" s="120"/>
      <c r="D41" s="120"/>
      <c r="E41" s="117"/>
      <c r="F41" s="127">
        <f t="shared" si="0"/>
        <v>2059</v>
      </c>
      <c r="G41" s="165">
        <f>IF('YbyY data'!$A$9=39,'YbyY data'!FV39,'YbyY data'!FJ39)</f>
        <v>0</v>
      </c>
      <c r="H41" s="165">
        <f>IF('YbyY data'!$A$9=39,'YbyY data'!FW39,'YbyY data'!FK39)</f>
        <v>0</v>
      </c>
      <c r="I41" s="165">
        <f>IF('YbyY data'!$A$9=39,'YbyY data'!FX39,'YbyY data'!FL39)</f>
        <v>0</v>
      </c>
      <c r="J41" s="143"/>
      <c r="K41" s="117"/>
    </row>
    <row r="42" spans="1:11" ht="18.95" customHeight="1" x14ac:dyDescent="0.3">
      <c r="A42" s="117"/>
      <c r="B42" s="128">
        <f>'Input Sheet'!F20</f>
        <v>3058.2026410000008</v>
      </c>
      <c r="C42" s="121"/>
      <c r="D42" s="121"/>
      <c r="E42" s="117"/>
      <c r="F42" s="127">
        <f t="shared" si="0"/>
        <v>2060</v>
      </c>
      <c r="G42" s="165">
        <f>IF('YbyY data'!$A$9=39,'YbyY data'!FV40,'YbyY data'!FJ40)</f>
        <v>0</v>
      </c>
      <c r="H42" s="165">
        <f>IF('YbyY data'!$A$9=39,'YbyY data'!FW40,'YbyY data'!FK40)</f>
        <v>0</v>
      </c>
      <c r="I42" s="165">
        <f>IF('YbyY data'!$A$9=39,'YbyY data'!FX40,'YbyY data'!FL40)</f>
        <v>0</v>
      </c>
      <c r="J42" s="143"/>
      <c r="K42" s="117"/>
    </row>
    <row r="43" spans="1:11" ht="18.95" customHeight="1" x14ac:dyDescent="0.3">
      <c r="A43" s="117"/>
      <c r="B43" s="129" t="s">
        <v>78</v>
      </c>
      <c r="C43" s="120"/>
      <c r="D43" s="120"/>
      <c r="E43" s="117"/>
      <c r="F43" s="127">
        <f t="shared" si="0"/>
        <v>2061</v>
      </c>
      <c r="G43" s="165">
        <f>IF('YbyY data'!$A$9=39,'YbyY data'!FV41,'YbyY data'!FJ41)</f>
        <v>0</v>
      </c>
      <c r="H43" s="165">
        <f>IF('YbyY data'!$A$9=39,'YbyY data'!FW41,'YbyY data'!FK41)</f>
        <v>0</v>
      </c>
      <c r="I43" s="165">
        <f>IF('YbyY data'!$A$9=39,'YbyY data'!FX41,'YbyY data'!FL41)</f>
        <v>0</v>
      </c>
      <c r="J43" s="143"/>
      <c r="K43" s="117"/>
    </row>
    <row r="44" spans="1:11" ht="18.95" customHeight="1" x14ac:dyDescent="0.3">
      <c r="A44" s="117"/>
      <c r="B44" s="128">
        <f>'Input Sheet'!F19*0.5</f>
        <v>1682.0114525500005</v>
      </c>
      <c r="C44" s="121"/>
      <c r="D44" s="121"/>
      <c r="E44" s="117"/>
      <c r="F44" s="127">
        <f t="shared" si="0"/>
        <v>2062</v>
      </c>
      <c r="G44" s="165">
        <f>IF('YbyY data'!$A$9=39,'YbyY data'!FV42,'YbyY data'!FJ42)</f>
        <v>0</v>
      </c>
      <c r="H44" s="165">
        <f>IF('YbyY data'!$A$9=39,'YbyY data'!FW42,'YbyY data'!FK42)</f>
        <v>0</v>
      </c>
      <c r="I44" s="165">
        <f>IF('YbyY data'!$A$9=39,'YbyY data'!FX42,'YbyY data'!FL42)</f>
        <v>0</v>
      </c>
      <c r="J44" s="143"/>
      <c r="K44" s="117"/>
    </row>
    <row r="45" spans="1:11" ht="18.95" customHeight="1" x14ac:dyDescent="0.3">
      <c r="A45" s="117"/>
      <c r="B45" s="129" t="s">
        <v>242</v>
      </c>
      <c r="C45" s="120"/>
      <c r="D45" s="120"/>
      <c r="E45" s="117"/>
      <c r="F45" s="127">
        <f t="shared" si="0"/>
        <v>2063</v>
      </c>
      <c r="G45" s="165">
        <f>IF('YbyY data'!$A$9=39,'YbyY data'!FV43,'YbyY data'!FJ43)</f>
        <v>0</v>
      </c>
      <c r="H45" s="165">
        <f>IF('YbyY data'!$A$9=39,'YbyY data'!FW43,'YbyY data'!FK43)</f>
        <v>0</v>
      </c>
      <c r="I45" s="165">
        <f>IF('YbyY data'!$A$9=39,'YbyY data'!FX43,'YbyY data'!FL43)</f>
        <v>0</v>
      </c>
      <c r="J45" s="143"/>
      <c r="K45" s="117"/>
    </row>
    <row r="46" spans="1:11" ht="18.95" customHeight="1" x14ac:dyDescent="0.3">
      <c r="A46" s="117"/>
      <c r="B46" s="214" t="s">
        <v>240</v>
      </c>
      <c r="C46" s="121"/>
      <c r="D46" s="121"/>
      <c r="E46" s="117"/>
      <c r="F46" s="127">
        <f t="shared" si="0"/>
        <v>2064</v>
      </c>
      <c r="G46" s="165">
        <f>IF('YbyY data'!$A$9=39,'YbyY data'!FV44,'YbyY data'!FJ44)</f>
        <v>0</v>
      </c>
      <c r="H46" s="165">
        <f>IF('YbyY data'!$A$9=39,'YbyY data'!FW44,'YbyY data'!FK44)</f>
        <v>0</v>
      </c>
      <c r="I46" s="165">
        <f>IF('YbyY data'!$A$9=39,'YbyY data'!FX44,'YbyY data'!FL44)</f>
        <v>0</v>
      </c>
      <c r="J46" s="143"/>
      <c r="K46" s="117"/>
    </row>
    <row r="47" spans="1:11" ht="18.95" customHeight="1" x14ac:dyDescent="0.3">
      <c r="A47" s="117"/>
      <c r="B47" s="215">
        <f>B40/4</f>
        <v>841.00572627500026</v>
      </c>
      <c r="C47" s="123"/>
      <c r="D47" s="123"/>
      <c r="E47" s="117"/>
      <c r="F47" s="127">
        <f t="shared" si="0"/>
        <v>2065</v>
      </c>
      <c r="G47" s="165">
        <f>IF('YbyY data'!$A$9=39,'YbyY data'!FV45,'YbyY data'!FJ45)</f>
        <v>0</v>
      </c>
      <c r="H47" s="165">
        <f>IF('YbyY data'!$A$9=39,'YbyY data'!FW45,'YbyY data'!FK45)</f>
        <v>0</v>
      </c>
      <c r="I47" s="165">
        <f>IF('YbyY data'!$A$9=39,'YbyY data'!FX45,'YbyY data'!FL45)</f>
        <v>0</v>
      </c>
      <c r="J47" s="143"/>
      <c r="K47" s="117"/>
    </row>
    <row r="48" spans="1:11" ht="18.95" customHeight="1" x14ac:dyDescent="0.3">
      <c r="A48" s="117"/>
      <c r="B48" s="117"/>
      <c r="C48" s="117"/>
      <c r="D48" s="117"/>
      <c r="E48" s="117"/>
      <c r="F48" s="122"/>
      <c r="G48" s="166"/>
      <c r="H48" s="166"/>
      <c r="I48" s="166"/>
      <c r="J48" s="143"/>
      <c r="K48" s="117"/>
    </row>
    <row r="49" spans="1:11" ht="18.95" customHeight="1" x14ac:dyDescent="0.3">
      <c r="A49" s="117"/>
      <c r="B49" s="117"/>
      <c r="C49" s="117"/>
      <c r="D49" s="117"/>
      <c r="E49" s="117"/>
      <c r="F49" s="167" t="s">
        <v>143</v>
      </c>
      <c r="G49" s="168">
        <f>SUM(G7:G46)</f>
        <v>2294999.9999999995</v>
      </c>
      <c r="H49" s="168">
        <f>SUM(H7:H46)</f>
        <v>2295000</v>
      </c>
      <c r="I49" s="168">
        <f>SUM(I7:I46)</f>
        <v>2295000.0000000014</v>
      </c>
      <c r="J49" s="143"/>
      <c r="K49" s="117"/>
    </row>
    <row r="50" spans="1:11" ht="18.95" customHeight="1" x14ac:dyDescent="0.3">
      <c r="A50" s="117"/>
      <c r="B50" s="117"/>
      <c r="C50" s="117"/>
      <c r="D50" s="117"/>
      <c r="E50" s="117"/>
      <c r="F50" s="140"/>
      <c r="G50" s="141"/>
      <c r="H50" s="141"/>
      <c r="I50" s="141"/>
      <c r="J50" s="134"/>
      <c r="K50" s="117"/>
    </row>
    <row r="51" spans="1:11" ht="18.95" customHeight="1" x14ac:dyDescent="0.3">
      <c r="B51" s="232" t="s">
        <v>285</v>
      </c>
      <c r="C51" s="232"/>
      <c r="D51" s="232"/>
      <c r="E51" s="232"/>
      <c r="F51" s="232"/>
      <c r="G51" s="232"/>
      <c r="H51" s="232"/>
      <c r="I51" s="232"/>
      <c r="J51" s="161"/>
      <c r="K51" s="117"/>
    </row>
    <row r="52" spans="1:11" ht="18.95" customHeight="1" x14ac:dyDescent="0.3">
      <c r="A52" s="161"/>
      <c r="B52" s="232"/>
      <c r="C52" s="232"/>
      <c r="D52" s="232"/>
      <c r="E52" s="232"/>
      <c r="F52" s="232"/>
      <c r="G52" s="232"/>
      <c r="H52" s="232"/>
      <c r="I52" s="232"/>
      <c r="J52" s="161"/>
      <c r="K52" s="117"/>
    </row>
    <row r="53" spans="1:11" ht="18.95" customHeight="1" x14ac:dyDescent="0.3">
      <c r="A53" s="161"/>
      <c r="B53" s="232"/>
      <c r="C53" s="232"/>
      <c r="D53" s="232"/>
      <c r="E53" s="232"/>
      <c r="F53" s="232"/>
      <c r="G53" s="232"/>
      <c r="H53" s="232"/>
      <c r="I53" s="232"/>
      <c r="J53" s="161"/>
      <c r="K53" s="117"/>
    </row>
    <row r="54" spans="1:11" ht="18.95" customHeight="1" x14ac:dyDescent="0.3">
      <c r="A54" s="161"/>
      <c r="B54" s="232"/>
      <c r="C54" s="232"/>
      <c r="D54" s="232"/>
      <c r="E54" s="232"/>
      <c r="F54" s="232"/>
      <c r="G54" s="232"/>
      <c r="H54" s="232"/>
      <c r="I54" s="232"/>
      <c r="J54" s="161"/>
      <c r="K54" s="117"/>
    </row>
    <row r="55" spans="1:11" ht="18.95" customHeight="1" x14ac:dyDescent="0.3">
      <c r="A55" s="161"/>
      <c r="B55" s="161"/>
      <c r="C55" s="161"/>
      <c r="D55" s="161"/>
      <c r="E55" s="161"/>
      <c r="F55" s="161"/>
      <c r="G55" s="161"/>
      <c r="H55" s="161"/>
      <c r="I55" s="161"/>
      <c r="J55" s="161"/>
      <c r="K55" s="117"/>
    </row>
    <row r="56" spans="1:11" ht="18.95" customHeight="1" x14ac:dyDescent="0.3">
      <c r="A56" s="161"/>
      <c r="C56" s="161"/>
      <c r="D56" s="161"/>
      <c r="E56" s="229" t="str">
        <f>"||Name_of_Prospect:"&amp;A2&amp;
"||Address_of_Property:"&amp;B2&amp;
"||Zip_Code:"&amp;TEXT(C2,"00000")&amp;
"||Purchase_Price:"&amp;TEXT(D2,"#,##0")&amp;
"||Capital_Improvements_Amount:"&amp;TEXT(E2,"#,##0.00")&amp;
"||Building_Value:"&amp;TEXT(F2,"#,##0")&amp;
"||Know_Land_Value:"&amp;TEXT(G2,"#,##0")&amp;
"||Date_of_Purchase:"&amp;TEXT(H2,"mm/dd/yyyy")&amp;
"||SqFt_Building:"&amp;TEXT(I2,"#,##0")&amp;
"||Acres_Land:"&amp;TEXT(J2,"0.##")&amp;
"||Year_Built:"&amp;TEXT(K2,"0")&amp;
"||Bid_Amount_Original:"&amp;TEXT(L2,"#,##0.00")&amp;
"||Pay_Upfront:"&amp;TEXT(M2,"#,##0.00")&amp;
"||Pay_50_50_Amount:"&amp;TEXT(N2,"#,##0.00")&amp;
"||Pay_Over_Time:"&amp;TEXT(O2,"#,##0.00")&amp;
"||Rush_Fee:"&amp;TEXT(P2,"#,##0.00")&amp;
"||Multiple_Properties_Quote:"&amp;TEXT(Q2,"0")&amp;
"||First_Year_Bonus_Quote:"&amp;TEXT(R2,"#,##0.00")&amp;
"||Tax_Year:"&amp;TEXT(S2,"0")&amp;
"||Tax_Deadline_Quote:"&amp;T2&amp;
"||Referral_Fee:"&amp;TEXT(U2,"#,##0.00")&amp;
"||Type_of_Property_Quote:"&amp;V2&amp;
"||Number_of_Floors:"&amp;TEXT(W2,"0")&amp;"||"</f>
        <v>||Name_of_Prospect:Valued Client||Address_of_Property:123 Main St, Yourtown, US, 85260||Zip_Code:85260||Purchase_Price:2,550,000||Capital_Improvements_Amount:0.00||Building_Value:2,295,000||Know_Land_Value:255,000||Date_of_Purchase:03/15/2024||SqFt_Building:1,500||Acres_Land:0.78||Year_Built:2024||Bid_Amount_Original:3,364.02||Pay_Upfront:3,058.20||Pay_50_50_Amount:1,682.01||Pay_Over_Time:841.01||Rush_Fee:0.00||Multiple_Properties_Quote:1||First_Year_Bonus_Quote:569,422.72||Tax_Year:2025||Tax_Deadline_Quote:October||Referral_Fee:1.00||Type_of_Property_Quote:Multi-Family||Number_of_Floors:1||</v>
      </c>
      <c r="F56" s="161"/>
      <c r="G56" s="161"/>
      <c r="H56" s="226" t="str">
        <f>"||Name_of_Prospect:"&amp;A2&amp;"||Address_of_Property:"&amp;B2&amp;"||Zip_Code:"&amp;C2&amp;"||Purchase_Price:"&amp;D2&amp;"||Capital_Improvements_Amount:"&amp;E2&amp;"||Building_Value:"&amp;F2&amp;"||Know_Land_Value:"&amp;G2&amp;"||Date_of_Purchase:="&amp;TEXT(H2,"mm/dd/yyyy")&amp;"||SqFt_Building:"&amp;I2&amp;"||Acres_Land:"&amp;J2&amp;"||Year_Built:"&amp;K2&amp;"||Bid_Amount_Original:"&amp;L2&amp;"||Pay_Upfront:"&amp;M2&amp;"||Pay_50_50_Amount:"&amp;N2&amp;"||Pay_Over_Time:"&amp;O2&amp;"||Rush_Fee:"&amp;P2&amp;"||Multiple_Properties_Quote:"&amp;Q2&amp;"||First_Year_Bonus_Quote:"&amp;R2&amp;"||Tax_Year:"&amp;S2&amp;"||Tax_Deadline_Quote:"&amp;T2&amp;"||"</f>
        <v>||Name_of_Prospect:Valued Client||Address_of_Property:123 Main St, Yourtown, US, 85260||Zip_Code:85260||Purchase_Price:2550000||Capital_Improvements_Amount:0||Building_Value:2295000||Know_Land_Value:255000||Date_of_Purchase:=03/15/2024||SqFt_Building:1500||Acres_Land:0.78||Year_Built:2024||Bid_Amount_Original:3364.0229051||Pay_Upfront:3058.202641||Pay_50_50_Amount:1682.01145255||Pay_Over_Time:841.005726275||Rush_Fee:0||Multiple_Properties_Quote:1||First_Year_Bonus_Quote:569422.718415687||Tax_Year:2025||Tax_Deadline_Quote:October||</v>
      </c>
      <c r="I56" s="161"/>
      <c r="J56" s="161"/>
      <c r="K56" s="117"/>
    </row>
    <row r="57" spans="1:11" ht="18.95" customHeight="1" x14ac:dyDescent="0.3">
      <c r="A57" s="117"/>
      <c r="B57" s="142" t="str">
        <f>'Input Sheet'!J3</f>
        <v>Multi-Family</v>
      </c>
      <c r="C57" s="161"/>
      <c r="D57" s="161"/>
      <c r="E57" s="161"/>
      <c r="F57" s="176"/>
      <c r="G57" s="212">
        <f>'Input Sheet'!AL3</f>
        <v>1</v>
      </c>
      <c r="H57" s="162">
        <f>IF('Input Sheet'!AD3=TRUE,'Input Sheet'!AF5,'Input Sheet'!AF4)</f>
        <v>0</v>
      </c>
      <c r="I57" s="125"/>
      <c r="J57" s="125"/>
      <c r="K57" s="117"/>
    </row>
    <row r="58" spans="1:11" ht="18.95" customHeight="1" x14ac:dyDescent="0.3">
      <c r="A58" s="117"/>
      <c r="B58" s="117"/>
      <c r="C58" s="124">
        <f ca="1">TODAY()</f>
        <v>45946</v>
      </c>
      <c r="D58" s="176" t="str">
        <f>IF('Input Sheet'!AD3,'Input Sheet'!AE5,"*Previously Accumulated Depreciation")</f>
        <v>*Previously Accumulated Depreciation</v>
      </c>
      <c r="E58" s="176"/>
      <c r="F58" s="125"/>
      <c r="G58" s="125"/>
      <c r="H58" s="125"/>
      <c r="I58" s="125"/>
      <c r="J58" s="117"/>
      <c r="K58" s="117"/>
    </row>
    <row r="59" spans="1:11" ht="18.95" customHeight="1" x14ac:dyDescent="0.3">
      <c r="A59" s="117"/>
      <c r="B59" s="117"/>
      <c r="C59" s="117"/>
      <c r="D59" s="117"/>
      <c r="E59" s="125"/>
      <c r="F59" s="125"/>
      <c r="G59" s="125"/>
      <c r="H59" s="125"/>
      <c r="I59" s="125"/>
      <c r="J59" s="117"/>
      <c r="K59" s="117"/>
    </row>
    <row r="60" spans="1:11" ht="18.95" customHeight="1" x14ac:dyDescent="0.3">
      <c r="B60" s="117"/>
      <c r="C60" s="117"/>
      <c r="D60" s="117"/>
      <c r="E60" s="116"/>
      <c r="F60" s="116"/>
      <c r="G60" s="116"/>
      <c r="H60" s="116"/>
      <c r="I60" s="116"/>
    </row>
  </sheetData>
  <mergeCells count="9">
    <mergeCell ref="B51:I54"/>
    <mergeCell ref="C39:D39"/>
    <mergeCell ref="C40:D40"/>
    <mergeCell ref="C3:E6"/>
    <mergeCell ref="F5:G5"/>
    <mergeCell ref="H5:I5"/>
    <mergeCell ref="B11:C11"/>
    <mergeCell ref="B12:B13"/>
    <mergeCell ref="C28:D28"/>
  </mergeCells>
  <conditionalFormatting sqref="B25">
    <cfRule type="cellIs" dxfId="4" priority="1" operator="greaterThanOrEqual">
      <formula>1</formula>
    </cfRule>
  </conditionalFormatting>
  <hyperlinks>
    <hyperlink ref="B33" r:id="rId1" xr:uid="{A8B5589D-4FAC-4288-956E-CECB890E6D9E}"/>
  </hyperlinks>
  <pageMargins left="0.25" right="0.25" top="0.25" bottom="0" header="0" footer="0"/>
  <pageSetup scale="73" fitToWidth="0" orientation="portrait" r:id="rId2"/>
  <drawing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362F7-0BE4-4137-9589-12DB09246A32}">
  <sheetPr>
    <pageSetUpPr fitToPage="1"/>
  </sheetPr>
  <dimension ref="A1:U61"/>
  <sheetViews>
    <sheetView topLeftCell="A20" zoomScale="130" zoomScaleNormal="130" workbookViewId="0">
      <selection activeCell="B34" sqref="B34"/>
    </sheetView>
  </sheetViews>
  <sheetFormatPr defaultColWidth="8.85546875" defaultRowHeight="18.95" customHeight="1" x14ac:dyDescent="0.3"/>
  <cols>
    <col min="1" max="1" width="8.85546875" style="115"/>
    <col min="2" max="2" width="29.140625" style="115" bestFit="1" customWidth="1"/>
    <col min="3" max="3" width="10.7109375" style="115" customWidth="1"/>
    <col min="4" max="4" width="5.140625" style="115" customWidth="1"/>
    <col min="5" max="5" width="12.7109375" style="115" customWidth="1"/>
    <col min="6" max="6" width="12.28515625" style="115" customWidth="1"/>
    <col min="7" max="7" width="15.140625" style="115" customWidth="1"/>
    <col min="8" max="8" width="17.7109375" style="115" customWidth="1"/>
    <col min="9" max="9" width="14.140625" style="115" bestFit="1" customWidth="1"/>
    <col min="10" max="10" width="15.140625" style="115" customWidth="1"/>
    <col min="11" max="11" width="9" style="115" bestFit="1" customWidth="1"/>
    <col min="12" max="12" width="9.7109375" style="115" bestFit="1" customWidth="1"/>
    <col min="13" max="13" width="9" style="115" bestFit="1" customWidth="1"/>
    <col min="14" max="14" width="9.7109375" style="115" bestFit="1" customWidth="1"/>
    <col min="15" max="16" width="9" style="115" bestFit="1" customWidth="1"/>
    <col min="17" max="17" width="9.140625" style="115" bestFit="1" customWidth="1"/>
    <col min="18" max="18" width="9" style="115" bestFit="1" customWidth="1"/>
    <col min="19" max="19" width="8.85546875" style="115"/>
    <col min="20" max="20" width="11.140625" style="115" bestFit="1" customWidth="1"/>
    <col min="21" max="16384" width="8.85546875" style="115"/>
  </cols>
  <sheetData>
    <row r="1" spans="1:21" ht="18.95" customHeight="1" x14ac:dyDescent="0.3">
      <c r="A1" s="117" t="s">
        <v>253</v>
      </c>
      <c r="B1" s="117" t="s">
        <v>254</v>
      </c>
      <c r="C1" s="117" t="s">
        <v>255</v>
      </c>
      <c r="D1" s="117" t="s">
        <v>256</v>
      </c>
      <c r="E1" s="117" t="s">
        <v>257</v>
      </c>
      <c r="F1" s="117" t="s">
        <v>258</v>
      </c>
      <c r="G1" s="117" t="s">
        <v>259</v>
      </c>
      <c r="H1" s="117" t="s">
        <v>260</v>
      </c>
      <c r="I1" s="117" t="s">
        <v>261</v>
      </c>
      <c r="J1" s="117" t="s">
        <v>262</v>
      </c>
      <c r="K1" s="117" t="s">
        <v>263</v>
      </c>
      <c r="L1" s="117" t="s">
        <v>277</v>
      </c>
      <c r="M1" s="117" t="s">
        <v>275</v>
      </c>
      <c r="N1" s="117" t="s">
        <v>276</v>
      </c>
      <c r="O1" s="117" t="s">
        <v>268</v>
      </c>
      <c r="P1" s="117" t="s">
        <v>269</v>
      </c>
      <c r="Q1" s="117" t="s">
        <v>270</v>
      </c>
      <c r="R1" s="117" t="s">
        <v>271</v>
      </c>
      <c r="S1" s="117" t="s">
        <v>272</v>
      </c>
      <c r="T1" s="115" t="s">
        <v>273</v>
      </c>
      <c r="U1" s="115" t="s">
        <v>274</v>
      </c>
    </row>
    <row r="2" spans="1:21" ht="18.95" customHeight="1" x14ac:dyDescent="0.3">
      <c r="A2" s="117" t="str">
        <f>'Input Sheet'!B25</f>
        <v>Valued Client</v>
      </c>
      <c r="B2" s="117" t="str">
        <f>'Input Sheet'!B28</f>
        <v>123 Main St, Yourtown, US, 85260</v>
      </c>
      <c r="C2" s="117">
        <f>'Input Sheet'!D3</f>
        <v>85260</v>
      </c>
      <c r="D2" s="117">
        <f>'Input Sheet'!B3</f>
        <v>2550000</v>
      </c>
      <c r="E2" s="117">
        <f>'Input Sheet'!AA3</f>
        <v>0</v>
      </c>
      <c r="F2" s="222">
        <f>B17-B23</f>
        <v>2295000</v>
      </c>
      <c r="G2" s="222">
        <f>B23</f>
        <v>255000</v>
      </c>
      <c r="H2" s="223">
        <f>'Input Sheet'!P3</f>
        <v>45366</v>
      </c>
      <c r="I2" s="117">
        <f>'Input Sheet'!F3</f>
        <v>1500</v>
      </c>
      <c r="J2" s="117">
        <f>'Input Sheet'!H3</f>
        <v>0.78</v>
      </c>
      <c r="K2" s="225">
        <f>'Input Sheet'!P7</f>
        <v>2024</v>
      </c>
      <c r="L2" s="224">
        <f>B41</f>
        <v>2900</v>
      </c>
      <c r="M2" s="224">
        <f>'Input Sheet'!AN3</f>
        <v>0</v>
      </c>
      <c r="N2" s="224">
        <f>'Input Sheet'!B19</f>
        <v>3058.2026410000008</v>
      </c>
      <c r="O2" s="224">
        <f>C40</f>
        <v>0</v>
      </c>
      <c r="P2" s="225">
        <f>'Input Sheet'!N3</f>
        <v>1</v>
      </c>
      <c r="Q2" s="222">
        <f>I9</f>
        <v>569422.71841568721</v>
      </c>
      <c r="R2" s="225">
        <f>F9</f>
        <v>2025</v>
      </c>
      <c r="S2" s="225" t="str">
        <f>'Input Sheet'!R7</f>
        <v>October</v>
      </c>
      <c r="T2" s="223">
        <f>'Input Sheet'!AB3</f>
        <v>46006</v>
      </c>
      <c r="U2" s="117" t="str">
        <f>'Input Sheet'!J3</f>
        <v>Multi-Family</v>
      </c>
    </row>
    <row r="4" spans="1:21" ht="18.95" customHeight="1" x14ac:dyDescent="0.3">
      <c r="A4" s="117"/>
      <c r="B4" s="117"/>
      <c r="C4" s="117"/>
      <c r="D4" s="117"/>
      <c r="E4" s="117"/>
      <c r="F4" s="117"/>
      <c r="G4" s="117"/>
      <c r="H4" s="117"/>
      <c r="I4" s="119"/>
      <c r="J4" s="119"/>
      <c r="K4" s="117"/>
    </row>
    <row r="5" spans="1:21" ht="18.95" customHeight="1" x14ac:dyDescent="0.3">
      <c r="A5" s="117"/>
      <c r="B5" s="117"/>
      <c r="C5" s="117"/>
      <c r="D5" s="117"/>
      <c r="E5" s="117"/>
      <c r="F5" s="117"/>
      <c r="G5" s="117"/>
      <c r="H5" s="117"/>
      <c r="I5" s="117"/>
      <c r="J5" s="117"/>
      <c r="K5" s="117"/>
    </row>
    <row r="6" spans="1:21" ht="18.95" customHeight="1" x14ac:dyDescent="0.3">
      <c r="A6" s="117"/>
      <c r="B6" s="117"/>
      <c r="C6" s="117"/>
      <c r="D6" s="117"/>
      <c r="E6" s="117"/>
      <c r="F6" s="117"/>
      <c r="G6" s="117"/>
      <c r="H6" s="117"/>
      <c r="I6" s="117"/>
      <c r="J6" s="117"/>
      <c r="K6" s="117"/>
    </row>
    <row r="7" spans="1:21" ht="18.95" customHeight="1" x14ac:dyDescent="0.3">
      <c r="A7" s="117"/>
      <c r="B7" s="117"/>
      <c r="C7" s="117"/>
      <c r="D7" s="117"/>
      <c r="E7" s="117"/>
      <c r="F7" s="233" t="s">
        <v>131</v>
      </c>
      <c r="G7" s="233"/>
      <c r="H7" s="233" t="s">
        <v>130</v>
      </c>
      <c r="I7" s="233"/>
      <c r="J7" s="143"/>
      <c r="K7" s="117"/>
    </row>
    <row r="8" spans="1:21" ht="18.95" customHeight="1" x14ac:dyDescent="0.3">
      <c r="A8" s="117"/>
      <c r="B8" s="117"/>
      <c r="C8" s="117"/>
      <c r="D8" s="117"/>
      <c r="E8" s="117"/>
      <c r="F8" s="196" t="s">
        <v>56</v>
      </c>
      <c r="G8" s="197" t="s">
        <v>163</v>
      </c>
      <c r="H8" s="197" t="s">
        <v>57</v>
      </c>
      <c r="I8" s="197" t="s">
        <v>58</v>
      </c>
      <c r="J8" s="143"/>
      <c r="K8" s="117"/>
    </row>
    <row r="9" spans="1:21" ht="18.95" customHeight="1" x14ac:dyDescent="0.3">
      <c r="A9" s="117"/>
      <c r="B9" s="117"/>
      <c r="C9" s="117"/>
      <c r="D9" s="117"/>
      <c r="E9" s="117"/>
      <c r="F9" s="127">
        <f>'Input Sheet'!R3</f>
        <v>2025</v>
      </c>
      <c r="G9" s="165">
        <f>IF('YbyY data'!$A$9=39,'YbyY data'!FV5,'YbyY data'!FJ5)</f>
        <v>66073.05</v>
      </c>
      <c r="H9" s="165">
        <f>IF('YbyY data'!$A$9=39,'YbyY data'!FW5,'YbyY data'!FK5)</f>
        <v>113694.10179921797</v>
      </c>
      <c r="I9" s="165">
        <f>IF('YbyY data'!$A$9=39,'YbyY data'!FX5,'YbyY data'!FL5)</f>
        <v>569422.71841568721</v>
      </c>
      <c r="J9" s="143"/>
      <c r="K9" s="117"/>
    </row>
    <row r="10" spans="1:21" ht="18.95" customHeight="1" x14ac:dyDescent="0.3">
      <c r="A10" s="117"/>
      <c r="B10" s="184" t="s">
        <v>139</v>
      </c>
      <c r="C10" s="184"/>
      <c r="D10" s="184"/>
      <c r="E10" s="117"/>
      <c r="F10" s="127">
        <f>F9+1</f>
        <v>2026</v>
      </c>
      <c r="G10" s="165">
        <f>IF('YbyY data'!$A$9=39,'YbyY data'!FV6,'YbyY data'!FJ6)</f>
        <v>83446.200000000012</v>
      </c>
      <c r="H10" s="165">
        <f>IF('YbyY data'!$A$9=39,'YbyY data'!FW6,'YbyY data'!FK6)</f>
        <v>177171.92789882695</v>
      </c>
      <c r="I10" s="165">
        <f>IF('YbyY data'!$A$9=39,'YbyY data'!FX6,'YbyY data'!FL6)</f>
        <v>102805.30082353079</v>
      </c>
      <c r="J10" s="143"/>
      <c r="K10" s="117"/>
    </row>
    <row r="11" spans="1:21" ht="18.95" customHeight="1" x14ac:dyDescent="0.3">
      <c r="A11" s="117"/>
      <c r="B11" s="185" t="s">
        <v>140</v>
      </c>
      <c r="C11" s="186"/>
      <c r="D11" s="186"/>
      <c r="E11" s="117"/>
      <c r="F11" s="127">
        <f t="shared" ref="F11:F49" si="0">F10+1</f>
        <v>2027</v>
      </c>
      <c r="G11" s="165">
        <f>IF('YbyY data'!$A$9=39,'YbyY data'!FV7,'YbyY data'!FJ7)</f>
        <v>83446.200000000012</v>
      </c>
      <c r="H11" s="165">
        <f>IF('YbyY data'!$A$9=39,'YbyY data'!FW7,'YbyY data'!FK7)</f>
        <v>145581.64644384477</v>
      </c>
      <c r="I11" s="165">
        <f>IF('YbyY data'!$A$9=39,'YbyY data'!FX7,'YbyY data'!FL7)</f>
        <v>90169.188241537922</v>
      </c>
      <c r="J11" s="143"/>
      <c r="K11" s="117"/>
    </row>
    <row r="12" spans="1:21" ht="18.75" customHeight="1" x14ac:dyDescent="0.3">
      <c r="A12" s="117"/>
      <c r="B12" s="187" t="str">
        <f>'Input Sheet'!B25</f>
        <v>Valued Client</v>
      </c>
      <c r="C12" s="187"/>
      <c r="D12" s="187"/>
      <c r="E12" s="117"/>
      <c r="F12" s="127">
        <f t="shared" si="0"/>
        <v>2028</v>
      </c>
      <c r="G12" s="165">
        <f>IF('YbyY data'!$A$9=39,'YbyY data'!FV8,'YbyY data'!FJ8)</f>
        <v>83446.200000000012</v>
      </c>
      <c r="H12" s="165">
        <f>IF('YbyY data'!$A$9=39,'YbyY data'!FW8,'YbyY data'!FK8)</f>
        <v>124860.28754278753</v>
      </c>
      <c r="I12" s="165">
        <f>IF('YbyY data'!$A$9=39,'YbyY data'!FX8,'YbyY data'!FL8)</f>
        <v>81880.644681115009</v>
      </c>
      <c r="J12" s="143"/>
      <c r="K12" s="117"/>
    </row>
    <row r="13" spans="1:21" ht="18.95" customHeight="1" x14ac:dyDescent="0.3">
      <c r="A13" s="117"/>
      <c r="B13" s="242" t="str">
        <f>'Input Sheet'!J3&amp;" "&amp;"Property - Address:"</f>
        <v>Multi-Family Property - Address:</v>
      </c>
      <c r="C13" s="242"/>
      <c r="D13" s="186"/>
      <c r="E13" s="117"/>
      <c r="F13" s="127">
        <f t="shared" si="0"/>
        <v>2029</v>
      </c>
      <c r="G13" s="165">
        <f>IF('YbyY data'!$A$9=39,'YbyY data'!FV9,'YbyY data'!FJ9)</f>
        <v>83446.200000000012</v>
      </c>
      <c r="H13" s="165">
        <f>IF('YbyY data'!$A$9=39,'YbyY data'!FW9,'YbyY data'!FK9)</f>
        <v>120000.51496560071</v>
      </c>
      <c r="I13" s="165">
        <f>IF('YbyY data'!$A$9=39,'YbyY data'!FX9,'YbyY data'!FL9)</f>
        <v>79936.735650240284</v>
      </c>
      <c r="J13" s="143"/>
      <c r="K13" s="117"/>
    </row>
    <row r="14" spans="1:21" ht="18.95" customHeight="1" x14ac:dyDescent="0.3">
      <c r="A14" s="117"/>
      <c r="B14" s="243" t="str">
        <f>'Input Sheet'!B28</f>
        <v>123 Main St, Yourtown, US, 85260</v>
      </c>
      <c r="C14" s="187"/>
      <c r="D14" s="187"/>
      <c r="E14" s="117"/>
      <c r="F14" s="127">
        <f t="shared" si="0"/>
        <v>2030</v>
      </c>
      <c r="G14" s="165">
        <f>IF('YbyY data'!$A$9=39,'YbyY data'!FV10,'YbyY data'!FJ10)</f>
        <v>83446.200000000012</v>
      </c>
      <c r="H14" s="165">
        <f>IF('YbyY data'!$A$9=39,'YbyY data'!FW10,'YbyY data'!FK10)</f>
        <v>104065.03372997118</v>
      </c>
      <c r="I14" s="165">
        <f>IF('YbyY data'!$A$9=39,'YbyY data'!FX10,'YbyY data'!FL10)</f>
        <v>73562.543155988475</v>
      </c>
      <c r="J14" s="143"/>
      <c r="K14" s="117"/>
    </row>
    <row r="15" spans="1:21" ht="18.95" customHeight="1" x14ac:dyDescent="0.3">
      <c r="A15" s="117"/>
      <c r="B15" s="243"/>
      <c r="C15" s="187"/>
      <c r="D15" s="187"/>
      <c r="E15" s="117"/>
      <c r="F15" s="127">
        <f t="shared" si="0"/>
        <v>2031</v>
      </c>
      <c r="G15" s="165">
        <f>IF('YbyY data'!$A$9=39,'YbyY data'!FV11,'YbyY data'!FJ11)</f>
        <v>83446.200000000012</v>
      </c>
      <c r="H15" s="165">
        <f>IF('YbyY data'!$A$9=39,'YbyY data'!FW11,'YbyY data'!FK11)</f>
        <v>90464.767888574279</v>
      </c>
      <c r="I15" s="165">
        <f>IF('YbyY data'!$A$9=39,'YbyY data'!FX11,'YbyY data'!FL11)</f>
        <v>68122.436819429713</v>
      </c>
      <c r="J15" s="143"/>
      <c r="K15" s="117"/>
    </row>
    <row r="16" spans="1:21" ht="18.95" customHeight="1" x14ac:dyDescent="0.3">
      <c r="A16" s="117"/>
      <c r="B16" s="185" t="s">
        <v>12</v>
      </c>
      <c r="C16" s="186"/>
      <c r="D16" s="186"/>
      <c r="E16" s="117"/>
      <c r="F16" s="127">
        <f t="shared" si="0"/>
        <v>2032</v>
      </c>
      <c r="G16" s="165">
        <f>IF('YbyY data'!$A$9=39,'YbyY data'!FV12,'YbyY data'!FJ12)</f>
        <v>83446.200000000012</v>
      </c>
      <c r="H16" s="165">
        <f>IF('YbyY data'!$A$9=39,'YbyY data'!FW12,'YbyY data'!FK12)</f>
        <v>90464.767888574279</v>
      </c>
      <c r="I16" s="165">
        <f>IF('YbyY data'!$A$9=39,'YbyY data'!FX12,'YbyY data'!FL12)</f>
        <v>68122.436819429713</v>
      </c>
      <c r="J16" s="143"/>
      <c r="K16" s="117"/>
    </row>
    <row r="17" spans="1:11" ht="18.95" customHeight="1" x14ac:dyDescent="0.3">
      <c r="A17" s="117"/>
      <c r="B17" s="188">
        <f>'Input Sheet'!B3</f>
        <v>2550000</v>
      </c>
      <c r="C17" s="189"/>
      <c r="D17" s="189"/>
      <c r="E17" s="118"/>
      <c r="F17" s="127">
        <f t="shared" si="0"/>
        <v>2033</v>
      </c>
      <c r="G17" s="165">
        <f>IF('YbyY data'!$A$9=39,'YbyY data'!FV13,'YbyY data'!FJ13)</f>
        <v>83446.200000000012</v>
      </c>
      <c r="H17" s="165">
        <f>IF('YbyY data'!$A$9=39,'YbyY data'!FW13,'YbyY data'!FK13)</f>
        <v>90527.881818148133</v>
      </c>
      <c r="I17" s="165">
        <f>IF('YbyY data'!$A$9=39,'YbyY data'!FX13,'YbyY data'!FL13)</f>
        <v>68147.682391259252</v>
      </c>
      <c r="J17" s="143"/>
      <c r="K17" s="117"/>
    </row>
    <row r="18" spans="1:11" ht="18.95" customHeight="1" x14ac:dyDescent="0.3">
      <c r="A18" s="117"/>
      <c r="B18" s="185" t="s">
        <v>175</v>
      </c>
      <c r="C18" s="185"/>
      <c r="D18" s="185"/>
      <c r="E18" s="118"/>
      <c r="F18" s="127">
        <f t="shared" si="0"/>
        <v>2034</v>
      </c>
      <c r="G18" s="165">
        <f>IF('YbyY data'!$A$9=39,'YbyY data'!FV14,'YbyY data'!FJ14)</f>
        <v>83469.149999999994</v>
      </c>
      <c r="H18" s="165">
        <f>IF('YbyY data'!$A$9=39,'YbyY data'!FW14,'YbyY data'!FK14)</f>
        <v>90479.406928574259</v>
      </c>
      <c r="I18" s="165">
        <f>IF('YbyY data'!$A$9=39,'YbyY data'!FX14,'YbyY data'!FL14)</f>
        <v>68137.075859429708</v>
      </c>
      <c r="J18" s="143"/>
      <c r="K18" s="117"/>
    </row>
    <row r="19" spans="1:11" ht="18.95" customHeight="1" x14ac:dyDescent="0.3">
      <c r="A19" s="117"/>
      <c r="B19" s="188">
        <f>'Input Sheet'!AA3</f>
        <v>0</v>
      </c>
      <c r="C19" s="185"/>
      <c r="D19" s="185"/>
      <c r="E19" s="117"/>
      <c r="F19" s="127">
        <f t="shared" si="0"/>
        <v>2035</v>
      </c>
      <c r="G19" s="165">
        <f>IF('YbyY data'!$A$9=39,'YbyY data'!FV15,'YbyY data'!FJ15)</f>
        <v>83446.200000000012</v>
      </c>
      <c r="H19" s="165">
        <f>IF('YbyY data'!$A$9=39,'YbyY data'!FW15,'YbyY data'!FK15)</f>
        <v>90527.881818148133</v>
      </c>
      <c r="I19" s="165">
        <f>IF('YbyY data'!$A$9=39,'YbyY data'!FX15,'YbyY data'!FL15)</f>
        <v>68147.682391259252</v>
      </c>
      <c r="J19" s="143"/>
      <c r="K19" s="117"/>
    </row>
    <row r="20" spans="1:11" ht="18.95" customHeight="1" x14ac:dyDescent="0.3">
      <c r="A20" s="117"/>
      <c r="B20" s="185" t="s">
        <v>189</v>
      </c>
      <c r="C20" s="186"/>
      <c r="D20" s="186"/>
      <c r="E20" s="117"/>
      <c r="F20" s="127">
        <f t="shared" si="0"/>
        <v>2036</v>
      </c>
      <c r="G20" s="165">
        <f>IF('YbyY data'!$A$9=39,'YbyY data'!FV16,'YbyY data'!FJ16)</f>
        <v>83469.149999999994</v>
      </c>
      <c r="H20" s="165">
        <f>IF('YbyY data'!$A$9=39,'YbyY data'!FW16,'YbyY data'!FK16)</f>
        <v>90479.406928574259</v>
      </c>
      <c r="I20" s="165">
        <f>IF('YbyY data'!$A$9=39,'YbyY data'!FX16,'YbyY data'!FL16)</f>
        <v>68137.075859429708</v>
      </c>
      <c r="J20" s="143"/>
      <c r="K20" s="117"/>
    </row>
    <row r="21" spans="1:11" ht="18.95" customHeight="1" x14ac:dyDescent="0.3">
      <c r="A21" s="117"/>
      <c r="B21" s="190">
        <f>'YbyY data'!B5</f>
        <v>2295000</v>
      </c>
      <c r="C21" s="187"/>
      <c r="D21" s="187"/>
      <c r="E21" s="117"/>
      <c r="F21" s="127">
        <f t="shared" si="0"/>
        <v>2037</v>
      </c>
      <c r="G21" s="165">
        <f>IF('YbyY data'!$A$9=39,'YbyY data'!FV17,'YbyY data'!FJ17)</f>
        <v>83446.200000000012</v>
      </c>
      <c r="H21" s="165">
        <f>IF('YbyY data'!$A$9=39,'YbyY data'!FW17,'YbyY data'!FK17)</f>
        <v>90527.881818148133</v>
      </c>
      <c r="I21" s="165">
        <f>IF('YbyY data'!$A$9=39,'YbyY data'!FX17,'YbyY data'!FL17)</f>
        <v>68147.682391259252</v>
      </c>
      <c r="J21" s="143"/>
      <c r="K21" s="117"/>
    </row>
    <row r="22" spans="1:11" ht="18.95" customHeight="1" x14ac:dyDescent="0.3">
      <c r="A22" s="117"/>
      <c r="B22" s="185" t="s">
        <v>53</v>
      </c>
      <c r="C22" s="186"/>
      <c r="D22" s="186"/>
      <c r="E22" s="117"/>
      <c r="F22" s="127">
        <f t="shared" si="0"/>
        <v>2038</v>
      </c>
      <c r="G22" s="165">
        <f>IF('YbyY data'!$A$9=39,'YbyY data'!FV18,'YbyY data'!FJ18)</f>
        <v>83469.149999999994</v>
      </c>
      <c r="H22" s="165">
        <f>IF('YbyY data'!$A$9=39,'YbyY data'!FW18,'YbyY data'!FK18)</f>
        <v>90479.406928574259</v>
      </c>
      <c r="I22" s="165">
        <f>IF('YbyY data'!$A$9=39,'YbyY data'!FX18,'YbyY data'!FL18)</f>
        <v>68137.075859429708</v>
      </c>
      <c r="J22" s="143"/>
      <c r="K22" s="117"/>
    </row>
    <row r="23" spans="1:11" ht="18.95" customHeight="1" x14ac:dyDescent="0.3">
      <c r="A23" s="117"/>
      <c r="B23" s="190">
        <f>'YbyY data'!B2</f>
        <v>255000</v>
      </c>
      <c r="C23" s="187"/>
      <c r="D23" s="187"/>
      <c r="E23" s="117"/>
      <c r="F23" s="127">
        <f t="shared" si="0"/>
        <v>2039</v>
      </c>
      <c r="G23" s="165">
        <f>IF('YbyY data'!$A$9=39,'YbyY data'!FV19,'YbyY data'!FJ19)</f>
        <v>83446.200000000012</v>
      </c>
      <c r="H23" s="165">
        <f>IF('YbyY data'!$A$9=39,'YbyY data'!FW19,'YbyY data'!FK19)</f>
        <v>90527.881818148133</v>
      </c>
      <c r="I23" s="165">
        <f>IF('YbyY data'!$A$9=39,'YbyY data'!FX19,'YbyY data'!FL19)</f>
        <v>68147.682391259252</v>
      </c>
      <c r="J23" s="143"/>
      <c r="K23" s="117"/>
    </row>
    <row r="24" spans="1:11" ht="18.95" customHeight="1" x14ac:dyDescent="0.3">
      <c r="A24" s="117"/>
      <c r="B24" s="185" t="s">
        <v>141</v>
      </c>
      <c r="C24" s="186"/>
      <c r="D24" s="186"/>
      <c r="E24" s="117"/>
      <c r="F24" s="127">
        <f t="shared" si="0"/>
        <v>2040</v>
      </c>
      <c r="G24" s="165">
        <f>IF('YbyY data'!$A$9=39,'YbyY data'!FV20,'YbyY data'!FJ20)</f>
        <v>83469.149999999994</v>
      </c>
      <c r="H24" s="165">
        <f>IF('YbyY data'!$A$9=39,'YbyY data'!FW20,'YbyY data'!FK20)</f>
        <v>71860.797704287135</v>
      </c>
      <c r="I24" s="165">
        <f>IF('YbyY data'!$A$9=39,'YbyY data'!FX20,'YbyY data'!FL20)</f>
        <v>60689.632169714852</v>
      </c>
      <c r="J24" s="143"/>
      <c r="K24" s="117"/>
    </row>
    <row r="25" spans="1:11" ht="18.95" customHeight="1" x14ac:dyDescent="0.3">
      <c r="A25" s="117"/>
      <c r="B25" s="191">
        <f>'Input Sheet'!P3</f>
        <v>45366</v>
      </c>
      <c r="C25" s="191"/>
      <c r="D25" s="191"/>
      <c r="E25" s="117"/>
      <c r="F25" s="127">
        <f t="shared" si="0"/>
        <v>2041</v>
      </c>
      <c r="G25" s="165">
        <f>IF('YbyY data'!$A$9=39,'YbyY data'!FV21,'YbyY data'!FJ21)</f>
        <v>83446.200000000012</v>
      </c>
      <c r="H25" s="165">
        <f>IF('YbyY data'!$A$9=39,'YbyY data'!FW21,'YbyY data'!FK21)</f>
        <v>53227.549440000003</v>
      </c>
      <c r="I25" s="165">
        <f>IF('YbyY data'!$A$9=39,'YbyY data'!FX21,'YbyY data'!FL21)</f>
        <v>53227.549440000003</v>
      </c>
      <c r="J25" s="143"/>
      <c r="K25" s="117"/>
    </row>
    <row r="26" spans="1:11" ht="18.95" customHeight="1" x14ac:dyDescent="0.3">
      <c r="A26" s="117"/>
      <c r="B26" s="192" t="str">
        <f>IF('Input Sheet'!$Y$3=TRUE,'Input Sheet'!$W$2,'Input Sheet'!$F$2)</f>
        <v>SqFt Building</v>
      </c>
      <c r="C26" s="193"/>
      <c r="D26" s="193"/>
      <c r="E26" s="117"/>
      <c r="F26" s="127">
        <f t="shared" si="0"/>
        <v>2042</v>
      </c>
      <c r="G26" s="165">
        <f>IF('YbyY data'!$A$9=39,'YbyY data'!FV22,'YbyY data'!FJ22)</f>
        <v>83469.149999999994</v>
      </c>
      <c r="H26" s="165">
        <f>IF('YbyY data'!$A$9=39,'YbyY data'!FW22,'YbyY data'!FK22)</f>
        <v>53242.188479999997</v>
      </c>
      <c r="I26" s="165">
        <f>IF('YbyY data'!$A$9=39,'YbyY data'!FX22,'YbyY data'!FL22)</f>
        <v>53242.188479999997</v>
      </c>
      <c r="J26" s="143"/>
      <c r="K26" s="117"/>
    </row>
    <row r="27" spans="1:11" ht="18.95" customHeight="1" x14ac:dyDescent="0.3">
      <c r="A27" s="117"/>
      <c r="B27" s="189">
        <f>IF('Input Sheet'!$Y$3=TRUE,-'Input Sheet'!$W$3,'Input Sheet'!$F$3)</f>
        <v>1500</v>
      </c>
      <c r="C27" s="194"/>
      <c r="D27" s="194"/>
      <c r="E27" s="117"/>
      <c r="F27" s="127">
        <f t="shared" si="0"/>
        <v>2043</v>
      </c>
      <c r="G27" s="165">
        <f>IF('YbyY data'!$A$9=39,'YbyY data'!FV23,'YbyY data'!FJ23)</f>
        <v>83446.200000000012</v>
      </c>
      <c r="H27" s="165">
        <f>IF('YbyY data'!$A$9=39,'YbyY data'!FW23,'YbyY data'!FK23)</f>
        <v>53227.549440000003</v>
      </c>
      <c r="I27" s="165">
        <f>IF('YbyY data'!$A$9=39,'YbyY data'!FX23,'YbyY data'!FL23)</f>
        <v>53227.549440000003</v>
      </c>
      <c r="J27" s="143"/>
      <c r="K27" s="117"/>
    </row>
    <row r="28" spans="1:11" ht="18.95" customHeight="1" x14ac:dyDescent="0.3">
      <c r="A28" s="117"/>
      <c r="B28" s="192" t="str">
        <f>IF('Input Sheet'!$Y$3=TRUE,'Input Sheet'!$F$2,'Input Sheet'!$H$2)</f>
        <v>Acres Land</v>
      </c>
      <c r="C28" s="192" t="str">
        <f>IF('Input Sheet'!$Y$3=TRUE,'Input Sheet'!$H$2," ")</f>
        <v xml:space="preserve"> </v>
      </c>
      <c r="D28" s="192"/>
      <c r="E28" s="117"/>
      <c r="F28" s="127">
        <f t="shared" si="0"/>
        <v>2044</v>
      </c>
      <c r="G28" s="165">
        <f>IF('YbyY data'!$A$9=39,'YbyY data'!FV24,'YbyY data'!FJ24)</f>
        <v>83469.149999999994</v>
      </c>
      <c r="H28" s="165">
        <f>IF('YbyY data'!$A$9=39,'YbyY data'!FW24,'YbyY data'!FK24)</f>
        <v>53242.188479999997</v>
      </c>
      <c r="I28" s="165">
        <f>IF('YbyY data'!$A$9=39,'YbyY data'!FX24,'YbyY data'!FL24)</f>
        <v>53242.188479999997</v>
      </c>
      <c r="J28" s="143"/>
      <c r="K28" s="117"/>
    </row>
    <row r="29" spans="1:11" ht="18.95" customHeight="1" x14ac:dyDescent="0.3">
      <c r="A29" s="117"/>
      <c r="B29" s="195">
        <f>IF('Input Sheet'!$Y$3=TRUE,'Input Sheet'!$F$3,'Input Sheet'!$H$3)</f>
        <v>0.78</v>
      </c>
      <c r="C29" s="192" t="str">
        <f>IF('Input Sheet'!$Y$3=TRUE,'Input Sheet'!$H$3," ")</f>
        <v xml:space="preserve"> </v>
      </c>
      <c r="D29" s="192"/>
      <c r="E29" s="117"/>
      <c r="F29" s="127">
        <f t="shared" si="0"/>
        <v>2045</v>
      </c>
      <c r="G29" s="165">
        <f>IF('YbyY data'!$A$9=39,'YbyY data'!FV25,'YbyY data'!FJ25)</f>
        <v>83446.200000000012</v>
      </c>
      <c r="H29" s="165">
        <f>IF('YbyY data'!$A$9=39,'YbyY data'!FW25,'YbyY data'!FK25)</f>
        <v>53227.549440000003</v>
      </c>
      <c r="I29" s="165">
        <f>IF('YbyY data'!$A$9=39,'YbyY data'!FX25,'YbyY data'!FL25)</f>
        <v>53227.549440000003</v>
      </c>
      <c r="J29" s="143"/>
      <c r="K29" s="117"/>
    </row>
    <row r="30" spans="1:11" ht="18.95" customHeight="1" x14ac:dyDescent="0.3">
      <c r="A30" s="117"/>
      <c r="B30" s="177" t="str">
        <f>"Due Date"</f>
        <v>Due Date</v>
      </c>
      <c r="C30" s="230" t="str">
        <f>_xlfn.CONCAT('Input Sheet'!$R$7," ",'Input Sheet'!$R$3)</f>
        <v>October 2025</v>
      </c>
      <c r="D30" s="231"/>
      <c r="E30" s="117"/>
      <c r="F30" s="127">
        <f t="shared" si="0"/>
        <v>2046</v>
      </c>
      <c r="G30" s="165">
        <f>IF('YbyY data'!$A$9=39,'YbyY data'!FV26,'YbyY data'!FJ26)</f>
        <v>83469.149999999994</v>
      </c>
      <c r="H30" s="165">
        <f>IF('YbyY data'!$A$9=39,'YbyY data'!FW26,'YbyY data'!FK26)</f>
        <v>53242.188479999997</v>
      </c>
      <c r="I30" s="165">
        <f>IF('YbyY data'!$A$9=39,'YbyY data'!FX26,'YbyY data'!FL26)</f>
        <v>53242.188479999997</v>
      </c>
      <c r="J30" s="143"/>
      <c r="K30" s="117"/>
    </row>
    <row r="31" spans="1:11" ht="18.95" customHeight="1" x14ac:dyDescent="0.3">
      <c r="A31" s="117"/>
      <c r="B31" s="178"/>
      <c r="C31" s="179"/>
      <c r="D31" s="179"/>
      <c r="E31" s="117"/>
      <c r="F31" s="127">
        <f t="shared" si="0"/>
        <v>2047</v>
      </c>
      <c r="G31" s="165">
        <f>IF('YbyY data'!$A$9=39,'YbyY data'!FV27,'YbyY data'!FJ27)</f>
        <v>83446.200000000012</v>
      </c>
      <c r="H31" s="165">
        <f>IF('YbyY data'!$A$9=39,'YbyY data'!FW27,'YbyY data'!FK27)</f>
        <v>53227.549440000003</v>
      </c>
      <c r="I31" s="165">
        <f>IF('YbyY data'!$A$9=39,'YbyY data'!FX27,'YbyY data'!FL27)</f>
        <v>53227.549440000003</v>
      </c>
      <c r="J31" s="143"/>
      <c r="K31" s="117"/>
    </row>
    <row r="32" spans="1:11" ht="18.95" customHeight="1" x14ac:dyDescent="0.35">
      <c r="A32" s="117"/>
      <c r="B32" s="152" t="s">
        <v>197</v>
      </c>
      <c r="C32" s="153"/>
      <c r="D32" s="153"/>
      <c r="E32" s="117"/>
      <c r="F32" s="127">
        <f t="shared" si="0"/>
        <v>2048</v>
      </c>
      <c r="G32" s="165">
        <f>IF('YbyY data'!$A$9=39,'YbyY data'!FV28,'YbyY data'!FJ28)</f>
        <v>83469.149999999994</v>
      </c>
      <c r="H32" s="165">
        <f>IF('YbyY data'!$A$9=39,'YbyY data'!FW28,'YbyY data'!FK28)</f>
        <v>53242.188479999997</v>
      </c>
      <c r="I32" s="165">
        <f>IF('YbyY data'!$A$9=39,'YbyY data'!FX28,'YbyY data'!FL28)</f>
        <v>53242.188479999997</v>
      </c>
      <c r="J32" s="143"/>
      <c r="K32" s="117"/>
    </row>
    <row r="33" spans="1:11" ht="18.95" customHeight="1" x14ac:dyDescent="0.3">
      <c r="A33" s="117"/>
      <c r="B33" s="154" t="s">
        <v>210</v>
      </c>
      <c r="C33" s="153"/>
      <c r="D33" s="153"/>
      <c r="E33" s="117"/>
      <c r="F33" s="127">
        <f t="shared" si="0"/>
        <v>2049</v>
      </c>
      <c r="G33" s="165">
        <f>IF('YbyY data'!$A$9=39,'YbyY data'!FV29,'YbyY data'!FJ29)</f>
        <v>83446.200000000012</v>
      </c>
      <c r="H33" s="165">
        <f>IF('YbyY data'!$A$9=39,'YbyY data'!FW29,'YbyY data'!FK29)</f>
        <v>53227.549440000003</v>
      </c>
      <c r="I33" s="165">
        <f>IF('YbyY data'!$A$9=39,'YbyY data'!FX29,'YbyY data'!FL29)</f>
        <v>53227.549440000003</v>
      </c>
      <c r="J33" s="143"/>
      <c r="K33" s="117"/>
    </row>
    <row r="34" spans="1:11" ht="18.95" customHeight="1" x14ac:dyDescent="0.3">
      <c r="A34" s="117"/>
      <c r="B34" s="155" t="s">
        <v>287</v>
      </c>
      <c r="C34" s="153"/>
      <c r="D34" s="153"/>
      <c r="E34" s="117"/>
      <c r="F34" s="127">
        <f t="shared" si="0"/>
        <v>2050</v>
      </c>
      <c r="G34" s="165">
        <f>IF('YbyY data'!$A$9=39,'YbyY data'!FV30,'YbyY data'!FJ30)</f>
        <v>83469.149999999994</v>
      </c>
      <c r="H34" s="165">
        <f>IF('YbyY data'!$A$9=39,'YbyY data'!FW30,'YbyY data'!FK30)</f>
        <v>53242.188479999997</v>
      </c>
      <c r="I34" s="165">
        <f>IF('YbyY data'!$A$9=39,'YbyY data'!FX30,'YbyY data'!FL30)</f>
        <v>53242.188479999997</v>
      </c>
      <c r="J34" s="143"/>
      <c r="K34" s="117"/>
    </row>
    <row r="35" spans="1:11" ht="18.95" customHeight="1" x14ac:dyDescent="0.3">
      <c r="A35" s="117"/>
      <c r="B35" s="174" t="s">
        <v>198</v>
      </c>
      <c r="C35" s="153"/>
      <c r="D35" s="153"/>
      <c r="E35" s="117"/>
      <c r="F35" s="127">
        <f t="shared" si="0"/>
        <v>2051</v>
      </c>
      <c r="G35" s="165">
        <f>IF('YbyY data'!$A$9=39,'YbyY data'!FV31,'YbyY data'!FJ31)</f>
        <v>83446.200000000012</v>
      </c>
      <c r="H35" s="165">
        <f>IF('YbyY data'!$A$9=39,'YbyY data'!FW31,'YbyY data'!FK31)</f>
        <v>53227.549440000003</v>
      </c>
      <c r="I35" s="165">
        <f>IF('YbyY data'!$A$9=39,'YbyY data'!FX31,'YbyY data'!FL31)</f>
        <v>53227.549440000003</v>
      </c>
      <c r="J35" s="143"/>
      <c r="K35" s="117"/>
    </row>
    <row r="36" spans="1:11" ht="18.95" customHeight="1" x14ac:dyDescent="0.3">
      <c r="A36" s="117"/>
      <c r="B36" s="155" t="s">
        <v>199</v>
      </c>
      <c r="C36" s="153"/>
      <c r="D36" s="153"/>
      <c r="E36" s="117"/>
      <c r="F36" s="127">
        <f t="shared" si="0"/>
        <v>2052</v>
      </c>
      <c r="G36" s="165">
        <f>IF('YbyY data'!$A$9=39,'YbyY data'!FV32,'YbyY data'!FJ32)</f>
        <v>59119.200000000004</v>
      </c>
      <c r="H36" s="165">
        <f>IF('YbyY data'!$A$9=39,'YbyY data'!FW32,'YbyY data'!FK32)</f>
        <v>37710.16704</v>
      </c>
      <c r="I36" s="165">
        <f>IF('YbyY data'!$A$9=39,'YbyY data'!FX32,'YbyY data'!FL32)</f>
        <v>37710.16704</v>
      </c>
      <c r="J36" s="143"/>
      <c r="K36" s="117"/>
    </row>
    <row r="37" spans="1:11" ht="18.95" customHeight="1" x14ac:dyDescent="0.3">
      <c r="A37" s="117"/>
      <c r="B37" s="180" t="s">
        <v>195</v>
      </c>
      <c r="C37" s="153"/>
      <c r="D37" s="153"/>
      <c r="E37" s="117"/>
      <c r="F37" s="127">
        <f t="shared" si="0"/>
        <v>2053</v>
      </c>
      <c r="G37" s="165">
        <f>IF('YbyY data'!$A$9=39,'YbyY data'!FV33,'YbyY data'!FJ33)</f>
        <v>0</v>
      </c>
      <c r="H37" s="165">
        <f>IF('YbyY data'!$A$9=39,'YbyY data'!FW33,'YbyY data'!FK33)</f>
        <v>0</v>
      </c>
      <c r="I37" s="165">
        <f>IF('YbyY data'!$A$9=39,'YbyY data'!FX33,'YbyY data'!FL33)</f>
        <v>0</v>
      </c>
      <c r="J37" s="143"/>
      <c r="K37" s="117"/>
    </row>
    <row r="38" spans="1:11" ht="18.95" customHeight="1" x14ac:dyDescent="0.3">
      <c r="A38" s="117"/>
      <c r="B38" s="155" t="s">
        <v>196</v>
      </c>
      <c r="C38" s="153"/>
      <c r="D38" s="153"/>
      <c r="E38" s="117"/>
      <c r="F38" s="127">
        <f t="shared" si="0"/>
        <v>2054</v>
      </c>
      <c r="G38" s="165">
        <f>IF('YbyY data'!$A$9=39,'YbyY data'!FV34,'YbyY data'!FJ34)</f>
        <v>0</v>
      </c>
      <c r="H38" s="165">
        <f>IF('YbyY data'!$A$9=39,'YbyY data'!FW34,'YbyY data'!FK34)</f>
        <v>0</v>
      </c>
      <c r="I38" s="165">
        <f>IF('YbyY data'!$A$9=39,'YbyY data'!FX34,'YbyY data'!FL34)</f>
        <v>0</v>
      </c>
      <c r="J38" s="143"/>
      <c r="K38" s="117"/>
    </row>
    <row r="39" spans="1:11" ht="18.95" customHeight="1" x14ac:dyDescent="0.3">
      <c r="A39" s="117"/>
      <c r="B39" s="118"/>
      <c r="C39" s="118"/>
      <c r="D39" s="118"/>
      <c r="E39" s="117"/>
      <c r="F39" s="127">
        <f t="shared" si="0"/>
        <v>2055</v>
      </c>
      <c r="G39" s="165">
        <f>IF('YbyY data'!$A$9=39,'YbyY data'!FV35,'YbyY data'!FJ35)</f>
        <v>0</v>
      </c>
      <c r="H39" s="165">
        <f>IF('YbyY data'!$A$9=39,'YbyY data'!FW35,'YbyY data'!FK35)</f>
        <v>0</v>
      </c>
      <c r="I39" s="165">
        <f>IF('YbyY data'!$A$9=39,'YbyY data'!FX35,'YbyY data'!FL35)</f>
        <v>0</v>
      </c>
      <c r="J39" s="143"/>
      <c r="K39" s="117"/>
    </row>
    <row r="40" spans="1:11" ht="18.95" customHeight="1" x14ac:dyDescent="0.3">
      <c r="A40" s="117"/>
      <c r="B40" s="173" t="str">
        <f>'VLOOKUP Tables'!AL3</f>
        <v>Engagement Fee</v>
      </c>
      <c r="C40" s="118"/>
      <c r="D40" s="118"/>
      <c r="E40" s="117"/>
      <c r="F40" s="127">
        <f t="shared" si="0"/>
        <v>2056</v>
      </c>
      <c r="G40" s="165">
        <f>IF('YbyY data'!$A$9=39,'YbyY data'!FV36,'YbyY data'!FJ36)</f>
        <v>0</v>
      </c>
      <c r="H40" s="165">
        <f>IF('YbyY data'!$A$9=39,'YbyY data'!FW36,'YbyY data'!FK36)</f>
        <v>0</v>
      </c>
      <c r="I40" s="165">
        <f>IF('YbyY data'!$A$9=39,'YbyY data'!FX36,'YbyY data'!FL36)</f>
        <v>0</v>
      </c>
      <c r="J40" s="143"/>
      <c r="K40" s="117"/>
    </row>
    <row r="41" spans="1:11" ht="18.95" customHeight="1" x14ac:dyDescent="0.35">
      <c r="A41" s="117"/>
      <c r="B41" s="244">
        <f>'Input Sheet'!D22</f>
        <v>2900</v>
      </c>
      <c r="C41" s="126"/>
      <c r="D41" s="126"/>
      <c r="E41" s="117"/>
      <c r="F41" s="127">
        <f t="shared" si="0"/>
        <v>2057</v>
      </c>
      <c r="G41" s="165">
        <f>IF('YbyY data'!$A$9=39,'YbyY data'!FV37,'YbyY data'!FJ37)</f>
        <v>0</v>
      </c>
      <c r="H41" s="165">
        <f>IF('YbyY data'!$A$9=39,'YbyY data'!FW37,'YbyY data'!FK37)</f>
        <v>0</v>
      </c>
      <c r="I41" s="165">
        <f>IF('YbyY data'!$A$9=39,'YbyY data'!FX37,'YbyY data'!FL37)</f>
        <v>0</v>
      </c>
      <c r="J41" s="143"/>
      <c r="K41" s="117"/>
    </row>
    <row r="42" spans="1:11" ht="18.95" customHeight="1" x14ac:dyDescent="0.3">
      <c r="A42" s="117"/>
      <c r="B42" s="245"/>
      <c r="C42" s="121"/>
      <c r="D42" s="121"/>
      <c r="E42" s="117"/>
      <c r="F42" s="127">
        <f t="shared" si="0"/>
        <v>2058</v>
      </c>
      <c r="G42" s="165">
        <f>IF('YbyY data'!$A$9=39,'YbyY data'!FV38,'YbyY data'!FJ38)</f>
        <v>0</v>
      </c>
      <c r="H42" s="165">
        <f>IF('YbyY data'!$A$9=39,'YbyY data'!FW38,'YbyY data'!FK38)</f>
        <v>0</v>
      </c>
      <c r="I42" s="165">
        <f>IF('YbyY data'!$A$9=39,'YbyY data'!FX38,'YbyY data'!FL38)</f>
        <v>0</v>
      </c>
      <c r="J42" s="143"/>
      <c r="K42" s="117"/>
    </row>
    <row r="43" spans="1:11" ht="18.95" customHeight="1" x14ac:dyDescent="0.3">
      <c r="A43" s="117"/>
      <c r="B43" s="200" t="str">
        <f>'VLOOKUP Tables'!AL4</f>
        <v>Rush Fee</v>
      </c>
      <c r="C43" s="120"/>
      <c r="D43" s="120"/>
      <c r="E43" s="117"/>
      <c r="F43" s="127">
        <f t="shared" si="0"/>
        <v>2059</v>
      </c>
      <c r="G43" s="165">
        <f>IF('YbyY data'!$A$9=39,'YbyY data'!FV39,'YbyY data'!FJ39)</f>
        <v>0</v>
      </c>
      <c r="H43" s="165">
        <f>IF('YbyY data'!$A$9=39,'YbyY data'!FW39,'YbyY data'!FK39)</f>
        <v>0</v>
      </c>
      <c r="I43" s="165">
        <f>IF('YbyY data'!$A$9=39,'YbyY data'!FX39,'YbyY data'!FL39)</f>
        <v>0</v>
      </c>
      <c r="J43" s="143"/>
      <c r="K43" s="117"/>
    </row>
    <row r="44" spans="1:11" ht="18.95" customHeight="1" x14ac:dyDescent="0.3">
      <c r="A44" s="117"/>
      <c r="B44" s="201" t="str">
        <f>'Input Sheet'!AH3</f>
        <v>No Rush</v>
      </c>
      <c r="C44" s="121"/>
      <c r="D44" s="121"/>
      <c r="E44" s="117"/>
      <c r="F44" s="127">
        <f t="shared" si="0"/>
        <v>2060</v>
      </c>
      <c r="G44" s="165">
        <f>IF('YbyY data'!$A$9=39,'YbyY data'!FV40,'YbyY data'!FJ40)</f>
        <v>0</v>
      </c>
      <c r="H44" s="165">
        <f>IF('YbyY data'!$A$9=39,'YbyY data'!FW40,'YbyY data'!FK40)</f>
        <v>0</v>
      </c>
      <c r="I44" s="165">
        <f>IF('YbyY data'!$A$9=39,'YbyY data'!FX40,'YbyY data'!FL40)</f>
        <v>0</v>
      </c>
      <c r="J44" s="143"/>
      <c r="K44" s="117"/>
    </row>
    <row r="45" spans="1:11" ht="18.95" customHeight="1" x14ac:dyDescent="0.3">
      <c r="A45" s="117"/>
      <c r="B45" s="216" t="s">
        <v>243</v>
      </c>
      <c r="C45" s="120"/>
      <c r="D45" s="120"/>
      <c r="E45" s="117"/>
      <c r="F45" s="127">
        <f t="shared" si="0"/>
        <v>2061</v>
      </c>
      <c r="G45" s="165">
        <f>IF('YbyY data'!$A$9=39,'YbyY data'!FV41,'YbyY data'!FJ41)</f>
        <v>0</v>
      </c>
      <c r="H45" s="165">
        <f>IF('YbyY data'!$A$9=39,'YbyY data'!FW41,'YbyY data'!FK41)</f>
        <v>0</v>
      </c>
      <c r="I45" s="165">
        <f>IF('YbyY data'!$A$9=39,'YbyY data'!FX41,'YbyY data'!FL41)</f>
        <v>0</v>
      </c>
      <c r="J45" s="143"/>
      <c r="K45" s="117"/>
    </row>
    <row r="46" spans="1:11" ht="18.95" customHeight="1" x14ac:dyDescent="0.3">
      <c r="A46" s="117"/>
      <c r="B46" s="217" t="s">
        <v>240</v>
      </c>
      <c r="C46" s="121"/>
      <c r="D46" s="121"/>
      <c r="E46" s="117"/>
      <c r="F46" s="127">
        <f t="shared" si="0"/>
        <v>2062</v>
      </c>
      <c r="G46" s="165">
        <f>IF('YbyY data'!$A$9=39,'YbyY data'!FV42,'YbyY data'!FJ42)</f>
        <v>0</v>
      </c>
      <c r="H46" s="165">
        <f>IF('YbyY data'!$A$9=39,'YbyY data'!FW42,'YbyY data'!FK42)</f>
        <v>0</v>
      </c>
      <c r="I46" s="165">
        <f>IF('YbyY data'!$A$9=39,'YbyY data'!FX42,'YbyY data'!FL42)</f>
        <v>0</v>
      </c>
      <c r="J46" s="143"/>
      <c r="K46" s="117"/>
    </row>
    <row r="47" spans="1:11" ht="18.95" customHeight="1" x14ac:dyDescent="0.3">
      <c r="A47" s="117"/>
      <c r="B47" s="181" t="s">
        <v>183</v>
      </c>
      <c r="C47" s="120"/>
      <c r="D47" s="120"/>
      <c r="E47" s="117"/>
      <c r="F47" s="127">
        <f t="shared" si="0"/>
        <v>2063</v>
      </c>
      <c r="G47" s="165">
        <f>IF('YbyY data'!$A$9=39,'YbyY data'!FV43,'YbyY data'!FJ43)</f>
        <v>0</v>
      </c>
      <c r="H47" s="165">
        <f>IF('YbyY data'!$A$9=39,'YbyY data'!FW43,'YbyY data'!FK43)</f>
        <v>0</v>
      </c>
      <c r="I47" s="165">
        <f>IF('YbyY data'!$A$9=39,'YbyY data'!FX43,'YbyY data'!FL43)</f>
        <v>0</v>
      </c>
      <c r="J47" s="143"/>
      <c r="K47" s="117"/>
    </row>
    <row r="48" spans="1:11" ht="18.95" customHeight="1" x14ac:dyDescent="0.3">
      <c r="A48" s="117"/>
      <c r="B48" s="182">
        <f>IF(AND('Input Sheet'!AD3=TRUE, 'Input Sheet'!AF3="X1ZHYVML"),'Input Sheet'!AE9,'Input Sheet'!$F$17)</f>
        <v>3669.8431692000008</v>
      </c>
      <c r="C48" s="121"/>
      <c r="D48" s="121"/>
      <c r="E48" s="117"/>
      <c r="F48" s="127">
        <f t="shared" si="0"/>
        <v>2064</v>
      </c>
      <c r="G48" s="165">
        <f>IF('YbyY data'!$A$9=39,'YbyY data'!FV44,'YbyY data'!FJ44)</f>
        <v>0</v>
      </c>
      <c r="H48" s="165">
        <f>IF('YbyY data'!$A$9=39,'YbyY data'!FW44,'YbyY data'!FK44)</f>
        <v>0</v>
      </c>
      <c r="I48" s="165">
        <f>IF('YbyY data'!$A$9=39,'YbyY data'!FX44,'YbyY data'!FL44)</f>
        <v>0</v>
      </c>
      <c r="J48" s="143"/>
      <c r="K48" s="117"/>
    </row>
    <row r="49" spans="1:11" ht="18.95" customHeight="1" x14ac:dyDescent="0.3">
      <c r="A49" s="117"/>
      <c r="B49" s="183" t="s">
        <v>142</v>
      </c>
      <c r="C49" s="123"/>
      <c r="D49" s="123"/>
      <c r="E49" s="117"/>
      <c r="F49" s="127">
        <f t="shared" si="0"/>
        <v>2065</v>
      </c>
      <c r="G49" s="165">
        <f>IF('YbyY data'!$A$9=39,'YbyY data'!FV45,'YbyY data'!FJ45)</f>
        <v>0</v>
      </c>
      <c r="H49" s="165">
        <f>IF('YbyY data'!$A$9=39,'YbyY data'!FW45,'YbyY data'!FK45)</f>
        <v>0</v>
      </c>
      <c r="I49" s="165">
        <f>IF('YbyY data'!$A$9=39,'YbyY data'!FX45,'YbyY data'!FL45)</f>
        <v>0</v>
      </c>
      <c r="J49" s="143"/>
      <c r="K49" s="117"/>
    </row>
    <row r="50" spans="1:11" ht="18.95" customHeight="1" x14ac:dyDescent="0.3">
      <c r="A50" s="117"/>
      <c r="B50" s="117"/>
      <c r="C50" s="117"/>
      <c r="D50" s="117"/>
      <c r="E50" s="117"/>
      <c r="F50" s="122"/>
      <c r="G50" s="166"/>
      <c r="H50" s="166"/>
      <c r="I50" s="166"/>
      <c r="J50" s="143"/>
      <c r="K50" s="117"/>
    </row>
    <row r="51" spans="1:11" ht="18.95" customHeight="1" x14ac:dyDescent="0.3">
      <c r="A51" s="117"/>
      <c r="B51" s="117"/>
      <c r="C51" s="117"/>
      <c r="D51" s="117"/>
      <c r="E51" s="117"/>
      <c r="F51" s="198" t="s">
        <v>143</v>
      </c>
      <c r="G51" s="199">
        <f>SUM(G9:G48)</f>
        <v>2294999.9999999995</v>
      </c>
      <c r="H51" s="199">
        <f>SUM(H9:H48)</f>
        <v>2295000</v>
      </c>
      <c r="I51" s="199">
        <f>SUM(I9:I48)</f>
        <v>2295000.0000000014</v>
      </c>
      <c r="J51" s="143"/>
      <c r="K51" s="117"/>
    </row>
    <row r="52" spans="1:11" ht="18.95" customHeight="1" x14ac:dyDescent="0.3">
      <c r="B52" s="232" t="s">
        <v>232</v>
      </c>
      <c r="C52" s="232"/>
      <c r="D52" s="232"/>
      <c r="E52" s="232"/>
      <c r="F52" s="232"/>
      <c r="G52" s="232"/>
      <c r="H52" s="232"/>
      <c r="I52" s="232"/>
      <c r="J52" s="161"/>
      <c r="K52" s="117"/>
    </row>
    <row r="53" spans="1:11" ht="18.95" customHeight="1" x14ac:dyDescent="0.3">
      <c r="A53" s="161"/>
      <c r="B53" s="232"/>
      <c r="C53" s="232"/>
      <c r="D53" s="232"/>
      <c r="E53" s="232"/>
      <c r="F53" s="232"/>
      <c r="G53" s="232"/>
      <c r="H53" s="232"/>
      <c r="I53" s="232"/>
      <c r="J53" s="161"/>
      <c r="K53" s="117"/>
    </row>
    <row r="54" spans="1:11" ht="18.95" customHeight="1" x14ac:dyDescent="0.3">
      <c r="A54" s="161"/>
      <c r="B54" s="232"/>
      <c r="C54" s="232"/>
      <c r="D54" s="232"/>
      <c r="E54" s="232"/>
      <c r="F54" s="232"/>
      <c r="G54" s="232"/>
      <c r="H54" s="232"/>
      <c r="I54" s="232"/>
      <c r="J54" s="161"/>
      <c r="K54" s="117"/>
    </row>
    <row r="55" spans="1:11" ht="18.95" customHeight="1" x14ac:dyDescent="0.3">
      <c r="A55" s="161"/>
      <c r="B55" s="232"/>
      <c r="C55" s="232"/>
      <c r="D55" s="232"/>
      <c r="E55" s="232"/>
      <c r="F55" s="232"/>
      <c r="G55" s="232"/>
      <c r="H55" s="232"/>
      <c r="I55" s="232"/>
      <c r="J55" s="161"/>
      <c r="K55" s="117"/>
    </row>
    <row r="56" spans="1:11" ht="18.95" customHeight="1" x14ac:dyDescent="0.3">
      <c r="A56" s="161"/>
      <c r="B56" s="161"/>
      <c r="C56" s="161"/>
      <c r="D56" s="161"/>
      <c r="E56" s="161"/>
      <c r="F56" s="161"/>
      <c r="G56" s="161"/>
      <c r="H56" s="161"/>
      <c r="I56" s="161"/>
      <c r="J56" s="161"/>
      <c r="K56" s="117"/>
    </row>
    <row r="57" spans="1:11" ht="18.95" customHeight="1" x14ac:dyDescent="0.3">
      <c r="A57" s="161"/>
      <c r="B57" s="161"/>
      <c r="C57" s="161"/>
      <c r="D57" s="161"/>
      <c r="E57" s="161"/>
      <c r="F57" s="161"/>
      <c r="G57" s="161"/>
      <c r="H57" s="226" t="e">
        <f>"||Name_of_Prospect:"&amp;A2&amp;"||Address_of_Property:"&amp;B2&amp;"||Zip_Code:"&amp;C2&amp;"||Purchase_Price:"&amp;D2&amp;"||Capital_Improvements_Amount:"&amp;E2&amp;"||Building_Value:"&amp;F2&amp;"||Know_Land_Value:"&amp;G2&amp;"||Date_of_Purchase:="&amp;TEXT(H2,"mm/dd/yyyy")&amp;"||SqFt_Building:"&amp;I2&amp;"||Acres_Land:"&amp;J2&amp;"||Year_Built:"&amp;K2&amp;"||Bid_Amount_Original:"&amp;L2&amp;"||Pay_Upfront:"&amp;M2&amp;"||Pay_50_50_Amount:"&amp;N2&amp;"||Pay_Over_Time:"&amp;#REF!&amp;"||Rush_Fee:"&amp;O2&amp;"||Multiple_Properties_Quote:"&amp;P2&amp;"||First_Year_Bonus_Quote:"&amp;Q2&amp;"||Tax_Year:"&amp;R2&amp;"||Tax_Deadline_Quote:"&amp;S2&amp;"||"</f>
        <v>#REF!</v>
      </c>
      <c r="I57" s="161"/>
      <c r="J57" s="161"/>
      <c r="K57" s="117"/>
    </row>
    <row r="58" spans="1:11" ht="18.95" customHeight="1" x14ac:dyDescent="0.3">
      <c r="A58" s="142" t="str">
        <f>'Input Sheet'!J3</f>
        <v>Multi-Family</v>
      </c>
      <c r="B58" s="161"/>
      <c r="C58" s="161"/>
      <c r="D58" s="161"/>
      <c r="E58" s="176"/>
      <c r="F58" s="212">
        <f>'Input Sheet'!AN3</f>
        <v>0</v>
      </c>
      <c r="G58" s="162">
        <f>IF('Input Sheet'!AD3=TRUE,'Input Sheet'!AF5,'Input Sheet'!AF4)</f>
        <v>0</v>
      </c>
      <c r="H58" s="125"/>
      <c r="I58" s="125"/>
      <c r="J58" s="125"/>
      <c r="K58" s="117"/>
    </row>
    <row r="59" spans="1:11" ht="18.95" customHeight="1" x14ac:dyDescent="0.3">
      <c r="A59" s="117"/>
      <c r="B59" s="124">
        <f ca="1">TODAY()</f>
        <v>45946</v>
      </c>
      <c r="C59" s="176" t="str">
        <f>IF('Input Sheet'!AD3,'Input Sheet'!AE5,"*Previously Accumulated Depreciation")</f>
        <v>*Previously Accumulated Depreciation</v>
      </c>
      <c r="D59" s="176"/>
      <c r="E59" s="125"/>
      <c r="F59" s="125"/>
      <c r="G59" s="125"/>
      <c r="H59" s="125"/>
      <c r="I59" s="125"/>
      <c r="J59" s="117"/>
      <c r="K59" s="117"/>
    </row>
    <row r="60" spans="1:11" ht="18.95" customHeight="1" x14ac:dyDescent="0.3">
      <c r="A60" s="117"/>
      <c r="B60" s="117"/>
      <c r="C60" s="117"/>
      <c r="D60" s="117"/>
      <c r="E60" s="125"/>
      <c r="F60" s="125"/>
      <c r="G60" s="125"/>
      <c r="H60" s="125"/>
      <c r="I60" s="125"/>
      <c r="J60" s="117"/>
      <c r="K60" s="117"/>
    </row>
    <row r="61" spans="1:11" ht="18.95" customHeight="1" x14ac:dyDescent="0.3">
      <c r="B61" s="117"/>
      <c r="C61" s="117"/>
      <c r="D61" s="117"/>
      <c r="E61" s="116"/>
      <c r="F61" s="116"/>
      <c r="G61" s="116"/>
      <c r="H61" s="116"/>
      <c r="I61" s="116"/>
    </row>
  </sheetData>
  <mergeCells count="7">
    <mergeCell ref="B52:I55"/>
    <mergeCell ref="F7:G7"/>
    <mergeCell ref="H7:I7"/>
    <mergeCell ref="B13:C13"/>
    <mergeCell ref="B14:B15"/>
    <mergeCell ref="C30:D30"/>
    <mergeCell ref="B41:B42"/>
  </mergeCells>
  <conditionalFormatting sqref="B27">
    <cfRule type="cellIs" dxfId="3" priority="2" operator="greaterThanOrEqual">
      <formula>1</formula>
    </cfRule>
  </conditionalFormatting>
  <conditionalFormatting sqref="B40:B44">
    <cfRule type="beginsWith" dxfId="2" priority="1" operator="beginsWith" text="B438rh*dkdu">
      <formula>LEFT(B40,LEN("B438rh*dkdu"))="B438rh*dkdu"</formula>
    </cfRule>
  </conditionalFormatting>
  <hyperlinks>
    <hyperlink ref="B35" r:id="rId1" xr:uid="{520EF2EA-2D21-4340-9946-61817B2E2D0D}"/>
  </hyperlinks>
  <pageMargins left="0.25" right="0.25" top="0.25" bottom="0" header="0" footer="0"/>
  <pageSetup scale="72" fitToHeight="0" orientation="portrait" r:id="rId2"/>
  <drawing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EA26A-4AB7-400A-BF23-76EDEFCCD896}">
  <sheetPr>
    <pageSetUpPr fitToPage="1"/>
  </sheetPr>
  <dimension ref="A1:T62"/>
  <sheetViews>
    <sheetView topLeftCell="A19" zoomScale="97" zoomScaleNormal="70" workbookViewId="0">
      <selection activeCell="H58" sqref="H58"/>
    </sheetView>
  </sheetViews>
  <sheetFormatPr defaultColWidth="8.85546875" defaultRowHeight="18.95" customHeight="1" x14ac:dyDescent="0.3"/>
  <cols>
    <col min="1" max="1" width="8.85546875" style="115"/>
    <col min="2" max="2" width="29" style="115" bestFit="1" customWidth="1"/>
    <col min="3" max="3" width="10.7109375" style="115" customWidth="1"/>
    <col min="4" max="4" width="5.140625" style="115" customWidth="1"/>
    <col min="5" max="5" width="12.7109375" style="115" customWidth="1"/>
    <col min="6" max="6" width="12.28515625" style="115" customWidth="1"/>
    <col min="7" max="7" width="15.140625" style="115" customWidth="1"/>
    <col min="8" max="8" width="17.7109375" style="115" customWidth="1"/>
    <col min="9" max="9" width="14" style="115" bestFit="1" customWidth="1"/>
    <col min="10" max="10" width="15.140625" style="115" customWidth="1"/>
    <col min="11" max="16384" width="8.85546875" style="115"/>
  </cols>
  <sheetData>
    <row r="1" spans="1:20" ht="18.95" customHeight="1" x14ac:dyDescent="0.3">
      <c r="A1" s="117" t="s">
        <v>253</v>
      </c>
      <c r="B1" s="117" t="s">
        <v>254</v>
      </c>
      <c r="C1" s="117" t="s">
        <v>255</v>
      </c>
      <c r="D1" s="117" t="s">
        <v>256</v>
      </c>
      <c r="E1" s="117" t="s">
        <v>257</v>
      </c>
      <c r="F1" s="117" t="s">
        <v>258</v>
      </c>
      <c r="G1" s="117" t="s">
        <v>259</v>
      </c>
      <c r="H1" s="117" t="s">
        <v>260</v>
      </c>
      <c r="I1" s="117" t="s">
        <v>261</v>
      </c>
      <c r="J1" s="117" t="s">
        <v>262</v>
      </c>
      <c r="K1" s="117" t="s">
        <v>263</v>
      </c>
      <c r="L1" s="117" t="s">
        <v>264</v>
      </c>
      <c r="M1" s="117" t="s">
        <v>265</v>
      </c>
      <c r="N1" s="117" t="s">
        <v>266</v>
      </c>
      <c r="O1" s="117" t="s">
        <v>267</v>
      </c>
      <c r="P1" s="117" t="s">
        <v>268</v>
      </c>
      <c r="Q1" s="117" t="s">
        <v>269</v>
      </c>
      <c r="R1" s="117" t="s">
        <v>270</v>
      </c>
      <c r="S1" s="117" t="s">
        <v>271</v>
      </c>
      <c r="T1" s="117" t="s">
        <v>272</v>
      </c>
    </row>
    <row r="2" spans="1:20" ht="18.95" customHeight="1" x14ac:dyDescent="0.3">
      <c r="A2" s="117" t="str">
        <f>'Input Sheet'!B25</f>
        <v>Valued Client</v>
      </c>
      <c r="B2" s="117" t="str">
        <f>'Input Sheet'!B28</f>
        <v>123 Main St, Yourtown, US, 85260</v>
      </c>
      <c r="C2" s="117">
        <f>'Input Sheet'!D3</f>
        <v>85260</v>
      </c>
      <c r="D2" s="117">
        <f>'Input Sheet'!B3</f>
        <v>2550000</v>
      </c>
      <c r="E2" s="117">
        <f>'Input Sheet'!AA3</f>
        <v>0</v>
      </c>
      <c r="F2" s="222">
        <f>B15-B21</f>
        <v>-2295000</v>
      </c>
      <c r="G2" s="222">
        <f>B21</f>
        <v>2295000</v>
      </c>
      <c r="H2" s="223">
        <f>'Input Sheet'!P3</f>
        <v>45366</v>
      </c>
      <c r="I2" s="117">
        <f>'Input Sheet'!F3</f>
        <v>1500</v>
      </c>
      <c r="J2" s="117">
        <f>'Input Sheet'!H3</f>
        <v>0.78</v>
      </c>
      <c r="K2" s="225">
        <f>'Input Sheet'!P7</f>
        <v>2024</v>
      </c>
      <c r="L2" s="224">
        <f>B41</f>
        <v>2900</v>
      </c>
      <c r="M2" s="224">
        <v>0</v>
      </c>
      <c r="N2" s="224">
        <v>0</v>
      </c>
      <c r="O2" s="224">
        <v>0</v>
      </c>
      <c r="P2" s="224">
        <f>C40</f>
        <v>0</v>
      </c>
      <c r="Q2" s="225">
        <f>'Input Sheet'!N3</f>
        <v>1</v>
      </c>
      <c r="R2" s="222">
        <f>I7</f>
        <v>0</v>
      </c>
      <c r="S2" s="225">
        <f>F9</f>
        <v>2025</v>
      </c>
      <c r="T2" s="225" t="str">
        <f>'Input Sheet'!R7</f>
        <v>October</v>
      </c>
    </row>
    <row r="4" spans="1:20" ht="18.95" customHeight="1" x14ac:dyDescent="0.3">
      <c r="A4" s="117"/>
      <c r="B4" s="117"/>
      <c r="C4" s="117"/>
      <c r="D4" s="117"/>
      <c r="E4" s="117"/>
      <c r="F4" s="117"/>
      <c r="G4" s="117"/>
      <c r="H4" s="117"/>
      <c r="I4" s="119"/>
      <c r="J4" s="119"/>
      <c r="K4" s="117"/>
    </row>
    <row r="5" spans="1:20" ht="18.95" customHeight="1" x14ac:dyDescent="0.3">
      <c r="A5" s="117"/>
      <c r="B5" s="117"/>
      <c r="C5" s="117"/>
      <c r="D5" s="117"/>
      <c r="E5" s="117"/>
      <c r="F5" s="117"/>
      <c r="G5" s="117"/>
      <c r="H5" s="117"/>
      <c r="I5" s="117"/>
      <c r="J5" s="117"/>
      <c r="K5" s="117"/>
    </row>
    <row r="6" spans="1:20" ht="18.95" customHeight="1" x14ac:dyDescent="0.3">
      <c r="A6" s="117"/>
      <c r="B6" s="117"/>
      <c r="C6" s="117"/>
      <c r="D6" s="117"/>
      <c r="E6" s="117"/>
      <c r="F6" s="117"/>
      <c r="G6" s="117"/>
      <c r="H6" s="117"/>
      <c r="I6" s="117"/>
      <c r="J6" s="117"/>
      <c r="K6" s="117"/>
    </row>
    <row r="7" spans="1:20" ht="18.95" customHeight="1" x14ac:dyDescent="0.3">
      <c r="A7" s="117"/>
      <c r="B7" s="117"/>
      <c r="C7" s="117"/>
      <c r="D7" s="117"/>
      <c r="E7" s="117"/>
      <c r="F7" s="233" t="s">
        <v>131</v>
      </c>
      <c r="G7" s="233"/>
      <c r="H7" s="233" t="s">
        <v>130</v>
      </c>
      <c r="I7" s="233"/>
      <c r="J7" s="143"/>
      <c r="K7" s="117"/>
    </row>
    <row r="8" spans="1:20" ht="18.95" customHeight="1" x14ac:dyDescent="0.3">
      <c r="A8" s="117"/>
      <c r="B8" s="117"/>
      <c r="C8" s="117"/>
      <c r="D8" s="117"/>
      <c r="E8" s="117"/>
      <c r="F8" s="196" t="s">
        <v>56</v>
      </c>
      <c r="G8" s="197" t="s">
        <v>163</v>
      </c>
      <c r="H8" s="197" t="s">
        <v>57</v>
      </c>
      <c r="I8" s="197" t="s">
        <v>58</v>
      </c>
      <c r="J8" s="143"/>
      <c r="K8" s="117"/>
    </row>
    <row r="9" spans="1:20" ht="18.95" customHeight="1" x14ac:dyDescent="0.3">
      <c r="A9" s="117"/>
      <c r="B9" s="117"/>
      <c r="C9" s="117"/>
      <c r="D9" s="117"/>
      <c r="E9" s="117"/>
      <c r="F9" s="127">
        <f>'Input Sheet'!R3</f>
        <v>2025</v>
      </c>
      <c r="G9" s="165">
        <f>IF('YbyY data'!$A$9=39,'YbyY data'!FV5,'YbyY data'!FJ5)</f>
        <v>66073.05</v>
      </c>
      <c r="H9" s="165">
        <f>IF('YbyY data'!$A$9=39,'YbyY data'!FW5,'YbyY data'!FK5)</f>
        <v>113694.10179921797</v>
      </c>
      <c r="I9" s="165">
        <f>IF('YbyY data'!$A$9=39,'YbyY data'!FX5,'YbyY data'!FL5)</f>
        <v>569422.71841568721</v>
      </c>
      <c r="J9" s="143"/>
      <c r="K9" s="117"/>
    </row>
    <row r="10" spans="1:20" ht="18.95" customHeight="1" x14ac:dyDescent="0.3">
      <c r="A10" s="117"/>
      <c r="B10" s="184" t="s">
        <v>139</v>
      </c>
      <c r="C10" s="184"/>
      <c r="D10" s="184"/>
      <c r="E10" s="117"/>
      <c r="F10" s="127">
        <f>F9+1</f>
        <v>2026</v>
      </c>
      <c r="G10" s="165">
        <f>IF('YbyY data'!$A$9=39,'YbyY data'!FV6,'YbyY data'!FJ6)</f>
        <v>83446.200000000012</v>
      </c>
      <c r="H10" s="165">
        <f>IF('YbyY data'!$A$9=39,'YbyY data'!FW6,'YbyY data'!FK6)</f>
        <v>177171.92789882695</v>
      </c>
      <c r="I10" s="165">
        <f>IF('YbyY data'!$A$9=39,'YbyY data'!FX6,'YbyY data'!FL6)</f>
        <v>102805.30082353079</v>
      </c>
      <c r="J10" s="143"/>
      <c r="K10" s="117"/>
    </row>
    <row r="11" spans="1:20" ht="18.95" customHeight="1" x14ac:dyDescent="0.3">
      <c r="A11" s="117"/>
      <c r="B11" s="185" t="s">
        <v>140</v>
      </c>
      <c r="C11" s="186"/>
      <c r="D11" s="186"/>
      <c r="E11" s="117"/>
      <c r="F11" s="127">
        <f t="shared" ref="F11:F49" si="0">F10+1</f>
        <v>2027</v>
      </c>
      <c r="G11" s="165">
        <f>IF('YbyY data'!$A$9=39,'YbyY data'!FV7,'YbyY data'!FJ7)</f>
        <v>83446.200000000012</v>
      </c>
      <c r="H11" s="165">
        <f>IF('YbyY data'!$A$9=39,'YbyY data'!FW7,'YbyY data'!FK7)</f>
        <v>145581.64644384477</v>
      </c>
      <c r="I11" s="165">
        <f>IF('YbyY data'!$A$9=39,'YbyY data'!FX7,'YbyY data'!FL7)</f>
        <v>90169.188241537922</v>
      </c>
      <c r="J11" s="143"/>
      <c r="K11" s="117"/>
    </row>
    <row r="12" spans="1:20" ht="18.75" customHeight="1" x14ac:dyDescent="0.3">
      <c r="A12" s="117"/>
      <c r="B12" s="187" t="str">
        <f>'Input Sheet'!B25</f>
        <v>Valued Client</v>
      </c>
      <c r="C12" s="187"/>
      <c r="D12" s="187"/>
      <c r="E12" s="117"/>
      <c r="F12" s="127">
        <f t="shared" si="0"/>
        <v>2028</v>
      </c>
      <c r="G12" s="165">
        <f>IF('YbyY data'!$A$9=39,'YbyY data'!FV8,'YbyY data'!FJ8)</f>
        <v>83446.200000000012</v>
      </c>
      <c r="H12" s="165">
        <f>IF('YbyY data'!$A$9=39,'YbyY data'!FW8,'YbyY data'!FK8)</f>
        <v>124860.28754278753</v>
      </c>
      <c r="I12" s="165">
        <f>IF('YbyY data'!$A$9=39,'YbyY data'!FX8,'YbyY data'!FL8)</f>
        <v>81880.644681115009</v>
      </c>
      <c r="J12" s="143"/>
      <c r="K12" s="117"/>
    </row>
    <row r="13" spans="1:20" ht="18.95" customHeight="1" x14ac:dyDescent="0.3">
      <c r="A13" s="117"/>
      <c r="B13" s="242" t="str">
        <f>'Input Sheet'!J3&amp;" "&amp;"Property - Address:"</f>
        <v>Multi-Family Property - Address:</v>
      </c>
      <c r="C13" s="242"/>
      <c r="D13" s="186"/>
      <c r="E13" s="117"/>
      <c r="F13" s="127">
        <f t="shared" si="0"/>
        <v>2029</v>
      </c>
      <c r="G13" s="165">
        <f>IF('YbyY data'!$A$9=39,'YbyY data'!FV9,'YbyY data'!FJ9)</f>
        <v>83446.200000000012</v>
      </c>
      <c r="H13" s="165">
        <f>IF('YbyY data'!$A$9=39,'YbyY data'!FW9,'YbyY data'!FK9)</f>
        <v>120000.51496560071</v>
      </c>
      <c r="I13" s="165">
        <f>IF('YbyY data'!$A$9=39,'YbyY data'!FX9,'YbyY data'!FL9)</f>
        <v>79936.735650240284</v>
      </c>
      <c r="J13" s="143"/>
      <c r="K13" s="117"/>
    </row>
    <row r="14" spans="1:20" ht="18.95" customHeight="1" x14ac:dyDescent="0.3">
      <c r="A14" s="117"/>
      <c r="B14" s="243" t="str">
        <f>'Input Sheet'!B28</f>
        <v>123 Main St, Yourtown, US, 85260</v>
      </c>
      <c r="C14" s="187"/>
      <c r="D14" s="187"/>
      <c r="E14" s="117"/>
      <c r="F14" s="127">
        <f t="shared" si="0"/>
        <v>2030</v>
      </c>
      <c r="G14" s="165">
        <f>IF('YbyY data'!$A$9=39,'YbyY data'!FV10,'YbyY data'!FJ10)</f>
        <v>83446.200000000012</v>
      </c>
      <c r="H14" s="165">
        <f>IF('YbyY data'!$A$9=39,'YbyY data'!FW10,'YbyY data'!FK10)</f>
        <v>104065.03372997118</v>
      </c>
      <c r="I14" s="165">
        <f>IF('YbyY data'!$A$9=39,'YbyY data'!FX10,'YbyY data'!FL10)</f>
        <v>73562.543155988475</v>
      </c>
      <c r="J14" s="143"/>
      <c r="K14" s="117"/>
    </row>
    <row r="15" spans="1:20" ht="18.95" customHeight="1" x14ac:dyDescent="0.3">
      <c r="A15" s="117"/>
      <c r="B15" s="243"/>
      <c r="C15" s="187"/>
      <c r="D15" s="187"/>
      <c r="E15" s="117"/>
      <c r="F15" s="127">
        <f t="shared" si="0"/>
        <v>2031</v>
      </c>
      <c r="G15" s="165">
        <f>IF('YbyY data'!$A$9=39,'YbyY data'!FV11,'YbyY data'!FJ11)</f>
        <v>83446.200000000012</v>
      </c>
      <c r="H15" s="165">
        <f>IF('YbyY data'!$A$9=39,'YbyY data'!FW11,'YbyY data'!FK11)</f>
        <v>90464.767888574279</v>
      </c>
      <c r="I15" s="165">
        <f>IF('YbyY data'!$A$9=39,'YbyY data'!FX11,'YbyY data'!FL11)</f>
        <v>68122.436819429713</v>
      </c>
      <c r="J15" s="143"/>
      <c r="K15" s="117"/>
    </row>
    <row r="16" spans="1:20" ht="18.95" customHeight="1" x14ac:dyDescent="0.3">
      <c r="A16" s="117"/>
      <c r="B16" s="185" t="s">
        <v>12</v>
      </c>
      <c r="C16" s="186"/>
      <c r="D16" s="186"/>
      <c r="E16" s="117"/>
      <c r="F16" s="127">
        <f t="shared" si="0"/>
        <v>2032</v>
      </c>
      <c r="G16" s="165">
        <f>IF('YbyY data'!$A$9=39,'YbyY data'!FV12,'YbyY data'!FJ12)</f>
        <v>83446.200000000012</v>
      </c>
      <c r="H16" s="165">
        <f>IF('YbyY data'!$A$9=39,'YbyY data'!FW12,'YbyY data'!FK12)</f>
        <v>90464.767888574279</v>
      </c>
      <c r="I16" s="165">
        <f>IF('YbyY data'!$A$9=39,'YbyY data'!FX12,'YbyY data'!FL12)</f>
        <v>68122.436819429713</v>
      </c>
      <c r="J16" s="143"/>
      <c r="K16" s="117"/>
    </row>
    <row r="17" spans="1:11" ht="18.95" customHeight="1" x14ac:dyDescent="0.3">
      <c r="A17" s="117"/>
      <c r="B17" s="188">
        <f>'Input Sheet'!B3</f>
        <v>2550000</v>
      </c>
      <c r="C17" s="189"/>
      <c r="D17" s="189"/>
      <c r="E17" s="118"/>
      <c r="F17" s="127">
        <f t="shared" si="0"/>
        <v>2033</v>
      </c>
      <c r="G17" s="165">
        <f>IF('YbyY data'!$A$9=39,'YbyY data'!FV13,'YbyY data'!FJ13)</f>
        <v>83446.200000000012</v>
      </c>
      <c r="H17" s="165">
        <f>IF('YbyY data'!$A$9=39,'YbyY data'!FW13,'YbyY data'!FK13)</f>
        <v>90527.881818148133</v>
      </c>
      <c r="I17" s="165">
        <f>IF('YbyY data'!$A$9=39,'YbyY data'!FX13,'YbyY data'!FL13)</f>
        <v>68147.682391259252</v>
      </c>
      <c r="J17" s="143"/>
      <c r="K17" s="117"/>
    </row>
    <row r="18" spans="1:11" ht="18.95" customHeight="1" x14ac:dyDescent="0.3">
      <c r="A18" s="117"/>
      <c r="B18" s="185" t="s">
        <v>175</v>
      </c>
      <c r="C18" s="185"/>
      <c r="D18" s="185"/>
      <c r="E18" s="118"/>
      <c r="F18" s="127">
        <f t="shared" si="0"/>
        <v>2034</v>
      </c>
      <c r="G18" s="165">
        <f>IF('YbyY data'!$A$9=39,'YbyY data'!FV14,'YbyY data'!FJ14)</f>
        <v>83469.149999999994</v>
      </c>
      <c r="H18" s="165">
        <f>IF('YbyY data'!$A$9=39,'YbyY data'!FW14,'YbyY data'!FK14)</f>
        <v>90479.406928574259</v>
      </c>
      <c r="I18" s="165">
        <f>IF('YbyY data'!$A$9=39,'YbyY data'!FX14,'YbyY data'!FL14)</f>
        <v>68137.075859429708</v>
      </c>
      <c r="J18" s="143"/>
      <c r="K18" s="117"/>
    </row>
    <row r="19" spans="1:11" ht="18.95" customHeight="1" x14ac:dyDescent="0.3">
      <c r="A19" s="117"/>
      <c r="B19" s="188">
        <f>'Input Sheet'!AA3</f>
        <v>0</v>
      </c>
      <c r="C19" s="185"/>
      <c r="D19" s="185"/>
      <c r="E19" s="117"/>
      <c r="F19" s="127">
        <f t="shared" si="0"/>
        <v>2035</v>
      </c>
      <c r="G19" s="165">
        <f>IF('YbyY data'!$A$9=39,'YbyY data'!FV15,'YbyY data'!FJ15)</f>
        <v>83446.200000000012</v>
      </c>
      <c r="H19" s="165">
        <f>IF('YbyY data'!$A$9=39,'YbyY data'!FW15,'YbyY data'!FK15)</f>
        <v>90527.881818148133</v>
      </c>
      <c r="I19" s="165">
        <f>IF('YbyY data'!$A$9=39,'YbyY data'!FX15,'YbyY data'!FL15)</f>
        <v>68147.682391259252</v>
      </c>
      <c r="J19" s="143"/>
      <c r="K19" s="117"/>
    </row>
    <row r="20" spans="1:11" ht="18.95" customHeight="1" x14ac:dyDescent="0.3">
      <c r="A20" s="117"/>
      <c r="B20" s="185" t="s">
        <v>189</v>
      </c>
      <c r="C20" s="186"/>
      <c r="D20" s="186"/>
      <c r="E20" s="117"/>
      <c r="F20" s="127">
        <f t="shared" si="0"/>
        <v>2036</v>
      </c>
      <c r="G20" s="165">
        <f>IF('YbyY data'!$A$9=39,'YbyY data'!FV16,'YbyY data'!FJ16)</f>
        <v>83469.149999999994</v>
      </c>
      <c r="H20" s="165">
        <f>IF('YbyY data'!$A$9=39,'YbyY data'!FW16,'YbyY data'!FK16)</f>
        <v>90479.406928574259</v>
      </c>
      <c r="I20" s="165">
        <f>IF('YbyY data'!$A$9=39,'YbyY data'!FX16,'YbyY data'!FL16)</f>
        <v>68137.075859429708</v>
      </c>
      <c r="J20" s="143"/>
      <c r="K20" s="117"/>
    </row>
    <row r="21" spans="1:11" ht="18.95" customHeight="1" x14ac:dyDescent="0.3">
      <c r="A21" s="117"/>
      <c r="B21" s="190">
        <f>'YbyY data'!B5</f>
        <v>2295000</v>
      </c>
      <c r="C21" s="187"/>
      <c r="D21" s="187"/>
      <c r="E21" s="117"/>
      <c r="F21" s="127">
        <f t="shared" si="0"/>
        <v>2037</v>
      </c>
      <c r="G21" s="165">
        <f>IF('YbyY data'!$A$9=39,'YbyY data'!FV17,'YbyY data'!FJ17)</f>
        <v>83446.200000000012</v>
      </c>
      <c r="H21" s="165">
        <f>IF('YbyY data'!$A$9=39,'YbyY data'!FW17,'YbyY data'!FK17)</f>
        <v>90527.881818148133</v>
      </c>
      <c r="I21" s="165">
        <f>IF('YbyY data'!$A$9=39,'YbyY data'!FX17,'YbyY data'!FL17)</f>
        <v>68147.682391259252</v>
      </c>
      <c r="J21" s="143"/>
      <c r="K21" s="117"/>
    </row>
    <row r="22" spans="1:11" ht="18.95" customHeight="1" x14ac:dyDescent="0.3">
      <c r="A22" s="117"/>
      <c r="B22" s="185" t="s">
        <v>53</v>
      </c>
      <c r="C22" s="186"/>
      <c r="D22" s="186"/>
      <c r="E22" s="117"/>
      <c r="F22" s="127">
        <f t="shared" si="0"/>
        <v>2038</v>
      </c>
      <c r="G22" s="165">
        <f>IF('YbyY data'!$A$9=39,'YbyY data'!FV18,'YbyY data'!FJ18)</f>
        <v>83469.149999999994</v>
      </c>
      <c r="H22" s="165">
        <f>IF('YbyY data'!$A$9=39,'YbyY data'!FW18,'YbyY data'!FK18)</f>
        <v>90479.406928574259</v>
      </c>
      <c r="I22" s="165">
        <f>IF('YbyY data'!$A$9=39,'YbyY data'!FX18,'YbyY data'!FL18)</f>
        <v>68137.075859429708</v>
      </c>
      <c r="J22" s="143"/>
      <c r="K22" s="117"/>
    </row>
    <row r="23" spans="1:11" ht="18.95" customHeight="1" x14ac:dyDescent="0.3">
      <c r="A23" s="117"/>
      <c r="B23" s="190">
        <f>'YbyY data'!B2</f>
        <v>255000</v>
      </c>
      <c r="C23" s="187"/>
      <c r="D23" s="187"/>
      <c r="E23" s="117"/>
      <c r="F23" s="127">
        <f t="shared" si="0"/>
        <v>2039</v>
      </c>
      <c r="G23" s="165">
        <f>IF('YbyY data'!$A$9=39,'YbyY data'!FV19,'YbyY data'!FJ19)</f>
        <v>83446.200000000012</v>
      </c>
      <c r="H23" s="165">
        <f>IF('YbyY data'!$A$9=39,'YbyY data'!FW19,'YbyY data'!FK19)</f>
        <v>90527.881818148133</v>
      </c>
      <c r="I23" s="165">
        <f>IF('YbyY data'!$A$9=39,'YbyY data'!FX19,'YbyY data'!FL19)</f>
        <v>68147.682391259252</v>
      </c>
      <c r="J23" s="143"/>
      <c r="K23" s="117"/>
    </row>
    <row r="24" spans="1:11" ht="18.95" customHeight="1" x14ac:dyDescent="0.3">
      <c r="A24" s="117"/>
      <c r="B24" s="185" t="s">
        <v>141</v>
      </c>
      <c r="C24" s="186"/>
      <c r="D24" s="186"/>
      <c r="E24" s="117"/>
      <c r="F24" s="127">
        <f t="shared" si="0"/>
        <v>2040</v>
      </c>
      <c r="G24" s="165">
        <f>IF('YbyY data'!$A$9=39,'YbyY data'!FV20,'YbyY data'!FJ20)</f>
        <v>83469.149999999994</v>
      </c>
      <c r="H24" s="165">
        <f>IF('YbyY data'!$A$9=39,'YbyY data'!FW20,'YbyY data'!FK20)</f>
        <v>71860.797704287135</v>
      </c>
      <c r="I24" s="165">
        <f>IF('YbyY data'!$A$9=39,'YbyY data'!FX20,'YbyY data'!FL20)</f>
        <v>60689.632169714852</v>
      </c>
      <c r="J24" s="143"/>
      <c r="K24" s="117"/>
    </row>
    <row r="25" spans="1:11" ht="18.95" customHeight="1" x14ac:dyDescent="0.3">
      <c r="A25" s="117"/>
      <c r="B25" s="191">
        <f>'Input Sheet'!P3</f>
        <v>45366</v>
      </c>
      <c r="C25" s="191"/>
      <c r="D25" s="191"/>
      <c r="E25" s="117"/>
      <c r="F25" s="127">
        <f t="shared" si="0"/>
        <v>2041</v>
      </c>
      <c r="G25" s="165">
        <f>IF('YbyY data'!$A$9=39,'YbyY data'!FV21,'YbyY data'!FJ21)</f>
        <v>83446.200000000012</v>
      </c>
      <c r="H25" s="165">
        <f>IF('YbyY data'!$A$9=39,'YbyY data'!FW21,'YbyY data'!FK21)</f>
        <v>53227.549440000003</v>
      </c>
      <c r="I25" s="165">
        <f>IF('YbyY data'!$A$9=39,'YbyY data'!FX21,'YbyY data'!FL21)</f>
        <v>53227.549440000003</v>
      </c>
      <c r="J25" s="143"/>
      <c r="K25" s="117"/>
    </row>
    <row r="26" spans="1:11" ht="18.95" customHeight="1" x14ac:dyDescent="0.3">
      <c r="A26" s="117"/>
      <c r="B26" s="192" t="str">
        <f>IF('Input Sheet'!$Y$3=TRUE,'Input Sheet'!$W$2,'Input Sheet'!$F$2)</f>
        <v>SqFt Building</v>
      </c>
      <c r="C26" s="193"/>
      <c r="D26" s="193"/>
      <c r="E26" s="117"/>
      <c r="F26" s="127">
        <f t="shared" si="0"/>
        <v>2042</v>
      </c>
      <c r="G26" s="165">
        <f>IF('YbyY data'!$A$9=39,'YbyY data'!FV22,'YbyY data'!FJ22)</f>
        <v>83469.149999999994</v>
      </c>
      <c r="H26" s="165">
        <f>IF('YbyY data'!$A$9=39,'YbyY data'!FW22,'YbyY data'!FK22)</f>
        <v>53242.188479999997</v>
      </c>
      <c r="I26" s="165">
        <f>IF('YbyY data'!$A$9=39,'YbyY data'!FX22,'YbyY data'!FL22)</f>
        <v>53242.188479999997</v>
      </c>
      <c r="J26" s="143"/>
      <c r="K26" s="117"/>
    </row>
    <row r="27" spans="1:11" ht="18.95" customHeight="1" x14ac:dyDescent="0.3">
      <c r="A27" s="117"/>
      <c r="B27" s="189">
        <f>IF('Input Sheet'!$Y$3=TRUE,-'Input Sheet'!$W$3,'Input Sheet'!$F$3)</f>
        <v>1500</v>
      </c>
      <c r="C27" s="194"/>
      <c r="D27" s="194"/>
      <c r="E27" s="117"/>
      <c r="F27" s="127">
        <f t="shared" si="0"/>
        <v>2043</v>
      </c>
      <c r="G27" s="165">
        <f>IF('YbyY data'!$A$9=39,'YbyY data'!FV23,'YbyY data'!FJ23)</f>
        <v>83446.200000000012</v>
      </c>
      <c r="H27" s="165">
        <f>IF('YbyY data'!$A$9=39,'YbyY data'!FW23,'YbyY data'!FK23)</f>
        <v>53227.549440000003</v>
      </c>
      <c r="I27" s="165">
        <f>IF('YbyY data'!$A$9=39,'YbyY data'!FX23,'YbyY data'!FL23)</f>
        <v>53227.549440000003</v>
      </c>
      <c r="J27" s="143"/>
      <c r="K27" s="117"/>
    </row>
    <row r="28" spans="1:11" ht="18.95" customHeight="1" x14ac:dyDescent="0.3">
      <c r="A28" s="117"/>
      <c r="B28" s="192" t="str">
        <f>IF('Input Sheet'!$Y$3=TRUE,'Input Sheet'!$F$2,'Input Sheet'!$H$2)</f>
        <v>Acres Land</v>
      </c>
      <c r="C28" s="192" t="str">
        <f>IF('Input Sheet'!$Y$3=TRUE,'Input Sheet'!$H$2," ")</f>
        <v xml:space="preserve"> </v>
      </c>
      <c r="D28" s="192"/>
      <c r="E28" s="117"/>
      <c r="F28" s="127">
        <f t="shared" si="0"/>
        <v>2044</v>
      </c>
      <c r="G28" s="165">
        <f>IF('YbyY data'!$A$9=39,'YbyY data'!FV24,'YbyY data'!FJ24)</f>
        <v>83469.149999999994</v>
      </c>
      <c r="H28" s="165">
        <f>IF('YbyY data'!$A$9=39,'YbyY data'!FW24,'YbyY data'!FK24)</f>
        <v>53242.188479999997</v>
      </c>
      <c r="I28" s="165">
        <f>IF('YbyY data'!$A$9=39,'YbyY data'!FX24,'YbyY data'!FL24)</f>
        <v>53242.188479999997</v>
      </c>
      <c r="J28" s="143"/>
      <c r="K28" s="117"/>
    </row>
    <row r="29" spans="1:11" ht="18.95" customHeight="1" x14ac:dyDescent="0.3">
      <c r="A29" s="117"/>
      <c r="B29" s="195">
        <f>IF('Input Sheet'!$Y$3=TRUE,'Input Sheet'!$F$3,'Input Sheet'!$H$3)</f>
        <v>0.78</v>
      </c>
      <c r="C29" s="192" t="str">
        <f>IF('Input Sheet'!$Y$3=TRUE,'Input Sheet'!$H$3," ")</f>
        <v xml:space="preserve"> </v>
      </c>
      <c r="D29" s="192"/>
      <c r="E29" s="117"/>
      <c r="F29" s="127">
        <f t="shared" si="0"/>
        <v>2045</v>
      </c>
      <c r="G29" s="165">
        <f>IF('YbyY data'!$A$9=39,'YbyY data'!FV25,'YbyY data'!FJ25)</f>
        <v>83446.200000000012</v>
      </c>
      <c r="H29" s="165">
        <f>IF('YbyY data'!$A$9=39,'YbyY data'!FW25,'YbyY data'!FK25)</f>
        <v>53227.549440000003</v>
      </c>
      <c r="I29" s="165">
        <f>IF('YbyY data'!$A$9=39,'YbyY data'!FX25,'YbyY data'!FL25)</f>
        <v>53227.549440000003</v>
      </c>
      <c r="J29" s="143"/>
      <c r="K29" s="117"/>
    </row>
    <row r="30" spans="1:11" ht="18.95" customHeight="1" x14ac:dyDescent="0.3">
      <c r="A30" s="117"/>
      <c r="B30" s="177" t="str">
        <f>"Due Date"</f>
        <v>Due Date</v>
      </c>
      <c r="C30" s="230" t="str">
        <f>_xlfn.CONCAT('Input Sheet'!$R$7," ",'Input Sheet'!$R$3)</f>
        <v>October 2025</v>
      </c>
      <c r="D30" s="231"/>
      <c r="E30" s="117"/>
      <c r="F30" s="127">
        <f t="shared" si="0"/>
        <v>2046</v>
      </c>
      <c r="G30" s="165">
        <f>IF('YbyY data'!$A$9=39,'YbyY data'!FV26,'YbyY data'!FJ26)</f>
        <v>83469.149999999994</v>
      </c>
      <c r="H30" s="165">
        <f>IF('YbyY data'!$A$9=39,'YbyY data'!FW26,'YbyY data'!FK26)</f>
        <v>53242.188479999997</v>
      </c>
      <c r="I30" s="165">
        <f>IF('YbyY data'!$A$9=39,'YbyY data'!FX26,'YbyY data'!FL26)</f>
        <v>53242.188479999997</v>
      </c>
      <c r="J30" s="143"/>
      <c r="K30" s="117"/>
    </row>
    <row r="31" spans="1:11" ht="18.95" customHeight="1" x14ac:dyDescent="0.3">
      <c r="A31" s="117"/>
      <c r="B31" s="178"/>
      <c r="C31" s="179"/>
      <c r="D31" s="179"/>
      <c r="E31" s="117"/>
      <c r="F31" s="127">
        <f t="shared" si="0"/>
        <v>2047</v>
      </c>
      <c r="G31" s="165">
        <f>IF('YbyY data'!$A$9=39,'YbyY data'!FV27,'YbyY data'!FJ27)</f>
        <v>83446.200000000012</v>
      </c>
      <c r="H31" s="165">
        <f>IF('YbyY data'!$A$9=39,'YbyY data'!FW27,'YbyY data'!FK27)</f>
        <v>53227.549440000003</v>
      </c>
      <c r="I31" s="165">
        <f>IF('YbyY data'!$A$9=39,'YbyY data'!FX27,'YbyY data'!FL27)</f>
        <v>53227.549440000003</v>
      </c>
      <c r="J31" s="143"/>
      <c r="K31" s="117"/>
    </row>
    <row r="32" spans="1:11" ht="18.95" customHeight="1" x14ac:dyDescent="0.35">
      <c r="A32" s="117"/>
      <c r="B32" s="152" t="s">
        <v>197</v>
      </c>
      <c r="C32" s="153"/>
      <c r="D32" s="153"/>
      <c r="E32" s="117"/>
      <c r="F32" s="127">
        <f t="shared" si="0"/>
        <v>2048</v>
      </c>
      <c r="G32" s="165">
        <f>IF('YbyY data'!$A$9=39,'YbyY data'!FV28,'YbyY data'!FJ28)</f>
        <v>83469.149999999994</v>
      </c>
      <c r="H32" s="165">
        <f>IF('YbyY data'!$A$9=39,'YbyY data'!FW28,'YbyY data'!FK28)</f>
        <v>53242.188479999997</v>
      </c>
      <c r="I32" s="165">
        <f>IF('YbyY data'!$A$9=39,'YbyY data'!FX28,'YbyY data'!FL28)</f>
        <v>53242.188479999997</v>
      </c>
      <c r="J32" s="143"/>
      <c r="K32" s="117"/>
    </row>
    <row r="33" spans="1:11" ht="18.95" customHeight="1" x14ac:dyDescent="0.3">
      <c r="A33" s="117"/>
      <c r="B33" s="154" t="s">
        <v>217</v>
      </c>
      <c r="C33" s="153"/>
      <c r="D33" s="153"/>
      <c r="E33" s="117"/>
      <c r="F33" s="127">
        <f t="shared" si="0"/>
        <v>2049</v>
      </c>
      <c r="G33" s="165">
        <f>IF('YbyY data'!$A$9=39,'YbyY data'!FV29,'YbyY data'!FJ29)</f>
        <v>83446.200000000012</v>
      </c>
      <c r="H33" s="165">
        <f>IF('YbyY data'!$A$9=39,'YbyY data'!FW29,'YbyY data'!FK29)</f>
        <v>53227.549440000003</v>
      </c>
      <c r="I33" s="165">
        <f>IF('YbyY data'!$A$9=39,'YbyY data'!FX29,'YbyY data'!FL29)</f>
        <v>53227.549440000003</v>
      </c>
      <c r="J33" s="143"/>
      <c r="K33" s="117"/>
    </row>
    <row r="34" spans="1:11" ht="18.95" customHeight="1" x14ac:dyDescent="0.3">
      <c r="A34" s="117"/>
      <c r="B34" s="155" t="s">
        <v>218</v>
      </c>
      <c r="C34" s="153"/>
      <c r="D34" s="153"/>
      <c r="E34" s="117"/>
      <c r="F34" s="127">
        <f t="shared" si="0"/>
        <v>2050</v>
      </c>
      <c r="G34" s="165">
        <f>IF('YbyY data'!$A$9=39,'YbyY data'!FV30,'YbyY data'!FJ30)</f>
        <v>83469.149999999994</v>
      </c>
      <c r="H34" s="165">
        <f>IF('YbyY data'!$A$9=39,'YbyY data'!FW30,'YbyY data'!FK30)</f>
        <v>53242.188479999997</v>
      </c>
      <c r="I34" s="165">
        <f>IF('YbyY data'!$A$9=39,'YbyY data'!FX30,'YbyY data'!FL30)</f>
        <v>53242.188479999997</v>
      </c>
      <c r="J34" s="143"/>
      <c r="K34" s="117"/>
    </row>
    <row r="35" spans="1:11" ht="18.95" customHeight="1" x14ac:dyDescent="0.3">
      <c r="A35" s="117"/>
      <c r="B35" s="174" t="s">
        <v>219</v>
      </c>
      <c r="C35" s="153"/>
      <c r="D35" s="153"/>
      <c r="E35" s="117"/>
      <c r="F35" s="127">
        <f t="shared" si="0"/>
        <v>2051</v>
      </c>
      <c r="G35" s="165">
        <f>IF('YbyY data'!$A$9=39,'YbyY data'!FV31,'YbyY data'!FJ31)</f>
        <v>83446.200000000012</v>
      </c>
      <c r="H35" s="165">
        <f>IF('YbyY data'!$A$9=39,'YbyY data'!FW31,'YbyY data'!FK31)</f>
        <v>53227.549440000003</v>
      </c>
      <c r="I35" s="165">
        <f>IF('YbyY data'!$A$9=39,'YbyY data'!FX31,'YbyY data'!FL31)</f>
        <v>53227.549440000003</v>
      </c>
      <c r="J35" s="143"/>
      <c r="K35" s="117"/>
    </row>
    <row r="36" spans="1:11" ht="18.95" customHeight="1" x14ac:dyDescent="0.3">
      <c r="A36" s="117"/>
      <c r="B36" s="155" t="s">
        <v>199</v>
      </c>
      <c r="C36" s="153"/>
      <c r="D36" s="153"/>
      <c r="E36" s="117"/>
      <c r="F36" s="127">
        <f t="shared" si="0"/>
        <v>2052</v>
      </c>
      <c r="G36" s="165">
        <f>IF('YbyY data'!$A$9=39,'YbyY data'!FV32,'YbyY data'!FJ32)</f>
        <v>59119.200000000004</v>
      </c>
      <c r="H36" s="165">
        <f>IF('YbyY data'!$A$9=39,'YbyY data'!FW32,'YbyY data'!FK32)</f>
        <v>37710.16704</v>
      </c>
      <c r="I36" s="165">
        <f>IF('YbyY data'!$A$9=39,'YbyY data'!FX32,'YbyY data'!FL32)</f>
        <v>37710.16704</v>
      </c>
      <c r="J36" s="143"/>
      <c r="K36" s="117"/>
    </row>
    <row r="37" spans="1:11" ht="18.95" customHeight="1" x14ac:dyDescent="0.3">
      <c r="A37" s="117"/>
      <c r="B37" s="180"/>
      <c r="C37" s="153"/>
      <c r="D37" s="153"/>
      <c r="E37" s="117"/>
      <c r="F37" s="127">
        <f t="shared" si="0"/>
        <v>2053</v>
      </c>
      <c r="G37" s="165">
        <f>IF('YbyY data'!$A$9=39,'YbyY data'!FV33,'YbyY data'!FJ33)</f>
        <v>0</v>
      </c>
      <c r="H37" s="165">
        <f>IF('YbyY data'!$A$9=39,'YbyY data'!FW33,'YbyY data'!FK33)</f>
        <v>0</v>
      </c>
      <c r="I37" s="165">
        <f>IF('YbyY data'!$A$9=39,'YbyY data'!FX33,'YbyY data'!FL33)</f>
        <v>0</v>
      </c>
      <c r="J37" s="143"/>
      <c r="K37" s="117"/>
    </row>
    <row r="38" spans="1:11" ht="18.95" customHeight="1" x14ac:dyDescent="0.3">
      <c r="A38" s="117"/>
      <c r="B38" s="155"/>
      <c r="C38" s="153"/>
      <c r="D38" s="153"/>
      <c r="E38" s="117"/>
      <c r="F38" s="127">
        <f t="shared" si="0"/>
        <v>2054</v>
      </c>
      <c r="G38" s="165">
        <f>IF('YbyY data'!$A$9=39,'YbyY data'!FV34,'YbyY data'!FJ34)</f>
        <v>0</v>
      </c>
      <c r="H38" s="165">
        <f>IF('YbyY data'!$A$9=39,'YbyY data'!FW34,'YbyY data'!FK34)</f>
        <v>0</v>
      </c>
      <c r="I38" s="165">
        <f>IF('YbyY data'!$A$9=39,'YbyY data'!FX34,'YbyY data'!FL34)</f>
        <v>0</v>
      </c>
      <c r="J38" s="143"/>
      <c r="K38" s="117"/>
    </row>
    <row r="39" spans="1:11" ht="18.95" customHeight="1" x14ac:dyDescent="0.3">
      <c r="A39" s="117"/>
      <c r="B39" s="118"/>
      <c r="C39" s="118"/>
      <c r="D39" s="118"/>
      <c r="E39" s="117"/>
      <c r="F39" s="127">
        <f t="shared" si="0"/>
        <v>2055</v>
      </c>
      <c r="G39" s="165">
        <f>IF('YbyY data'!$A$9=39,'YbyY data'!FV35,'YbyY data'!FJ35)</f>
        <v>0</v>
      </c>
      <c r="H39" s="165">
        <f>IF('YbyY data'!$A$9=39,'YbyY data'!FW35,'YbyY data'!FK35)</f>
        <v>0</v>
      </c>
      <c r="I39" s="165">
        <f>IF('YbyY data'!$A$9=39,'YbyY data'!FX35,'YbyY data'!FL35)</f>
        <v>0</v>
      </c>
      <c r="J39" s="143"/>
      <c r="K39" s="117"/>
    </row>
    <row r="40" spans="1:11" ht="18.95" customHeight="1" x14ac:dyDescent="0.3">
      <c r="A40" s="117"/>
      <c r="B40" s="173" t="str">
        <f>'VLOOKUP Tables'!AL3</f>
        <v>Engagement Fee</v>
      </c>
      <c r="C40" s="118"/>
      <c r="D40" s="118"/>
      <c r="E40" s="117"/>
      <c r="F40" s="127">
        <f t="shared" si="0"/>
        <v>2056</v>
      </c>
      <c r="G40" s="165">
        <f>IF('YbyY data'!$A$9=39,'YbyY data'!FV36,'YbyY data'!FJ36)</f>
        <v>0</v>
      </c>
      <c r="H40" s="165">
        <f>IF('YbyY data'!$A$9=39,'YbyY data'!FW36,'YbyY data'!FK36)</f>
        <v>0</v>
      </c>
      <c r="I40" s="165">
        <f>IF('YbyY data'!$A$9=39,'YbyY data'!FX36,'YbyY data'!FL36)</f>
        <v>0</v>
      </c>
      <c r="J40" s="143"/>
      <c r="K40" s="117"/>
    </row>
    <row r="41" spans="1:11" ht="18.95" customHeight="1" x14ac:dyDescent="0.35">
      <c r="A41" s="117"/>
      <c r="B41" s="244">
        <f>'Input Sheet'!D22</f>
        <v>2900</v>
      </c>
      <c r="C41" s="126"/>
      <c r="D41" s="126"/>
      <c r="E41" s="117"/>
      <c r="F41" s="127">
        <f t="shared" si="0"/>
        <v>2057</v>
      </c>
      <c r="G41" s="165">
        <f>IF('YbyY data'!$A$9=39,'YbyY data'!FV37,'YbyY data'!FJ37)</f>
        <v>0</v>
      </c>
      <c r="H41" s="165">
        <f>IF('YbyY data'!$A$9=39,'YbyY data'!FW37,'YbyY data'!FK37)</f>
        <v>0</v>
      </c>
      <c r="I41" s="165">
        <f>IF('YbyY data'!$A$9=39,'YbyY data'!FX37,'YbyY data'!FL37)</f>
        <v>0</v>
      </c>
      <c r="J41" s="143"/>
      <c r="K41" s="117"/>
    </row>
    <row r="42" spans="1:11" ht="18.95" customHeight="1" x14ac:dyDescent="0.3">
      <c r="A42" s="117"/>
      <c r="B42" s="245"/>
      <c r="C42" s="121"/>
      <c r="D42" s="121"/>
      <c r="E42" s="117"/>
      <c r="F42" s="127">
        <f t="shared" si="0"/>
        <v>2058</v>
      </c>
      <c r="G42" s="165">
        <f>IF('YbyY data'!$A$9=39,'YbyY data'!FV38,'YbyY data'!FJ38)</f>
        <v>0</v>
      </c>
      <c r="H42" s="165">
        <f>IF('YbyY data'!$A$9=39,'YbyY data'!FW38,'YbyY data'!FK38)</f>
        <v>0</v>
      </c>
      <c r="I42" s="165">
        <f>IF('YbyY data'!$A$9=39,'YbyY data'!FX38,'YbyY data'!FL38)</f>
        <v>0</v>
      </c>
      <c r="J42" s="143"/>
      <c r="K42" s="117"/>
    </row>
    <row r="43" spans="1:11" ht="18.95" customHeight="1" x14ac:dyDescent="0.3">
      <c r="A43" s="117"/>
      <c r="B43" s="200" t="str">
        <f>'VLOOKUP Tables'!AL4</f>
        <v>Rush Fee</v>
      </c>
      <c r="C43" s="120"/>
      <c r="D43" s="120"/>
      <c r="E43" s="117"/>
      <c r="F43" s="127">
        <f t="shared" si="0"/>
        <v>2059</v>
      </c>
      <c r="G43" s="165">
        <f>IF('YbyY data'!$A$9=39,'YbyY data'!FV39,'YbyY data'!FJ39)</f>
        <v>0</v>
      </c>
      <c r="H43" s="165">
        <f>IF('YbyY data'!$A$9=39,'YbyY data'!FW39,'YbyY data'!FK39)</f>
        <v>0</v>
      </c>
      <c r="I43" s="165">
        <f>IF('YbyY data'!$A$9=39,'YbyY data'!FX39,'YbyY data'!FL39)</f>
        <v>0</v>
      </c>
      <c r="J43" s="143"/>
      <c r="K43" s="117"/>
    </row>
    <row r="44" spans="1:11" ht="18.95" customHeight="1" x14ac:dyDescent="0.3">
      <c r="A44" s="117"/>
      <c r="B44" s="201" t="str">
        <f>'Input Sheet'!AH3</f>
        <v>No Rush</v>
      </c>
      <c r="C44" s="121"/>
      <c r="D44" s="121"/>
      <c r="E44" s="117"/>
      <c r="F44" s="127">
        <f t="shared" si="0"/>
        <v>2060</v>
      </c>
      <c r="G44" s="165">
        <f>IF('YbyY data'!$A$9=39,'YbyY data'!FV40,'YbyY data'!FJ40)</f>
        <v>0</v>
      </c>
      <c r="H44" s="165">
        <f>IF('YbyY data'!$A$9=39,'YbyY data'!FW40,'YbyY data'!FK40)</f>
        <v>0</v>
      </c>
      <c r="I44" s="165">
        <f>IF('YbyY data'!$A$9=39,'YbyY data'!FX40,'YbyY data'!FL40)</f>
        <v>0</v>
      </c>
      <c r="J44" s="143"/>
      <c r="K44" s="117"/>
    </row>
    <row r="45" spans="1:11" ht="18.95" customHeight="1" x14ac:dyDescent="0.3">
      <c r="A45" s="117"/>
      <c r="B45" s="181" t="s">
        <v>78</v>
      </c>
      <c r="C45" s="120"/>
      <c r="D45" s="120"/>
      <c r="E45" s="117"/>
      <c r="F45" s="127">
        <f t="shared" si="0"/>
        <v>2061</v>
      </c>
      <c r="G45" s="165">
        <f>IF('YbyY data'!$A$9=39,'YbyY data'!FV41,'YbyY data'!FJ41)</f>
        <v>0</v>
      </c>
      <c r="H45" s="165">
        <f>IF('YbyY data'!$A$9=39,'YbyY data'!FW41,'YbyY data'!FK41)</f>
        <v>0</v>
      </c>
      <c r="I45" s="165">
        <f>IF('YbyY data'!$A$9=39,'YbyY data'!FX41,'YbyY data'!FL41)</f>
        <v>0</v>
      </c>
      <c r="J45" s="143"/>
      <c r="K45" s="117"/>
    </row>
    <row r="46" spans="1:11" ht="18.95" customHeight="1" x14ac:dyDescent="0.3">
      <c r="A46" s="117"/>
      <c r="B46" s="182">
        <f>IF(AND('Input Sheet'!AD3=TRUE, 'Input Sheet'!AF3="X1ZHYVML"),'Input Sheet'!AE3*0.5,'Input Sheet'!$D$17)</f>
        <v>1682.0114525500005</v>
      </c>
      <c r="C46" s="121"/>
      <c r="D46" s="121"/>
      <c r="E46" s="117"/>
      <c r="F46" s="127">
        <f t="shared" si="0"/>
        <v>2062</v>
      </c>
      <c r="G46" s="165">
        <f>IF('YbyY data'!$A$9=39,'YbyY data'!FV42,'YbyY data'!FJ42)</f>
        <v>0</v>
      </c>
      <c r="H46" s="165">
        <f>IF('YbyY data'!$A$9=39,'YbyY data'!FW42,'YbyY data'!FK42)</f>
        <v>0</v>
      </c>
      <c r="I46" s="165">
        <f>IF('YbyY data'!$A$9=39,'YbyY data'!FX42,'YbyY data'!FL42)</f>
        <v>0</v>
      </c>
      <c r="J46" s="143"/>
      <c r="K46" s="117"/>
    </row>
    <row r="47" spans="1:11" ht="18.95" customHeight="1" x14ac:dyDescent="0.3">
      <c r="A47" s="117"/>
      <c r="B47" s="181" t="s">
        <v>183</v>
      </c>
      <c r="C47" s="120"/>
      <c r="D47" s="120"/>
      <c r="E47" s="117"/>
      <c r="F47" s="127">
        <f t="shared" si="0"/>
        <v>2063</v>
      </c>
      <c r="G47" s="165">
        <f>IF('YbyY data'!$A$9=39,'YbyY data'!FV43,'YbyY data'!FJ43)</f>
        <v>0</v>
      </c>
      <c r="H47" s="165">
        <f>IF('YbyY data'!$A$9=39,'YbyY data'!FW43,'YbyY data'!FK43)</f>
        <v>0</v>
      </c>
      <c r="I47" s="165">
        <f>IF('YbyY data'!$A$9=39,'YbyY data'!FX43,'YbyY data'!FL43)</f>
        <v>0</v>
      </c>
      <c r="J47" s="143"/>
      <c r="K47" s="117"/>
    </row>
    <row r="48" spans="1:11" ht="18.95" customHeight="1" x14ac:dyDescent="0.3">
      <c r="A48" s="117"/>
      <c r="B48" s="182">
        <f>IF(AND('Input Sheet'!AD3=TRUE, 'Input Sheet'!AF3="X1ZHYVML"),'Input Sheet'!AE9,'Input Sheet'!$F$17)</f>
        <v>3669.8431692000008</v>
      </c>
      <c r="C48" s="121"/>
      <c r="D48" s="121"/>
      <c r="E48" s="117"/>
      <c r="F48" s="127">
        <f t="shared" si="0"/>
        <v>2064</v>
      </c>
      <c r="G48" s="165">
        <f>IF('YbyY data'!$A$9=39,'YbyY data'!FV44,'YbyY data'!FJ44)</f>
        <v>0</v>
      </c>
      <c r="H48" s="165">
        <f>IF('YbyY data'!$A$9=39,'YbyY data'!FW44,'YbyY data'!FK44)</f>
        <v>0</v>
      </c>
      <c r="I48" s="165">
        <f>IF('YbyY data'!$A$9=39,'YbyY data'!FX44,'YbyY data'!FL44)</f>
        <v>0</v>
      </c>
      <c r="J48" s="143"/>
      <c r="K48" s="117"/>
    </row>
    <row r="49" spans="1:11" ht="18.95" customHeight="1" x14ac:dyDescent="0.3">
      <c r="A49" s="117"/>
      <c r="B49" s="183" t="s">
        <v>142</v>
      </c>
      <c r="C49" s="123"/>
      <c r="D49" s="123"/>
      <c r="E49" s="117"/>
      <c r="F49" s="127">
        <f t="shared" si="0"/>
        <v>2065</v>
      </c>
      <c r="G49" s="165">
        <f>IF('YbyY data'!$A$9=39,'YbyY data'!FV45,'YbyY data'!FJ45)</f>
        <v>0</v>
      </c>
      <c r="H49" s="165">
        <f>IF('YbyY data'!$A$9=39,'YbyY data'!FW45,'YbyY data'!FK45)</f>
        <v>0</v>
      </c>
      <c r="I49" s="165">
        <f>IF('YbyY data'!$A$9=39,'YbyY data'!FX45,'YbyY data'!FL45)</f>
        <v>0</v>
      </c>
      <c r="J49" s="143"/>
      <c r="K49" s="117"/>
    </row>
    <row r="50" spans="1:11" ht="18.95" customHeight="1" x14ac:dyDescent="0.3">
      <c r="A50" s="117"/>
      <c r="B50" s="117"/>
      <c r="C50" s="117"/>
      <c r="D50" s="117"/>
      <c r="E50" s="117"/>
      <c r="F50" s="122"/>
      <c r="G50" s="166"/>
      <c r="H50" s="166"/>
      <c r="I50" s="166"/>
      <c r="J50" s="143"/>
      <c r="K50" s="117"/>
    </row>
    <row r="51" spans="1:11" ht="18.95" customHeight="1" x14ac:dyDescent="0.3">
      <c r="A51" s="117"/>
      <c r="B51" s="117"/>
      <c r="C51" s="117"/>
      <c r="D51" s="117"/>
      <c r="E51" s="117"/>
      <c r="F51" s="198" t="s">
        <v>143</v>
      </c>
      <c r="G51" s="199">
        <f>SUM(G9:G48)</f>
        <v>2294999.9999999995</v>
      </c>
      <c r="H51" s="199">
        <f>SUM(H9:H48)</f>
        <v>2295000</v>
      </c>
      <c r="I51" s="199">
        <f>SUM(I9:I48)</f>
        <v>2295000.0000000014</v>
      </c>
      <c r="J51" s="143"/>
      <c r="K51" s="117"/>
    </row>
    <row r="52" spans="1:11" ht="18.95" customHeight="1" x14ac:dyDescent="0.3">
      <c r="A52" s="117"/>
      <c r="B52" s="117"/>
      <c r="C52" s="117"/>
      <c r="D52" s="117"/>
      <c r="E52" s="117"/>
      <c r="F52" s="140"/>
      <c r="G52" s="141"/>
      <c r="H52" s="141"/>
      <c r="I52" s="141"/>
      <c r="J52" s="134"/>
      <c r="K52" s="117"/>
    </row>
    <row r="53" spans="1:11" ht="18.95" customHeight="1" x14ac:dyDescent="0.3">
      <c r="B53" s="232" t="s">
        <v>233</v>
      </c>
      <c r="C53" s="232"/>
      <c r="D53" s="232"/>
      <c r="E53" s="232"/>
      <c r="F53" s="232"/>
      <c r="G53" s="232"/>
      <c r="H53" s="232"/>
      <c r="I53" s="232"/>
      <c r="J53" s="161"/>
      <c r="K53" s="117"/>
    </row>
    <row r="54" spans="1:11" ht="18.95" customHeight="1" x14ac:dyDescent="0.3">
      <c r="A54" s="161"/>
      <c r="B54" s="232"/>
      <c r="C54" s="232"/>
      <c r="D54" s="232"/>
      <c r="E54" s="232"/>
      <c r="F54" s="232"/>
      <c r="G54" s="232"/>
      <c r="H54" s="232"/>
      <c r="I54" s="232"/>
      <c r="J54" s="161"/>
      <c r="K54" s="117"/>
    </row>
    <row r="55" spans="1:11" ht="18.95" customHeight="1" x14ac:dyDescent="0.3">
      <c r="A55" s="161"/>
      <c r="B55" s="232"/>
      <c r="C55" s="232"/>
      <c r="D55" s="232"/>
      <c r="E55" s="232"/>
      <c r="F55" s="232"/>
      <c r="G55" s="232"/>
      <c r="H55" s="232"/>
      <c r="I55" s="232"/>
      <c r="J55" s="161"/>
      <c r="K55" s="117"/>
    </row>
    <row r="56" spans="1:11" ht="18.95" customHeight="1" x14ac:dyDescent="0.3">
      <c r="A56" s="161"/>
      <c r="B56" s="232"/>
      <c r="C56" s="232"/>
      <c r="D56" s="232"/>
      <c r="E56" s="232"/>
      <c r="F56" s="232"/>
      <c r="G56" s="232"/>
      <c r="H56" s="232"/>
      <c r="I56" s="232"/>
      <c r="J56" s="161"/>
      <c r="K56" s="117"/>
    </row>
    <row r="57" spans="1:11" ht="18.95" customHeight="1" x14ac:dyDescent="0.3">
      <c r="A57" s="161"/>
      <c r="B57" s="161"/>
      <c r="C57" s="161"/>
      <c r="D57" s="161"/>
      <c r="E57" s="161"/>
      <c r="F57" s="161"/>
      <c r="G57" s="161"/>
      <c r="H57" s="161"/>
      <c r="I57" s="161"/>
      <c r="J57" s="161"/>
      <c r="K57" s="117"/>
    </row>
    <row r="58" spans="1:11" ht="18.95" customHeight="1" x14ac:dyDescent="0.3">
      <c r="A58" s="161"/>
      <c r="B58" s="161"/>
      <c r="C58" s="161"/>
      <c r="D58" s="161"/>
      <c r="E58" s="161"/>
      <c r="F58" s="161"/>
      <c r="G58" s="161"/>
      <c r="H58" s="226" t="str">
        <f>"||Name_of_Prospect:"&amp;A2&amp;"||Address_of_Property:"&amp;B2&amp;"||Zip_Code:"&amp;C2&amp;"||Purchase_Price:"&amp;D2&amp;"||Capital_Improvements_Amount:"&amp;E2&amp;"||Building_Value:"&amp;F2&amp;"||Know_Land_Value:"&amp;G2&amp;"||Date_of_Purchase:="&amp;TEXT(H2,"mm/dd/yyyy")&amp;"||SqFt_Building:"&amp;I2&amp;"||Acres_Land:"&amp;J2&amp;"||Year_Built:"&amp;K2&amp;"||Bid_Amount_Original:"&amp;L2&amp;"||Pay_Upfront:"&amp;M2&amp;"||Pay_50_50_Amount:"&amp;N2&amp;"||Pay_Over_Time:"&amp;O2&amp;"||Rush_Fee:"&amp;P2&amp;"||Multiple_Properties_Quote:"&amp;Q2&amp;"||First_Year_Bonus_Quote:"&amp;R2&amp;"||Tax_Year:"&amp;S2&amp;"||Tax_Deadline_Quote:"&amp;T2&amp;"||"</f>
        <v>||Name_of_Prospect:Valued Client||Address_of_Property:123 Main St, Yourtown, US, 85260||Zip_Code:85260||Purchase_Price:2550000||Capital_Improvements_Amount:0||Building_Value:-2295000||Know_Land_Value:2295000||Date_of_Purchase:=03/15/2024||SqFt_Building:1500||Acres_Land:0.78||Year_Built:2024||Bid_Amount_Original:2900||Pay_Upfront:0||Pay_50_50_Amount:0||Pay_Over_Time:0||Rush_Fee:0||Multiple_Properties_Quote:1||First_Year_Bonus_Quote:0||Tax_Year:2025||Tax_Deadline_Quote:October||</v>
      </c>
      <c r="I58" s="161"/>
      <c r="J58" s="161"/>
      <c r="K58" s="117"/>
    </row>
    <row r="59" spans="1:11" ht="18.95" customHeight="1" x14ac:dyDescent="0.3">
      <c r="A59" s="142" t="str">
        <f>'Input Sheet'!J3</f>
        <v>Multi-Family</v>
      </c>
      <c r="B59" s="161"/>
      <c r="C59" s="161"/>
      <c r="D59" s="161"/>
      <c r="E59" s="176"/>
      <c r="F59" s="212">
        <f>'Input Sheet'!AN3</f>
        <v>0</v>
      </c>
      <c r="G59" s="162">
        <f>IF('Input Sheet'!AD3=TRUE,'Input Sheet'!AF5,'Input Sheet'!AF4)</f>
        <v>0</v>
      </c>
      <c r="H59" s="125"/>
      <c r="I59" s="125"/>
      <c r="J59" s="125"/>
      <c r="K59" s="117"/>
    </row>
    <row r="60" spans="1:11" ht="18.95" customHeight="1" x14ac:dyDescent="0.3">
      <c r="A60" s="117"/>
      <c r="B60" s="124">
        <f ca="1">TODAY()</f>
        <v>45946</v>
      </c>
      <c r="C60" s="176" t="str">
        <f>IF('Input Sheet'!AD3,'Input Sheet'!AE5,"*Previously Accumulated Depreciation")</f>
        <v>*Previously Accumulated Depreciation</v>
      </c>
      <c r="D60" s="176"/>
      <c r="E60" s="125"/>
      <c r="F60" s="125"/>
      <c r="G60" s="125"/>
      <c r="H60" s="125"/>
      <c r="I60" s="125"/>
      <c r="J60" s="117"/>
      <c r="K60" s="117"/>
    </row>
    <row r="61" spans="1:11" ht="18.95" customHeight="1" x14ac:dyDescent="0.3">
      <c r="A61" s="117"/>
      <c r="B61" s="117"/>
      <c r="C61" s="117"/>
      <c r="D61" s="117"/>
      <c r="E61" s="125"/>
      <c r="F61" s="125"/>
      <c r="G61" s="125"/>
      <c r="H61" s="125"/>
      <c r="I61" s="125"/>
      <c r="J61" s="117"/>
      <c r="K61" s="117"/>
    </row>
    <row r="62" spans="1:11" ht="18.95" customHeight="1" x14ac:dyDescent="0.3">
      <c r="B62" s="117"/>
      <c r="C62" s="117"/>
      <c r="D62" s="117"/>
      <c r="E62" s="116"/>
      <c r="F62" s="116"/>
      <c r="G62" s="116"/>
      <c r="H62" s="116"/>
      <c r="I62" s="116"/>
    </row>
  </sheetData>
  <mergeCells count="7">
    <mergeCell ref="B53:I56"/>
    <mergeCell ref="F7:G7"/>
    <mergeCell ref="H7:I7"/>
    <mergeCell ref="B13:C13"/>
    <mergeCell ref="B14:B15"/>
    <mergeCell ref="C30:D30"/>
    <mergeCell ref="B41:B42"/>
  </mergeCells>
  <conditionalFormatting sqref="B27">
    <cfRule type="cellIs" dxfId="1" priority="2" operator="greaterThanOrEqual">
      <formula>1</formula>
    </cfRule>
  </conditionalFormatting>
  <conditionalFormatting sqref="B40:B44">
    <cfRule type="beginsWith" dxfId="0" priority="1" operator="beginsWith" text="B438rh*dkdu">
      <formula>LEFT(B40,LEN("B438rh*dkdu"))="B438rh*dkdu"</formula>
    </cfRule>
  </conditionalFormatting>
  <hyperlinks>
    <hyperlink ref="B35" r:id="rId1" xr:uid="{C88C62D6-C67C-49E1-930B-2AB07DF4643E}"/>
  </hyperlinks>
  <pageMargins left="0.25" right="0.25" top="0.25" bottom="0" header="0" footer="0"/>
  <pageSetup scale="72" fitToHeight="0" orientation="portrait" r:id="rId2"/>
  <drawing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C2D07-EA6F-44C5-B358-AF10CB85B7AF}">
  <dimension ref="A1:L1"/>
  <sheetViews>
    <sheetView workbookViewId="0">
      <selection activeCell="B3" sqref="B3"/>
    </sheetView>
  </sheetViews>
  <sheetFormatPr defaultRowHeight="15" x14ac:dyDescent="0.25"/>
  <cols>
    <col min="1" max="1" width="9.28515625" bestFit="1" customWidth="1"/>
    <col min="2" max="2" width="16.42578125" bestFit="1" customWidth="1"/>
    <col min="3" max="3" width="14.28515625" customWidth="1"/>
    <col min="4" max="4" width="5.5703125" bestFit="1" customWidth="1"/>
    <col min="5" max="5" width="9.28515625" customWidth="1"/>
    <col min="6" max="6" width="14" style="57" bestFit="1" customWidth="1"/>
    <col min="7" max="7" width="8.28515625" style="57" bestFit="1" customWidth="1"/>
    <col min="8" max="8" width="12.7109375" style="57" customWidth="1"/>
    <col min="9" max="9" width="11.7109375" style="57" customWidth="1"/>
    <col min="10" max="10" width="16.5703125" bestFit="1" customWidth="1"/>
    <col min="11" max="11" width="10.28515625" style="57" customWidth="1"/>
    <col min="12" max="12" width="15.85546875" bestFit="1" customWidth="1"/>
  </cols>
  <sheetData>
    <row r="1" spans="1:12" x14ac:dyDescent="0.25">
      <c r="A1" s="156" t="s">
        <v>164</v>
      </c>
      <c r="B1" s="156" t="s">
        <v>165</v>
      </c>
      <c r="C1" s="156" t="s">
        <v>166</v>
      </c>
      <c r="D1" s="156" t="s">
        <v>167</v>
      </c>
      <c r="E1" s="156" t="s">
        <v>168</v>
      </c>
      <c r="F1" s="157" t="s">
        <v>12</v>
      </c>
      <c r="G1" s="157" t="s">
        <v>62</v>
      </c>
      <c r="H1" s="157" t="s">
        <v>53</v>
      </c>
      <c r="I1" s="156">
        <v>1031</v>
      </c>
      <c r="J1" s="156" t="s">
        <v>14</v>
      </c>
      <c r="K1" s="157" t="s">
        <v>61</v>
      </c>
      <c r="L1" s="156" t="s">
        <v>13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F811A-3A60-4D8A-A3BA-F89853EBBD7D}">
  <dimension ref="A1:AC51"/>
  <sheetViews>
    <sheetView workbookViewId="0">
      <selection activeCell="N31" sqref="N31"/>
    </sheetView>
  </sheetViews>
  <sheetFormatPr defaultColWidth="8.85546875" defaultRowHeight="15" x14ac:dyDescent="0.25"/>
  <cols>
    <col min="1" max="1" width="13.85546875" bestFit="1" customWidth="1"/>
    <col min="3" max="3" width="12.7109375" bestFit="1" customWidth="1"/>
    <col min="4" max="4" width="11.140625" bestFit="1" customWidth="1"/>
    <col min="6" max="6" width="12.42578125" bestFit="1" customWidth="1"/>
    <col min="7" max="7" width="11.140625" bestFit="1" customWidth="1"/>
    <col min="8" max="9" width="10.140625" bestFit="1" customWidth="1"/>
    <col min="10" max="10" width="12.140625" bestFit="1" customWidth="1"/>
    <col min="14" max="14" width="20" bestFit="1" customWidth="1"/>
    <col min="18" max="18" width="10.140625" bestFit="1" customWidth="1"/>
    <col min="20" max="21" width="9.28515625" bestFit="1" customWidth="1"/>
  </cols>
  <sheetData>
    <row r="1" spans="2:27" x14ac:dyDescent="0.25">
      <c r="B1" t="s">
        <v>0</v>
      </c>
      <c r="C1" t="s">
        <v>1</v>
      </c>
      <c r="D1" t="s">
        <v>2</v>
      </c>
      <c r="F1" t="s">
        <v>3</v>
      </c>
      <c r="H1" t="s">
        <v>6</v>
      </c>
      <c r="J1" t="s">
        <v>4</v>
      </c>
      <c r="L1" t="s">
        <v>10</v>
      </c>
      <c r="N1" t="s">
        <v>5</v>
      </c>
      <c r="P1" t="s">
        <v>70</v>
      </c>
      <c r="S1" t="s">
        <v>119</v>
      </c>
      <c r="T1" t="s">
        <v>122</v>
      </c>
      <c r="V1" s="9" t="s">
        <v>201</v>
      </c>
      <c r="W1" s="9"/>
    </row>
    <row r="2" spans="2:27" x14ac:dyDescent="0.25">
      <c r="B2">
        <v>80000</v>
      </c>
      <c r="C2">
        <v>1</v>
      </c>
      <c r="D2" t="s">
        <v>9</v>
      </c>
      <c r="E2">
        <v>1.05</v>
      </c>
      <c r="F2">
        <v>0</v>
      </c>
      <c r="G2">
        <v>0.75</v>
      </c>
      <c r="H2">
        <v>0</v>
      </c>
      <c r="I2">
        <v>0.75</v>
      </c>
      <c r="J2" t="s">
        <v>23</v>
      </c>
      <c r="K2">
        <v>1.01</v>
      </c>
      <c r="L2">
        <v>1</v>
      </c>
      <c r="M2">
        <v>1</v>
      </c>
      <c r="N2">
        <v>1</v>
      </c>
      <c r="O2">
        <v>1</v>
      </c>
      <c r="P2">
        <v>2009</v>
      </c>
      <c r="S2">
        <f>VLOOKUP('Input Sheet'!T3,'VLOOKUP Tables'!Y4:Z10,2,FALSE)</f>
        <v>0.1</v>
      </c>
      <c r="T2">
        <f>'Input Sheet'!U3</f>
        <v>0</v>
      </c>
      <c r="V2" t="s">
        <v>204</v>
      </c>
      <c r="W2">
        <v>0</v>
      </c>
    </row>
    <row r="3" spans="2:27" x14ac:dyDescent="0.25">
      <c r="B3">
        <v>90000</v>
      </c>
      <c r="C3">
        <v>1.01</v>
      </c>
      <c r="D3">
        <v>8000000</v>
      </c>
      <c r="E3">
        <v>1.04</v>
      </c>
      <c r="F3">
        <v>2500</v>
      </c>
      <c r="G3">
        <v>0.8</v>
      </c>
      <c r="H3">
        <v>0.25</v>
      </c>
      <c r="I3">
        <v>0.8</v>
      </c>
      <c r="J3" t="s">
        <v>24</v>
      </c>
      <c r="K3">
        <v>1.1499999999999999</v>
      </c>
      <c r="L3">
        <v>2</v>
      </c>
      <c r="M3">
        <v>1</v>
      </c>
      <c r="N3">
        <v>2</v>
      </c>
      <c r="O3">
        <v>0.8</v>
      </c>
      <c r="P3">
        <v>2010</v>
      </c>
      <c r="S3">
        <f>'Input Sheet'!B3*'Equation Sheet'!S2</f>
        <v>255000</v>
      </c>
      <c r="V3" t="s">
        <v>202</v>
      </c>
      <c r="W3">
        <v>500</v>
      </c>
    </row>
    <row r="4" spans="2:27" x14ac:dyDescent="0.25">
      <c r="B4">
        <v>70000</v>
      </c>
      <c r="C4">
        <v>1.02</v>
      </c>
      <c r="D4">
        <v>7000000</v>
      </c>
      <c r="E4">
        <v>1.03</v>
      </c>
      <c r="F4">
        <v>5000</v>
      </c>
      <c r="G4">
        <v>0.85</v>
      </c>
      <c r="H4">
        <v>0.5</v>
      </c>
      <c r="I4">
        <v>0.85</v>
      </c>
      <c r="J4" t="s">
        <v>25</v>
      </c>
      <c r="K4">
        <v>1.05</v>
      </c>
      <c r="L4">
        <v>3</v>
      </c>
      <c r="M4">
        <v>1.05</v>
      </c>
      <c r="N4">
        <v>3</v>
      </c>
      <c r="O4">
        <v>0.75</v>
      </c>
      <c r="P4">
        <v>2011</v>
      </c>
      <c r="S4">
        <f>MAX(S3,T2)</f>
        <v>255000</v>
      </c>
      <c r="V4" t="s">
        <v>203</v>
      </c>
      <c r="W4">
        <v>1000</v>
      </c>
    </row>
    <row r="5" spans="2:27" x14ac:dyDescent="0.25">
      <c r="B5">
        <v>96100</v>
      </c>
      <c r="C5">
        <v>1.03</v>
      </c>
      <c r="D5">
        <v>6000000</v>
      </c>
      <c r="E5">
        <v>1.02</v>
      </c>
      <c r="F5">
        <v>10000</v>
      </c>
      <c r="G5">
        <v>0.9</v>
      </c>
      <c r="H5">
        <v>1</v>
      </c>
      <c r="I5">
        <v>0.9</v>
      </c>
      <c r="J5" t="s">
        <v>26</v>
      </c>
      <c r="K5">
        <v>1</v>
      </c>
      <c r="L5">
        <v>4</v>
      </c>
      <c r="M5">
        <v>1.1000000000000001</v>
      </c>
      <c r="N5">
        <v>4</v>
      </c>
      <c r="O5">
        <v>0.7</v>
      </c>
      <c r="P5">
        <v>2012</v>
      </c>
    </row>
    <row r="6" spans="2:27" x14ac:dyDescent="0.25">
      <c r="B6">
        <v>60000</v>
      </c>
      <c r="C6">
        <v>1.04</v>
      </c>
      <c r="D6">
        <v>5000000</v>
      </c>
      <c r="E6">
        <v>1.01</v>
      </c>
      <c r="F6">
        <v>15000</v>
      </c>
      <c r="G6">
        <v>0.95</v>
      </c>
      <c r="H6">
        <v>2</v>
      </c>
      <c r="I6">
        <v>0.95</v>
      </c>
      <c r="J6" t="s">
        <v>27</v>
      </c>
      <c r="K6">
        <v>1.1499999999999999</v>
      </c>
      <c r="L6">
        <v>5</v>
      </c>
      <c r="M6">
        <v>1.1000000000000001</v>
      </c>
      <c r="N6">
        <v>5</v>
      </c>
      <c r="O6">
        <v>0.65</v>
      </c>
      <c r="P6">
        <v>2013</v>
      </c>
    </row>
    <row r="7" spans="2:27" x14ac:dyDescent="0.25">
      <c r="B7">
        <v>99000</v>
      </c>
      <c r="C7">
        <v>1.05</v>
      </c>
      <c r="D7">
        <v>4000000</v>
      </c>
      <c r="E7">
        <v>1</v>
      </c>
      <c r="F7">
        <v>20000</v>
      </c>
      <c r="G7">
        <v>1</v>
      </c>
      <c r="H7">
        <v>3</v>
      </c>
      <c r="I7">
        <v>1</v>
      </c>
      <c r="J7" t="s">
        <v>28</v>
      </c>
      <c r="K7">
        <v>1.05</v>
      </c>
      <c r="L7">
        <v>6</v>
      </c>
      <c r="M7">
        <v>1.1499999999999999</v>
      </c>
      <c r="N7">
        <v>6</v>
      </c>
      <c r="O7">
        <v>0.6</v>
      </c>
      <c r="P7">
        <v>2014</v>
      </c>
    </row>
    <row r="8" spans="2:27" x14ac:dyDescent="0.25">
      <c r="B8">
        <v>50000</v>
      </c>
      <c r="C8">
        <v>1.06</v>
      </c>
      <c r="D8">
        <v>3000000</v>
      </c>
      <c r="E8">
        <v>0.99</v>
      </c>
      <c r="F8">
        <v>30000</v>
      </c>
      <c r="G8">
        <v>1.05</v>
      </c>
      <c r="H8">
        <v>4</v>
      </c>
      <c r="I8">
        <v>1.05</v>
      </c>
      <c r="J8" t="s">
        <v>29</v>
      </c>
      <c r="K8">
        <v>0.4</v>
      </c>
      <c r="L8">
        <v>7</v>
      </c>
      <c r="M8">
        <v>1.1499999999999999</v>
      </c>
      <c r="N8" s="2" t="s">
        <v>211</v>
      </c>
      <c r="O8">
        <v>0.55000000000000004</v>
      </c>
      <c r="P8">
        <v>2015</v>
      </c>
    </row>
    <row r="9" spans="2:27" x14ac:dyDescent="0.25">
      <c r="B9">
        <v>40000</v>
      </c>
      <c r="C9">
        <v>1.07</v>
      </c>
      <c r="D9">
        <v>2000000</v>
      </c>
      <c r="E9">
        <v>0.98</v>
      </c>
      <c r="F9">
        <v>35000</v>
      </c>
      <c r="G9">
        <v>1.1000000000000001</v>
      </c>
      <c r="H9">
        <v>5</v>
      </c>
      <c r="I9">
        <v>1.1000000000000001</v>
      </c>
      <c r="J9" t="s">
        <v>74</v>
      </c>
      <c r="K9">
        <v>0.5</v>
      </c>
      <c r="L9">
        <v>8</v>
      </c>
      <c r="M9">
        <v>1.2</v>
      </c>
      <c r="P9">
        <v>2016</v>
      </c>
    </row>
    <row r="10" spans="2:27" x14ac:dyDescent="0.25">
      <c r="B10">
        <v>30000</v>
      </c>
      <c r="C10">
        <v>1.08</v>
      </c>
      <c r="D10">
        <v>1000000</v>
      </c>
      <c r="E10">
        <v>0.97</v>
      </c>
      <c r="F10">
        <v>40000</v>
      </c>
      <c r="G10">
        <v>1.1499999999999999</v>
      </c>
      <c r="H10">
        <v>6</v>
      </c>
      <c r="I10">
        <v>1.1499999999999999</v>
      </c>
      <c r="J10" t="s">
        <v>281</v>
      </c>
      <c r="K10">
        <v>1.05</v>
      </c>
      <c r="L10">
        <v>9</v>
      </c>
      <c r="M10">
        <v>1.2</v>
      </c>
      <c r="P10">
        <v>2017</v>
      </c>
    </row>
    <row r="11" spans="2:27" x14ac:dyDescent="0.25">
      <c r="B11">
        <v>20000</v>
      </c>
      <c r="C11">
        <v>1.0900000000000001</v>
      </c>
      <c r="D11">
        <v>750000</v>
      </c>
      <c r="E11">
        <v>0.96</v>
      </c>
      <c r="F11">
        <v>45000</v>
      </c>
      <c r="G11">
        <v>1.2</v>
      </c>
      <c r="H11">
        <v>7</v>
      </c>
      <c r="I11">
        <v>1.2</v>
      </c>
      <c r="J11" t="s">
        <v>176</v>
      </c>
      <c r="K11">
        <v>1.05</v>
      </c>
      <c r="L11">
        <v>10</v>
      </c>
      <c r="M11">
        <v>1.3</v>
      </c>
      <c r="P11">
        <v>2018</v>
      </c>
    </row>
    <row r="12" spans="2:27" x14ac:dyDescent="0.25">
      <c r="B12">
        <v>10000</v>
      </c>
      <c r="C12">
        <v>1.1000000000000001</v>
      </c>
      <c r="D12">
        <v>500000</v>
      </c>
      <c r="E12">
        <v>0.95</v>
      </c>
      <c r="F12">
        <v>50000</v>
      </c>
      <c r="G12">
        <v>1.25</v>
      </c>
      <c r="H12">
        <v>8</v>
      </c>
      <c r="I12">
        <v>1.25</v>
      </c>
      <c r="L12">
        <v>11</v>
      </c>
      <c r="M12">
        <v>1.3</v>
      </c>
      <c r="P12">
        <v>2019</v>
      </c>
    </row>
    <row r="13" spans="2:27" x14ac:dyDescent="0.25">
      <c r="B13">
        <v>0</v>
      </c>
      <c r="C13">
        <v>1.1100000000000001</v>
      </c>
      <c r="D13">
        <v>0</v>
      </c>
      <c r="E13">
        <v>1</v>
      </c>
      <c r="F13" s="2" t="s">
        <v>8</v>
      </c>
      <c r="G13">
        <v>0</v>
      </c>
      <c r="H13" s="2" t="s">
        <v>7</v>
      </c>
      <c r="I13">
        <v>0</v>
      </c>
      <c r="L13" s="2" t="s">
        <v>11</v>
      </c>
      <c r="M13">
        <v>0</v>
      </c>
      <c r="N13" s="2"/>
      <c r="P13">
        <v>2020</v>
      </c>
    </row>
    <row r="14" spans="2:27" x14ac:dyDescent="0.25">
      <c r="Q14" t="s">
        <v>244</v>
      </c>
      <c r="R14" t="s">
        <v>245</v>
      </c>
      <c r="S14" t="s">
        <v>246</v>
      </c>
      <c r="T14" t="s">
        <v>247</v>
      </c>
      <c r="U14" t="s">
        <v>248</v>
      </c>
      <c r="V14" t="s">
        <v>249</v>
      </c>
      <c r="X14" t="s">
        <v>235</v>
      </c>
      <c r="Z14" t="s">
        <v>250</v>
      </c>
    </row>
    <row r="15" spans="2:27" x14ac:dyDescent="0.25">
      <c r="Q15">
        <v>190</v>
      </c>
      <c r="S15">
        <v>175</v>
      </c>
      <c r="T15">
        <f>$Q$15+S15</f>
        <v>365</v>
      </c>
      <c r="U15">
        <f>IF(T15&gt;1500,1500,T15)</f>
        <v>365</v>
      </c>
      <c r="V15">
        <f>IF('Input Sheet'!F3&lt;2400,'Equation Sheet'!U15,'Equation Sheet'!U16)</f>
        <v>365</v>
      </c>
      <c r="W15">
        <f>IF('Input Sheet'!J6=1,'Equation Sheet'!V15,'Equation Sheet'!V16)</f>
        <v>265</v>
      </c>
      <c r="X15">
        <v>275</v>
      </c>
      <c r="Y15">
        <f>W15+X15</f>
        <v>540</v>
      </c>
      <c r="Z15">
        <v>150</v>
      </c>
      <c r="AA15">
        <f>Y15+Z15</f>
        <v>690</v>
      </c>
    </row>
    <row r="16" spans="2:27" x14ac:dyDescent="0.25">
      <c r="R16">
        <v>0.1</v>
      </c>
      <c r="S16">
        <f>R16*'Input Sheet'!$F$3</f>
        <v>150</v>
      </c>
      <c r="T16">
        <f t="shared" ref="T16:T19" si="0">$Q$15+S16</f>
        <v>340</v>
      </c>
      <c r="U16">
        <f t="shared" ref="U16:U19" si="1">IF(T16&gt;1500,1500,T16)</f>
        <v>340</v>
      </c>
      <c r="V16">
        <f>MAX(V19,V18,V17)</f>
        <v>265</v>
      </c>
    </row>
    <row r="17" spans="1:29" x14ac:dyDescent="0.25">
      <c r="N17" s="12" t="s">
        <v>37</v>
      </c>
      <c r="R17">
        <v>0.05</v>
      </c>
      <c r="S17">
        <f>R17*'Input Sheet'!$F$3</f>
        <v>75</v>
      </c>
      <c r="T17">
        <f t="shared" si="0"/>
        <v>265</v>
      </c>
      <c r="U17">
        <f t="shared" si="1"/>
        <v>265</v>
      </c>
      <c r="V17">
        <f>IF(AND('Input Sheet'!$F$3&gt;1,'Input Sheet'!$F$3&lt;99999),'Equation Sheet'!U17,0)</f>
        <v>265</v>
      </c>
    </row>
    <row r="18" spans="1:29" x14ac:dyDescent="0.25">
      <c r="N18" s="14" t="s">
        <v>19</v>
      </c>
      <c r="R18">
        <v>0.04</v>
      </c>
      <c r="S18">
        <f>R18*'Input Sheet'!$F$3</f>
        <v>60</v>
      </c>
      <c r="T18">
        <f t="shared" si="0"/>
        <v>250</v>
      </c>
      <c r="U18">
        <f t="shared" si="1"/>
        <v>250</v>
      </c>
      <c r="V18">
        <f>IF(AND('Input Sheet'!$F$3&gt;100000,'Input Sheet'!$F$3&lt;299999),'Equation Sheet'!U18,0)</f>
        <v>0</v>
      </c>
    </row>
    <row r="19" spans="1:29" x14ac:dyDescent="0.25">
      <c r="N19" s="10">
        <f>VLOOKUP('Input Sheet'!$B$3, 'VLOOKUP Tables'!A4:B15, 2, TRUE)</f>
        <v>1.3</v>
      </c>
      <c r="P19" s="10"/>
      <c r="R19">
        <v>0.03</v>
      </c>
      <c r="S19">
        <f>R19*'Input Sheet'!$F$3</f>
        <v>45</v>
      </c>
      <c r="T19">
        <f t="shared" si="0"/>
        <v>235</v>
      </c>
      <c r="U19">
        <f t="shared" si="1"/>
        <v>235</v>
      </c>
      <c r="V19">
        <f>IF('Input Sheet'!$F$3&gt;300000,'Equation Sheet'!U19,0)</f>
        <v>0</v>
      </c>
    </row>
    <row r="20" spans="1:29" x14ac:dyDescent="0.25">
      <c r="A20" s="1">
        <f>'Input Sheet'!B3+'Input Sheet'!AA3</f>
        <v>2550000</v>
      </c>
      <c r="C20" t="s">
        <v>16</v>
      </c>
      <c r="D20" t="s">
        <v>17</v>
      </c>
      <c r="N20" s="10"/>
    </row>
    <row r="21" spans="1:29" x14ac:dyDescent="0.25">
      <c r="A21" s="1">
        <f>(A20*0.0572355*0.25*0.08)+4000</f>
        <v>6919.0105000000003</v>
      </c>
      <c r="C21" s="1">
        <f>A21*N22*N19*N25*N28*N31*N34</f>
        <v>3058.2026410000008</v>
      </c>
      <c r="D21" s="1"/>
      <c r="F21" s="1"/>
      <c r="G21" s="1"/>
      <c r="H21" s="1"/>
      <c r="I21" s="1"/>
      <c r="N21" s="15" t="s">
        <v>20</v>
      </c>
      <c r="AA21" t="s">
        <v>239</v>
      </c>
      <c r="AB21">
        <v>150</v>
      </c>
      <c r="AC21" s="219">
        <f>AB21/AB26</f>
        <v>6.9799906933457417E-2</v>
      </c>
    </row>
    <row r="22" spans="1:29" x14ac:dyDescent="0.25">
      <c r="C22" s="1"/>
      <c r="D22" s="1">
        <f>C21*N37</f>
        <v>3058.2026410000008</v>
      </c>
      <c r="E22" s="1" t="s">
        <v>18</v>
      </c>
      <c r="G22" s="1"/>
      <c r="H22" s="1"/>
      <c r="I22" s="1"/>
      <c r="N22" s="10">
        <f>VLOOKUP('Input Sheet'!$D$3, 'VLOOKUP Tables'!D4:E15, 2, TRUE)</f>
        <v>1</v>
      </c>
      <c r="AA22" t="s">
        <v>250</v>
      </c>
      <c r="AB22">
        <f>Z15</f>
        <v>150</v>
      </c>
      <c r="AC22" s="219">
        <f>1-AC21</f>
        <v>0.93020009306654261</v>
      </c>
    </row>
    <row r="23" spans="1:29" x14ac:dyDescent="0.25">
      <c r="C23" s="1"/>
      <c r="D23" s="1">
        <f>C21*N38</f>
        <v>2140.7418487000004</v>
      </c>
      <c r="E23" s="1"/>
      <c r="G23" s="1"/>
      <c r="I23" s="1"/>
      <c r="N23" s="10"/>
      <c r="AA23" t="s">
        <v>235</v>
      </c>
      <c r="AB23">
        <f>X15</f>
        <v>275</v>
      </c>
    </row>
    <row r="24" spans="1:29" x14ac:dyDescent="0.25">
      <c r="C24" s="1"/>
      <c r="E24" s="1"/>
      <c r="G24" s="1"/>
      <c r="I24" s="1"/>
      <c r="N24" s="13" t="s">
        <v>35</v>
      </c>
      <c r="AA24" t="s">
        <v>236</v>
      </c>
      <c r="AB24">
        <f>W15</f>
        <v>265</v>
      </c>
    </row>
    <row r="25" spans="1:29" ht="15.75" thickBot="1" x14ac:dyDescent="0.3">
      <c r="C25" s="1"/>
      <c r="E25" s="1"/>
      <c r="G25" s="1"/>
      <c r="I25" s="1"/>
      <c r="N25" s="10">
        <f>VLOOKUP('Input Sheet'!$F$3, 'VLOOKUP Tables'!G4:H15, 2, TRUE)</f>
        <v>1</v>
      </c>
      <c r="AA25" s="33" t="s">
        <v>234</v>
      </c>
      <c r="AB25" s="33">
        <v>1309</v>
      </c>
      <c r="AC25" s="33"/>
    </row>
    <row r="26" spans="1:29" ht="15.75" thickTop="1" x14ac:dyDescent="0.25">
      <c r="C26" s="1"/>
      <c r="E26" s="1"/>
      <c r="G26" s="1"/>
      <c r="I26" s="1"/>
      <c r="N26" s="10"/>
      <c r="AA26" t="s">
        <v>143</v>
      </c>
      <c r="AB26">
        <f>SUM(AB21:AB25)</f>
        <v>2149</v>
      </c>
    </row>
    <row r="27" spans="1:29" x14ac:dyDescent="0.25">
      <c r="C27" s="1"/>
      <c r="E27" s="1"/>
      <c r="G27" s="1"/>
      <c r="I27" s="1"/>
      <c r="N27" s="13" t="s">
        <v>22</v>
      </c>
    </row>
    <row r="28" spans="1:29" x14ac:dyDescent="0.25">
      <c r="C28" s="1"/>
      <c r="E28" s="1"/>
      <c r="G28" s="1"/>
      <c r="I28" s="1"/>
      <c r="J28" s="3"/>
      <c r="K28" s="3"/>
      <c r="N28" s="10">
        <f>VLOOKUP('Input Sheet'!H3,'VLOOKUP Tables'!J4:K15,2,TRUE)</f>
        <v>0.85</v>
      </c>
    </row>
    <row r="29" spans="1:29" x14ac:dyDescent="0.25">
      <c r="C29" s="1"/>
      <c r="E29" s="1"/>
      <c r="G29" s="1"/>
      <c r="I29" s="1"/>
      <c r="J29" s="3"/>
      <c r="K29" s="3"/>
      <c r="N29" s="10"/>
    </row>
    <row r="30" spans="1:29" x14ac:dyDescent="0.25">
      <c r="A30" s="3"/>
      <c r="B30" s="3"/>
      <c r="C30" s="3"/>
      <c r="D30" s="3"/>
      <c r="E30" s="3"/>
      <c r="F30" s="3"/>
      <c r="G30" s="3"/>
      <c r="H30" s="3"/>
      <c r="I30" s="3"/>
      <c r="L30" s="3"/>
      <c r="M30" s="3"/>
      <c r="N30" s="13" t="s">
        <v>36</v>
      </c>
      <c r="O30" s="3"/>
      <c r="P30" s="3"/>
      <c r="R30" s="3"/>
      <c r="S30" s="3"/>
      <c r="T30" s="3"/>
      <c r="U30" s="3"/>
    </row>
    <row r="31" spans="1:29" x14ac:dyDescent="0.25">
      <c r="A31" s="3"/>
      <c r="B31" s="3"/>
      <c r="C31" s="3"/>
      <c r="D31" s="3"/>
      <c r="E31" s="3"/>
      <c r="F31" s="3"/>
      <c r="G31" s="3"/>
      <c r="H31" s="3"/>
      <c r="I31" s="3"/>
      <c r="L31" s="3"/>
      <c r="M31" s="3"/>
      <c r="N31" s="10">
        <f>VLOOKUP('Input Sheet'!$J$3, 'VLOOKUP Tables'!M4:N13, 2, FALSE)</f>
        <v>0.4</v>
      </c>
      <c r="O31" s="3"/>
      <c r="P31" s="3"/>
      <c r="R31" s="3"/>
      <c r="S31" s="3"/>
      <c r="T31" s="3"/>
      <c r="U31" s="3"/>
    </row>
    <row r="32" spans="1:29" x14ac:dyDescent="0.25">
      <c r="C32" s="1"/>
      <c r="E32" s="1"/>
      <c r="G32" s="1"/>
      <c r="I32" s="1"/>
      <c r="N32" s="10"/>
    </row>
    <row r="33" spans="1:14" x14ac:dyDescent="0.25">
      <c r="C33" s="1"/>
      <c r="N33" s="13" t="s">
        <v>30</v>
      </c>
    </row>
    <row r="34" spans="1:14" x14ac:dyDescent="0.25">
      <c r="A34" s="1"/>
      <c r="N34" s="10">
        <f>VLOOKUP('Input Sheet'!$L$3, 'VLOOKUP Tables'!P4:Q15, 2, FALSE)</f>
        <v>1</v>
      </c>
    </row>
    <row r="35" spans="1:14" x14ac:dyDescent="0.25">
      <c r="A35" s="1"/>
      <c r="C35" s="1"/>
      <c r="D35" s="1"/>
      <c r="N35" s="10"/>
    </row>
    <row r="36" spans="1:14" x14ac:dyDescent="0.25">
      <c r="N36" s="13" t="s">
        <v>32</v>
      </c>
    </row>
    <row r="37" spans="1:14" x14ac:dyDescent="0.25">
      <c r="N37" s="10">
        <f>VLOOKUP('Input Sheet'!$N$3, 'VLOOKUP Tables'!S4:T15, 2, FALSE)</f>
        <v>1</v>
      </c>
    </row>
    <row r="38" spans="1:14" x14ac:dyDescent="0.25">
      <c r="N38" s="11">
        <v>0.7</v>
      </c>
    </row>
    <row r="39" spans="1:14" x14ac:dyDescent="0.25">
      <c r="A39" t="s">
        <v>38</v>
      </c>
      <c r="N39" s="13" t="s">
        <v>31</v>
      </c>
    </row>
    <row r="40" spans="1:14" x14ac:dyDescent="0.25">
      <c r="A40" s="17">
        <f>'Input Sheet'!B9</f>
        <v>3058.2026410000008</v>
      </c>
      <c r="N40" s="10">
        <f>'Input Sheet'!$N$3</f>
        <v>1</v>
      </c>
    </row>
    <row r="41" spans="1:14" x14ac:dyDescent="0.25">
      <c r="N41" s="11"/>
    </row>
    <row r="42" spans="1:14" x14ac:dyDescent="0.25">
      <c r="B42" t="s">
        <v>40</v>
      </c>
      <c r="C42">
        <v>3500</v>
      </c>
    </row>
    <row r="43" spans="1:14" x14ac:dyDescent="0.25">
      <c r="B43" t="s">
        <v>41</v>
      </c>
      <c r="C43">
        <v>15000</v>
      </c>
    </row>
    <row r="44" spans="1:14" x14ac:dyDescent="0.25">
      <c r="B44" t="s">
        <v>42</v>
      </c>
      <c r="C44">
        <v>0.01</v>
      </c>
    </row>
    <row r="45" spans="1:14" x14ac:dyDescent="0.25">
      <c r="B45" t="s">
        <v>43</v>
      </c>
      <c r="C45" t="s">
        <v>44</v>
      </c>
      <c r="G45" t="s">
        <v>234</v>
      </c>
      <c r="H45" t="s">
        <v>235</v>
      </c>
      <c r="I45" t="s">
        <v>236</v>
      </c>
      <c r="J45" t="s">
        <v>237</v>
      </c>
      <c r="K45" t="s">
        <v>238</v>
      </c>
      <c r="L45" t="s">
        <v>239</v>
      </c>
    </row>
    <row r="46" spans="1:14" x14ac:dyDescent="0.25">
      <c r="C46" s="1">
        <f>A40-C42</f>
        <v>-441.79735899999923</v>
      </c>
    </row>
    <row r="47" spans="1:14" x14ac:dyDescent="0.25">
      <c r="C47" s="18">
        <f>C46*0.001</f>
        <v>-0.44179735899999922</v>
      </c>
    </row>
    <row r="48" spans="1:14" x14ac:dyDescent="0.25">
      <c r="C48" s="1">
        <f>C47*-C44</f>
        <v>4.417973589999992E-3</v>
      </c>
    </row>
    <row r="49" spans="3:3" x14ac:dyDescent="0.25">
      <c r="C49" s="19">
        <f>2.71828183^(C48)</f>
        <v>1.0044277472257537</v>
      </c>
    </row>
    <row r="50" spans="3:3" x14ac:dyDescent="0.25">
      <c r="C50">
        <f>1+C49</f>
        <v>2.0044277472257539</v>
      </c>
    </row>
    <row r="51" spans="3:3" x14ac:dyDescent="0.25">
      <c r="C51">
        <f>C43/C50</f>
        <v>7483.4326259756099</v>
      </c>
    </row>
  </sheetData>
  <sortState xmlns:xlrd2="http://schemas.microsoft.com/office/spreadsheetml/2017/richdata2" ref="N2:O11">
    <sortCondition ref="N2:N11"/>
  </sortState>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39E25-841E-1F42-899E-62707FD68068}">
  <dimension ref="A1:G43"/>
  <sheetViews>
    <sheetView workbookViewId="0">
      <selection activeCell="J1" sqref="J1:P31"/>
    </sheetView>
  </sheetViews>
  <sheetFormatPr defaultColWidth="11.42578125" defaultRowHeight="15" x14ac:dyDescent="0.25"/>
  <cols>
    <col min="2" max="2" width="18.42578125" bestFit="1" customWidth="1"/>
    <col min="13" max="13" width="12.7109375" bestFit="1" customWidth="1"/>
    <col min="15" max="15" width="12.7109375" bestFit="1" customWidth="1"/>
  </cols>
  <sheetData>
    <row r="1" spans="1:7" x14ac:dyDescent="0.25">
      <c r="A1" t="s">
        <v>47</v>
      </c>
      <c r="B1" t="s">
        <v>48</v>
      </c>
      <c r="C1" t="s">
        <v>49</v>
      </c>
      <c r="D1" t="s">
        <v>50</v>
      </c>
      <c r="E1" t="s">
        <v>51</v>
      </c>
      <c r="F1" t="s">
        <v>52</v>
      </c>
    </row>
    <row r="2" spans="1:7" x14ac:dyDescent="0.25">
      <c r="A2" s="20">
        <f>'Input Sheet'!B3</f>
        <v>2550000</v>
      </c>
      <c r="B2" s="1">
        <f>A2*0.9</f>
        <v>2295000</v>
      </c>
      <c r="C2" s="21">
        <f>B12</f>
        <v>43830</v>
      </c>
      <c r="D2" s="22">
        <f t="shared" ref="D2:D41" si="0">$A$2*E2</f>
        <v>145950.52500000005</v>
      </c>
      <c r="E2">
        <v>5.7235500000000016E-2</v>
      </c>
      <c r="F2" s="22">
        <f t="shared" ref="F2:F41" si="1">$A$2*G2</f>
        <v>1020338.64</v>
      </c>
      <c r="G2">
        <v>0.40013280000000001</v>
      </c>
    </row>
    <row r="3" spans="1:7" x14ac:dyDescent="0.25">
      <c r="B3" t="s">
        <v>53</v>
      </c>
      <c r="C3" s="21">
        <f t="shared" ref="C3:C41" si="2">C2+365.25</f>
        <v>44195.25</v>
      </c>
      <c r="D3" s="22">
        <f t="shared" si="0"/>
        <v>223613.32500000001</v>
      </c>
      <c r="E3">
        <v>8.7691500000000006E-2</v>
      </c>
      <c r="F3" s="22">
        <f t="shared" si="1"/>
        <v>33488.639999999992</v>
      </c>
      <c r="G3">
        <v>1.3132799999999998E-2</v>
      </c>
    </row>
    <row r="4" spans="1:7" x14ac:dyDescent="0.25">
      <c r="B4" s="3">
        <f>A2*0.1</f>
        <v>255000</v>
      </c>
      <c r="C4" s="21">
        <f t="shared" si="2"/>
        <v>44560.5</v>
      </c>
      <c r="D4" s="22">
        <f t="shared" si="0"/>
        <v>166444.875</v>
      </c>
      <c r="E4">
        <v>6.5272499999999997E-2</v>
      </c>
      <c r="F4" s="22">
        <f t="shared" si="1"/>
        <v>33488.639999999992</v>
      </c>
      <c r="G4">
        <v>1.3132799999999998E-2</v>
      </c>
    </row>
    <row r="5" spans="1:7" x14ac:dyDescent="0.25">
      <c r="C5" s="21">
        <f t="shared" si="2"/>
        <v>44925.75</v>
      </c>
      <c r="D5" s="22">
        <f t="shared" si="0"/>
        <v>129444.88500000002</v>
      </c>
      <c r="E5">
        <v>5.0762700000000008E-2</v>
      </c>
      <c r="F5" s="22">
        <f t="shared" si="1"/>
        <v>33488.639999999992</v>
      </c>
      <c r="G5">
        <v>1.3132799999999998E-2</v>
      </c>
    </row>
    <row r="6" spans="1:7" x14ac:dyDescent="0.25">
      <c r="C6" s="21">
        <f t="shared" si="2"/>
        <v>45291</v>
      </c>
      <c r="D6" s="22">
        <f t="shared" si="0"/>
        <v>119838.01499999998</v>
      </c>
      <c r="E6">
        <v>4.6995299999999997E-2</v>
      </c>
      <c r="F6" s="22">
        <f t="shared" si="1"/>
        <v>33488.639999999992</v>
      </c>
      <c r="G6">
        <v>1.3132799999999998E-2</v>
      </c>
    </row>
    <row r="7" spans="1:7" x14ac:dyDescent="0.25">
      <c r="C7" s="21">
        <f t="shared" si="2"/>
        <v>45656.25</v>
      </c>
      <c r="D7" s="22">
        <f t="shared" si="0"/>
        <v>97780.77</v>
      </c>
      <c r="E7">
        <v>3.8345400000000002E-2</v>
      </c>
      <c r="F7" s="22">
        <f t="shared" si="1"/>
        <v>33488.639999999992</v>
      </c>
      <c r="G7">
        <v>1.3132799999999998E-2</v>
      </c>
    </row>
    <row r="8" spans="1:7" x14ac:dyDescent="0.25">
      <c r="B8" t="s">
        <v>54</v>
      </c>
      <c r="C8" s="21">
        <f t="shared" si="2"/>
        <v>46021.5</v>
      </c>
      <c r="D8" s="22">
        <f t="shared" si="0"/>
        <v>77623.785000000003</v>
      </c>
      <c r="E8">
        <v>3.0440700000000001E-2</v>
      </c>
      <c r="F8" s="22">
        <f t="shared" si="1"/>
        <v>33488.639999999992</v>
      </c>
      <c r="G8">
        <v>1.3132799999999998E-2</v>
      </c>
    </row>
    <row r="9" spans="1:7" x14ac:dyDescent="0.25">
      <c r="B9" s="21">
        <v>43570</v>
      </c>
      <c r="C9" s="21">
        <f t="shared" si="2"/>
        <v>46386.75</v>
      </c>
      <c r="D9" s="22">
        <f t="shared" si="0"/>
        <v>70442.73</v>
      </c>
      <c r="E9">
        <v>2.7624599999999996E-2</v>
      </c>
      <c r="F9" s="22">
        <f t="shared" si="1"/>
        <v>33488.639999999992</v>
      </c>
      <c r="G9">
        <v>1.3132799999999998E-2</v>
      </c>
    </row>
    <row r="10" spans="1:7" x14ac:dyDescent="0.25">
      <c r="C10" s="21">
        <f t="shared" si="2"/>
        <v>46752</v>
      </c>
      <c r="D10" s="22">
        <f t="shared" si="0"/>
        <v>63328.23</v>
      </c>
      <c r="E10">
        <v>2.4834600000000002E-2</v>
      </c>
      <c r="F10" s="22">
        <f t="shared" si="1"/>
        <v>33488.639999999992</v>
      </c>
      <c r="G10">
        <v>1.3132799999999998E-2</v>
      </c>
    </row>
    <row r="11" spans="1:7" x14ac:dyDescent="0.25">
      <c r="B11" t="s">
        <v>55</v>
      </c>
      <c r="C11" s="21">
        <f t="shared" si="2"/>
        <v>47117.25</v>
      </c>
      <c r="D11" s="22">
        <f t="shared" si="0"/>
        <v>63277.74</v>
      </c>
      <c r="E11">
        <v>2.4814799999999998E-2</v>
      </c>
      <c r="F11" s="22">
        <f t="shared" si="1"/>
        <v>33488.639999999992</v>
      </c>
      <c r="G11">
        <v>1.3132799999999998E-2</v>
      </c>
    </row>
    <row r="12" spans="1:7" x14ac:dyDescent="0.25">
      <c r="B12" s="21">
        <v>43830</v>
      </c>
      <c r="C12" s="21">
        <f t="shared" si="2"/>
        <v>47482.5</v>
      </c>
      <c r="D12" s="22">
        <f t="shared" si="0"/>
        <v>63328.23</v>
      </c>
      <c r="E12">
        <v>2.4834600000000002E-2</v>
      </c>
      <c r="F12" s="22">
        <f t="shared" si="1"/>
        <v>33488.639999999992</v>
      </c>
      <c r="G12">
        <v>1.3132799999999998E-2</v>
      </c>
    </row>
    <row r="13" spans="1:7" x14ac:dyDescent="0.25">
      <c r="C13" s="21">
        <f t="shared" si="2"/>
        <v>47847.75</v>
      </c>
      <c r="D13" s="22">
        <f t="shared" si="0"/>
        <v>63277.74</v>
      </c>
      <c r="E13">
        <v>2.4814799999999998E-2</v>
      </c>
      <c r="F13" s="22">
        <f t="shared" si="1"/>
        <v>33488.639999999992</v>
      </c>
      <c r="G13">
        <v>1.3132799999999998E-2</v>
      </c>
    </row>
    <row r="14" spans="1:7" x14ac:dyDescent="0.25">
      <c r="C14" s="21">
        <f t="shared" si="2"/>
        <v>48213</v>
      </c>
      <c r="D14" s="22">
        <f t="shared" si="0"/>
        <v>63328.23</v>
      </c>
      <c r="E14">
        <v>2.4834600000000002E-2</v>
      </c>
      <c r="F14" s="22">
        <f t="shared" si="1"/>
        <v>33488.639999999992</v>
      </c>
      <c r="G14">
        <v>1.3132799999999998E-2</v>
      </c>
    </row>
    <row r="15" spans="1:7" x14ac:dyDescent="0.25">
      <c r="C15" s="21">
        <f t="shared" si="2"/>
        <v>48578.25</v>
      </c>
      <c r="D15" s="22">
        <f t="shared" si="0"/>
        <v>63277.74</v>
      </c>
      <c r="E15">
        <v>2.4814799999999998E-2</v>
      </c>
      <c r="F15" s="22">
        <f t="shared" si="1"/>
        <v>33488.639999999992</v>
      </c>
      <c r="G15">
        <v>1.3132799999999998E-2</v>
      </c>
    </row>
    <row r="16" spans="1:7" x14ac:dyDescent="0.25">
      <c r="C16" s="21">
        <f t="shared" si="2"/>
        <v>48943.5</v>
      </c>
      <c r="D16" s="22">
        <f t="shared" si="0"/>
        <v>63328.23</v>
      </c>
      <c r="E16">
        <v>2.4834600000000002E-2</v>
      </c>
      <c r="F16" s="22">
        <f t="shared" si="1"/>
        <v>33488.639999999992</v>
      </c>
      <c r="G16">
        <v>1.3132799999999998E-2</v>
      </c>
    </row>
    <row r="17" spans="3:7" x14ac:dyDescent="0.25">
      <c r="C17" s="21">
        <f t="shared" si="2"/>
        <v>49308.75</v>
      </c>
      <c r="D17" s="22">
        <f t="shared" si="0"/>
        <v>48383.189999999995</v>
      </c>
      <c r="E17">
        <v>1.8973799999999999E-2</v>
      </c>
      <c r="F17" s="22">
        <f t="shared" si="1"/>
        <v>33488.639999999992</v>
      </c>
      <c r="G17">
        <v>1.3132799999999998E-2</v>
      </c>
    </row>
    <row r="18" spans="3:7" x14ac:dyDescent="0.25">
      <c r="C18" s="21">
        <f t="shared" si="2"/>
        <v>49674</v>
      </c>
      <c r="D18" s="22">
        <f t="shared" si="0"/>
        <v>33488.639999999992</v>
      </c>
      <c r="E18">
        <v>1.3132799999999998E-2</v>
      </c>
      <c r="F18" s="22">
        <f t="shared" si="1"/>
        <v>33488.639999999992</v>
      </c>
      <c r="G18">
        <v>1.3132799999999998E-2</v>
      </c>
    </row>
    <row r="19" spans="3:7" x14ac:dyDescent="0.25">
      <c r="C19" s="21">
        <f t="shared" si="2"/>
        <v>50039.25</v>
      </c>
      <c r="D19" s="22">
        <f t="shared" si="0"/>
        <v>33488.639999999992</v>
      </c>
      <c r="E19">
        <v>1.3132799999999998E-2</v>
      </c>
      <c r="F19" s="22">
        <f t="shared" si="1"/>
        <v>33488.639999999992</v>
      </c>
      <c r="G19">
        <v>1.3132799999999998E-2</v>
      </c>
    </row>
    <row r="20" spans="3:7" x14ac:dyDescent="0.25">
      <c r="C20" s="21">
        <f t="shared" si="2"/>
        <v>50404.5</v>
      </c>
      <c r="D20" s="22">
        <f t="shared" si="0"/>
        <v>33488.639999999992</v>
      </c>
      <c r="E20">
        <v>1.3132799999999998E-2</v>
      </c>
      <c r="F20" s="22">
        <f t="shared" si="1"/>
        <v>33488.639999999992</v>
      </c>
      <c r="G20">
        <v>1.3132799999999998E-2</v>
      </c>
    </row>
    <row r="21" spans="3:7" x14ac:dyDescent="0.25">
      <c r="C21" s="21">
        <f t="shared" si="2"/>
        <v>50769.75</v>
      </c>
      <c r="D21" s="22">
        <f t="shared" si="0"/>
        <v>33488.639999999992</v>
      </c>
      <c r="E21">
        <v>1.3132799999999998E-2</v>
      </c>
      <c r="F21" s="22">
        <f t="shared" si="1"/>
        <v>33488.639999999992</v>
      </c>
      <c r="G21">
        <v>1.3132799999999998E-2</v>
      </c>
    </row>
    <row r="22" spans="3:7" x14ac:dyDescent="0.25">
      <c r="C22" s="21">
        <f t="shared" si="2"/>
        <v>51135</v>
      </c>
      <c r="D22" s="22">
        <f t="shared" si="0"/>
        <v>33488.639999999992</v>
      </c>
      <c r="E22">
        <v>1.3132799999999998E-2</v>
      </c>
      <c r="F22" s="22">
        <f t="shared" si="1"/>
        <v>33488.639999999992</v>
      </c>
      <c r="G22">
        <v>1.3132799999999998E-2</v>
      </c>
    </row>
    <row r="23" spans="3:7" x14ac:dyDescent="0.25">
      <c r="C23" s="21">
        <f t="shared" si="2"/>
        <v>51500.25</v>
      </c>
      <c r="D23" s="22">
        <f t="shared" si="0"/>
        <v>33488.639999999992</v>
      </c>
      <c r="E23">
        <v>1.3132799999999998E-2</v>
      </c>
      <c r="F23" s="22">
        <f t="shared" si="1"/>
        <v>33488.639999999992</v>
      </c>
      <c r="G23">
        <v>1.3132799999999998E-2</v>
      </c>
    </row>
    <row r="24" spans="3:7" x14ac:dyDescent="0.25">
      <c r="C24" s="21">
        <f t="shared" si="2"/>
        <v>51865.5</v>
      </c>
      <c r="D24" s="22">
        <f t="shared" si="0"/>
        <v>33488.639999999992</v>
      </c>
      <c r="E24">
        <v>1.3132799999999998E-2</v>
      </c>
      <c r="F24" s="22">
        <f t="shared" si="1"/>
        <v>33488.639999999992</v>
      </c>
      <c r="G24">
        <v>1.3132799999999998E-2</v>
      </c>
    </row>
    <row r="25" spans="3:7" x14ac:dyDescent="0.25">
      <c r="C25" s="21">
        <f t="shared" si="2"/>
        <v>52230.75</v>
      </c>
      <c r="D25" s="22">
        <f t="shared" si="0"/>
        <v>33488.639999999992</v>
      </c>
      <c r="E25">
        <v>1.3132799999999998E-2</v>
      </c>
      <c r="F25" s="22">
        <f t="shared" si="1"/>
        <v>33488.639999999992</v>
      </c>
      <c r="G25">
        <v>1.3132799999999998E-2</v>
      </c>
    </row>
    <row r="26" spans="3:7" x14ac:dyDescent="0.25">
      <c r="C26" s="21">
        <f t="shared" si="2"/>
        <v>52596</v>
      </c>
      <c r="D26" s="22">
        <f t="shared" si="0"/>
        <v>33488.639999999992</v>
      </c>
      <c r="E26">
        <v>1.3132799999999998E-2</v>
      </c>
      <c r="F26" s="22">
        <f t="shared" si="1"/>
        <v>33488.639999999992</v>
      </c>
      <c r="G26">
        <v>1.3132799999999998E-2</v>
      </c>
    </row>
    <row r="27" spans="3:7" x14ac:dyDescent="0.25">
      <c r="C27" s="21">
        <f t="shared" si="2"/>
        <v>52961.25</v>
      </c>
      <c r="D27" s="22">
        <f t="shared" si="0"/>
        <v>33488.639999999992</v>
      </c>
      <c r="E27">
        <v>1.3132799999999998E-2</v>
      </c>
      <c r="F27" s="22">
        <f t="shared" si="1"/>
        <v>33488.639999999992</v>
      </c>
      <c r="G27">
        <v>1.3132799999999998E-2</v>
      </c>
    </row>
    <row r="28" spans="3:7" x14ac:dyDescent="0.25">
      <c r="C28" s="21">
        <f t="shared" si="2"/>
        <v>53326.5</v>
      </c>
      <c r="D28" s="22">
        <f t="shared" si="0"/>
        <v>33488.639999999992</v>
      </c>
      <c r="E28">
        <v>1.3132799999999998E-2</v>
      </c>
      <c r="F28" s="22">
        <f t="shared" si="1"/>
        <v>33488.639999999992</v>
      </c>
      <c r="G28">
        <v>1.3132799999999998E-2</v>
      </c>
    </row>
    <row r="29" spans="3:7" x14ac:dyDescent="0.25">
      <c r="C29" s="21">
        <f t="shared" si="2"/>
        <v>53691.75</v>
      </c>
      <c r="D29" s="22">
        <f t="shared" si="0"/>
        <v>33488.639999999992</v>
      </c>
      <c r="E29">
        <v>1.3132799999999998E-2</v>
      </c>
      <c r="F29" s="22">
        <f t="shared" si="1"/>
        <v>33488.639999999992</v>
      </c>
      <c r="G29">
        <v>1.3132799999999998E-2</v>
      </c>
    </row>
    <row r="30" spans="3:7" x14ac:dyDescent="0.25">
      <c r="C30" s="21">
        <f t="shared" si="2"/>
        <v>54057</v>
      </c>
      <c r="D30" s="22">
        <f t="shared" si="0"/>
        <v>33488.639999999992</v>
      </c>
      <c r="E30">
        <v>1.3132799999999998E-2</v>
      </c>
      <c r="F30" s="22">
        <f t="shared" si="1"/>
        <v>33488.639999999992</v>
      </c>
      <c r="G30">
        <v>1.3132799999999998E-2</v>
      </c>
    </row>
    <row r="31" spans="3:7" x14ac:dyDescent="0.25">
      <c r="C31" s="21">
        <f t="shared" si="2"/>
        <v>54422.25</v>
      </c>
      <c r="D31" s="22">
        <f t="shared" si="0"/>
        <v>33488.639999999992</v>
      </c>
      <c r="E31">
        <v>1.3132799999999998E-2</v>
      </c>
      <c r="F31" s="22">
        <f t="shared" si="1"/>
        <v>33488.639999999992</v>
      </c>
      <c r="G31">
        <v>1.3132799999999998E-2</v>
      </c>
    </row>
    <row r="32" spans="3:7" x14ac:dyDescent="0.25">
      <c r="C32" s="21">
        <f t="shared" si="2"/>
        <v>54787.5</v>
      </c>
      <c r="D32" s="22">
        <f t="shared" si="0"/>
        <v>33488.639999999992</v>
      </c>
      <c r="E32">
        <v>1.3132799999999998E-2</v>
      </c>
      <c r="F32" s="22">
        <f t="shared" si="1"/>
        <v>33488.639999999992</v>
      </c>
      <c r="G32">
        <v>1.3132799999999998E-2</v>
      </c>
    </row>
    <row r="33" spans="3:7" x14ac:dyDescent="0.25">
      <c r="C33" s="21">
        <f t="shared" si="2"/>
        <v>55152.75</v>
      </c>
      <c r="D33" s="22">
        <f t="shared" si="0"/>
        <v>33488.639999999992</v>
      </c>
      <c r="E33">
        <v>1.3132799999999998E-2</v>
      </c>
      <c r="F33" s="22">
        <f t="shared" si="1"/>
        <v>33488.639999999992</v>
      </c>
      <c r="G33">
        <v>1.3132799999999998E-2</v>
      </c>
    </row>
    <row r="34" spans="3:7" x14ac:dyDescent="0.25">
      <c r="C34" s="21">
        <f t="shared" si="2"/>
        <v>55518</v>
      </c>
      <c r="D34" s="22">
        <f t="shared" si="0"/>
        <v>33488.639999999992</v>
      </c>
      <c r="E34">
        <v>1.3132799999999998E-2</v>
      </c>
      <c r="F34" s="22">
        <f t="shared" si="1"/>
        <v>33488.639999999992</v>
      </c>
      <c r="G34">
        <v>1.3132799999999998E-2</v>
      </c>
    </row>
    <row r="35" spans="3:7" x14ac:dyDescent="0.25">
      <c r="C35" s="21">
        <f t="shared" si="2"/>
        <v>55883.25</v>
      </c>
      <c r="D35" s="22">
        <f t="shared" si="0"/>
        <v>33488.639999999992</v>
      </c>
      <c r="E35">
        <v>1.3132799999999998E-2</v>
      </c>
      <c r="F35" s="22">
        <f t="shared" si="1"/>
        <v>33488.639999999992</v>
      </c>
      <c r="G35">
        <v>1.3132799999999998E-2</v>
      </c>
    </row>
    <row r="36" spans="3:7" x14ac:dyDescent="0.25">
      <c r="C36" s="21">
        <f t="shared" si="2"/>
        <v>56248.5</v>
      </c>
      <c r="D36" s="22">
        <f t="shared" si="0"/>
        <v>33488.639999999992</v>
      </c>
      <c r="E36">
        <v>1.3132799999999998E-2</v>
      </c>
      <c r="F36" s="22">
        <f t="shared" si="1"/>
        <v>33488.639999999992</v>
      </c>
      <c r="G36">
        <v>1.3132799999999998E-2</v>
      </c>
    </row>
    <row r="37" spans="3:7" x14ac:dyDescent="0.25">
      <c r="C37" s="21">
        <f t="shared" si="2"/>
        <v>56613.75</v>
      </c>
      <c r="D37" s="22">
        <f t="shared" si="0"/>
        <v>33488.639999999992</v>
      </c>
      <c r="E37">
        <v>1.3132799999999998E-2</v>
      </c>
      <c r="F37" s="22">
        <f t="shared" si="1"/>
        <v>33488.639999999992</v>
      </c>
      <c r="G37">
        <v>1.3132799999999998E-2</v>
      </c>
    </row>
    <row r="38" spans="3:7" x14ac:dyDescent="0.25">
      <c r="C38" s="21">
        <f t="shared" si="2"/>
        <v>56979</v>
      </c>
      <c r="D38" s="22">
        <f t="shared" si="0"/>
        <v>33488.639999999992</v>
      </c>
      <c r="E38">
        <v>1.3132799999999998E-2</v>
      </c>
      <c r="F38" s="22">
        <f t="shared" si="1"/>
        <v>33488.639999999992</v>
      </c>
      <c r="G38">
        <v>1.3132799999999998E-2</v>
      </c>
    </row>
    <row r="39" spans="3:7" x14ac:dyDescent="0.25">
      <c r="C39" s="21">
        <f t="shared" si="2"/>
        <v>57344.25</v>
      </c>
      <c r="D39" s="22">
        <f t="shared" si="0"/>
        <v>33488.639999999992</v>
      </c>
      <c r="E39">
        <v>1.3132799999999998E-2</v>
      </c>
      <c r="F39" s="22">
        <f t="shared" si="1"/>
        <v>33488.639999999992</v>
      </c>
      <c r="G39">
        <v>1.3132799999999998E-2</v>
      </c>
    </row>
    <row r="40" spans="3:7" x14ac:dyDescent="0.25">
      <c r="C40" s="21">
        <f t="shared" si="2"/>
        <v>57709.5</v>
      </c>
      <c r="D40" s="22">
        <f t="shared" si="0"/>
        <v>33488.639999999992</v>
      </c>
      <c r="E40">
        <v>1.3132799999999998E-2</v>
      </c>
      <c r="F40" s="22">
        <f t="shared" si="1"/>
        <v>33488.639999999992</v>
      </c>
      <c r="G40">
        <v>1.3132799999999998E-2</v>
      </c>
    </row>
    <row r="41" spans="3:7" x14ac:dyDescent="0.25">
      <c r="C41" s="21">
        <f t="shared" si="2"/>
        <v>58074.75</v>
      </c>
      <c r="D41" s="22">
        <f t="shared" si="0"/>
        <v>2093.0399999991864</v>
      </c>
      <c r="E41">
        <v>8.2079999999968103E-4</v>
      </c>
      <c r="F41" s="22">
        <f t="shared" si="1"/>
        <v>2093.0399999991864</v>
      </c>
      <c r="G41">
        <v>8.2079999999968103E-4</v>
      </c>
    </row>
    <row r="43" spans="3:7" x14ac:dyDescent="0.25">
      <c r="D43" s="22">
        <f>SUM(D2:D41)</f>
        <v>2294999.9999999981</v>
      </c>
      <c r="F43" s="22">
        <f>SUM(F2:F41)</f>
        <v>2294999.9999999967</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077CE-D7F2-4523-B6D3-AF29CBFF37C6}">
  <dimension ref="A1:K159"/>
  <sheetViews>
    <sheetView workbookViewId="0"/>
  </sheetViews>
  <sheetFormatPr defaultColWidth="11.42578125" defaultRowHeight="15" x14ac:dyDescent="0.25"/>
  <cols>
    <col min="1" max="1" width="12.7109375" style="1" bestFit="1" customWidth="1"/>
    <col min="2" max="3" width="10.140625" bestFit="1" customWidth="1"/>
    <col min="4" max="4" width="12.7109375" bestFit="1" customWidth="1"/>
    <col min="11" max="11" width="5.7109375" bestFit="1" customWidth="1"/>
  </cols>
  <sheetData>
    <row r="1" spans="1:11" x14ac:dyDescent="0.25">
      <c r="A1" s="1">
        <v>100000</v>
      </c>
      <c r="B1" s="1">
        <f t="shared" ref="B1:B32" si="0">(A1*0.0572355*0.4*0.08)+3500</f>
        <v>3683.1536000000001</v>
      </c>
      <c r="C1" s="1">
        <f>B1*'Equation Sheet'!$N$19*'Equation Sheet'!$N$22*'Equation Sheet'!$N$25*'Equation Sheet'!$N$28*'Equation Sheet'!$N$31*'Equation Sheet'!$N$34*'Equation Sheet'!$N$37</f>
        <v>1627.9538912</v>
      </c>
      <c r="D1" s="1">
        <f t="shared" ref="D1:D32" si="1">30000/E1</f>
        <v>7148.0077971992132</v>
      </c>
      <c r="E1">
        <f t="shared" ref="E1:E32" si="2">1+F1</f>
        <v>4.1969735975602642</v>
      </c>
      <c r="F1">
        <f t="shared" ref="F1:F32" si="3">2.71828183^G1</f>
        <v>3.1969735975602642</v>
      </c>
      <c r="G1" s="18">
        <f t="shared" ref="G1:G32" si="4">H1*0.001*-0.1</f>
        <v>1.1622046108799999</v>
      </c>
      <c r="H1" s="1">
        <f t="shared" ref="H1:H32" si="5">C1-13250</f>
        <v>-11622.046108799999</v>
      </c>
      <c r="K1" s="1"/>
    </row>
    <row r="2" spans="1:11" x14ac:dyDescent="0.25">
      <c r="A2" s="1">
        <v>150000</v>
      </c>
      <c r="B2" s="1">
        <f t="shared" si="0"/>
        <v>3774.7303999999999</v>
      </c>
      <c r="C2" s="1">
        <f>B2*'Equation Sheet'!$N$19*'Equation Sheet'!$N$22*'Equation Sheet'!$N$25*'Equation Sheet'!$N$28*'Equation Sheet'!$N$31*'Equation Sheet'!$N$34*'Equation Sheet'!$N$37</f>
        <v>1668.4308368</v>
      </c>
      <c r="D2" s="1">
        <f t="shared" si="1"/>
        <v>7170.070327136511</v>
      </c>
      <c r="E2">
        <f t="shared" si="2"/>
        <v>4.1840593789518667</v>
      </c>
      <c r="F2">
        <f t="shared" si="3"/>
        <v>3.1840593789518663</v>
      </c>
      <c r="G2" s="18">
        <f t="shared" si="4"/>
        <v>1.1581569163200001</v>
      </c>
      <c r="H2" s="1">
        <f t="shared" si="5"/>
        <v>-11581.5691632</v>
      </c>
      <c r="K2" s="1"/>
    </row>
    <row r="3" spans="1:11" x14ac:dyDescent="0.25">
      <c r="A3" s="1">
        <v>200000</v>
      </c>
      <c r="B3" s="1">
        <f t="shared" si="0"/>
        <v>3866.3072000000002</v>
      </c>
      <c r="C3" s="1">
        <f>B3*'Equation Sheet'!$N$19*'Equation Sheet'!$N$22*'Equation Sheet'!$N$25*'Equation Sheet'!$N$28*'Equation Sheet'!$N$31*'Equation Sheet'!$N$34*'Equation Sheet'!$N$37</f>
        <v>1708.9077824000001</v>
      </c>
      <c r="D3" s="1">
        <f t="shared" si="1"/>
        <v>7192.1795217334084</v>
      </c>
      <c r="E3">
        <f t="shared" si="2"/>
        <v>4.1711973275063094</v>
      </c>
      <c r="F3">
        <f t="shared" si="3"/>
        <v>3.1711973275063099</v>
      </c>
      <c r="G3" s="1">
        <f t="shared" si="4"/>
        <v>1.1541092217600002</v>
      </c>
      <c r="H3" s="1">
        <f t="shared" si="5"/>
        <v>-11541.0922176</v>
      </c>
      <c r="K3" s="1"/>
    </row>
    <row r="4" spans="1:11" x14ac:dyDescent="0.25">
      <c r="A4" s="1">
        <v>250000</v>
      </c>
      <c r="B4" s="1">
        <f t="shared" si="0"/>
        <v>3957.884</v>
      </c>
      <c r="C4" s="1">
        <f>B4*'Equation Sheet'!$N$19*'Equation Sheet'!$N$22*'Equation Sheet'!$N$25*'Equation Sheet'!$N$28*'Equation Sheet'!$N$31*'Equation Sheet'!$N$34*'Equation Sheet'!$N$37</f>
        <v>1749.3847280000002</v>
      </c>
      <c r="D4" s="1">
        <f t="shared" si="1"/>
        <v>7214.3353475068625</v>
      </c>
      <c r="E4">
        <f t="shared" si="2"/>
        <v>4.1583872324936255</v>
      </c>
      <c r="F4">
        <f t="shared" si="3"/>
        <v>3.158387232493626</v>
      </c>
      <c r="G4" s="1">
        <f t="shared" si="4"/>
        <v>1.1500615271999999</v>
      </c>
      <c r="H4" s="1">
        <f t="shared" si="5"/>
        <v>-11500.615271999999</v>
      </c>
      <c r="K4" s="1"/>
    </row>
    <row r="5" spans="1:11" x14ac:dyDescent="0.25">
      <c r="A5" s="1">
        <v>300000</v>
      </c>
      <c r="B5" s="1">
        <f t="shared" si="0"/>
        <v>4049.4607999999998</v>
      </c>
      <c r="C5" s="1">
        <f>B5*'Equation Sheet'!$N$19*'Equation Sheet'!$N$22*'Equation Sheet'!$N$25*'Equation Sheet'!$N$28*'Equation Sheet'!$N$31*'Equation Sheet'!$N$34*'Equation Sheet'!$N$37</f>
        <v>1789.8616736000001</v>
      </c>
      <c r="D5" s="1">
        <f t="shared" si="1"/>
        <v>7236.5377700668378</v>
      </c>
      <c r="E5">
        <f t="shared" si="2"/>
        <v>4.1456288840350952</v>
      </c>
      <c r="F5">
        <f t="shared" si="3"/>
        <v>3.1456288840350952</v>
      </c>
      <c r="G5" s="1">
        <f t="shared" si="4"/>
        <v>1.14601383264</v>
      </c>
      <c r="H5" s="1">
        <f t="shared" si="5"/>
        <v>-11460.1383264</v>
      </c>
      <c r="K5" s="1"/>
    </row>
    <row r="6" spans="1:11" x14ac:dyDescent="0.25">
      <c r="A6" s="1">
        <v>350000</v>
      </c>
      <c r="B6" s="1">
        <f t="shared" si="0"/>
        <v>4141.0375999999997</v>
      </c>
      <c r="C6" s="1">
        <f>B6*'Equation Sheet'!$N$19*'Equation Sheet'!$N$22*'Equation Sheet'!$N$25*'Equation Sheet'!$N$28*'Equation Sheet'!$N$31*'Equation Sheet'!$N$34*'Equation Sheet'!$N$37</f>
        <v>1830.3386191999998</v>
      </c>
      <c r="D6" s="1">
        <f t="shared" si="1"/>
        <v>7258.7867541134628</v>
      </c>
      <c r="E6">
        <f t="shared" si="2"/>
        <v>4.1329220730998024</v>
      </c>
      <c r="F6">
        <f t="shared" si="3"/>
        <v>3.1329220730998024</v>
      </c>
      <c r="G6" s="1">
        <f t="shared" si="4"/>
        <v>1.1419661380800001</v>
      </c>
      <c r="H6" s="1">
        <f t="shared" si="5"/>
        <v>-11419.6613808</v>
      </c>
      <c r="K6" s="1"/>
    </row>
    <row r="7" spans="1:11" x14ac:dyDescent="0.25">
      <c r="A7" s="1">
        <v>400000</v>
      </c>
      <c r="B7" s="1">
        <f t="shared" si="0"/>
        <v>4232.6144000000004</v>
      </c>
      <c r="C7" s="1">
        <f>B7*'Equation Sheet'!$N$19*'Equation Sheet'!$N$22*'Equation Sheet'!$N$25*'Equation Sheet'!$N$28*'Equation Sheet'!$N$31*'Equation Sheet'!$N$34*'Equation Sheet'!$N$37</f>
        <v>1870.8155648000004</v>
      </c>
      <c r="D7" s="1">
        <f t="shared" si="1"/>
        <v>7281.0822634342012</v>
      </c>
      <c r="E7">
        <f t="shared" si="2"/>
        <v>4.1202665915012169</v>
      </c>
      <c r="F7">
        <f t="shared" si="3"/>
        <v>3.1202665915012164</v>
      </c>
      <c r="G7" s="1">
        <f t="shared" si="4"/>
        <v>1.13791844352</v>
      </c>
      <c r="H7" s="1">
        <f t="shared" si="5"/>
        <v>-11379.184435199999</v>
      </c>
      <c r="K7" s="1"/>
    </row>
    <row r="8" spans="1:11" x14ac:dyDescent="0.25">
      <c r="A8" s="1">
        <v>450000</v>
      </c>
      <c r="B8" s="1">
        <f t="shared" si="0"/>
        <v>4324.1912000000002</v>
      </c>
      <c r="C8" s="1">
        <f>B8*'Equation Sheet'!$N$19*'Equation Sheet'!$N$22*'Equation Sheet'!$N$25*'Equation Sheet'!$N$28*'Equation Sheet'!$N$31*'Equation Sheet'!$N$34*'Equation Sheet'!$N$37</f>
        <v>1911.2925104000003</v>
      </c>
      <c r="D8" s="1">
        <f t="shared" si="1"/>
        <v>7303.4242609010525</v>
      </c>
      <c r="E8">
        <f t="shared" si="2"/>
        <v>4.1076622318937801</v>
      </c>
      <c r="F8">
        <f t="shared" si="3"/>
        <v>3.1076622318937801</v>
      </c>
      <c r="G8" s="1">
        <f t="shared" si="4"/>
        <v>1.13387074896</v>
      </c>
      <c r="H8" s="1">
        <f t="shared" si="5"/>
        <v>-11338.707489599999</v>
      </c>
      <c r="K8" s="1"/>
    </row>
    <row r="9" spans="1:11" x14ac:dyDescent="0.25">
      <c r="A9" s="1">
        <v>500000</v>
      </c>
      <c r="B9" s="1">
        <f t="shared" si="0"/>
        <v>4415.768</v>
      </c>
      <c r="C9" s="1">
        <f>B9*'Equation Sheet'!$N$19*'Equation Sheet'!$N$22*'Equation Sheet'!$N$25*'Equation Sheet'!$N$28*'Equation Sheet'!$N$31*'Equation Sheet'!$N$34*'Equation Sheet'!$N$37</f>
        <v>1951.769456</v>
      </c>
      <c r="D9" s="1">
        <f t="shared" si="1"/>
        <v>7325.8127084677899</v>
      </c>
      <c r="E9">
        <f t="shared" si="2"/>
        <v>4.0951087877695098</v>
      </c>
      <c r="F9">
        <f t="shared" si="3"/>
        <v>3.0951087877695103</v>
      </c>
      <c r="G9" s="1">
        <f t="shared" si="4"/>
        <v>1.1298230544000001</v>
      </c>
      <c r="H9" s="1">
        <f t="shared" si="5"/>
        <v>-11298.230544</v>
      </c>
      <c r="K9" s="1"/>
    </row>
    <row r="10" spans="1:11" x14ac:dyDescent="0.25">
      <c r="A10" s="1">
        <v>550000</v>
      </c>
      <c r="B10" s="1">
        <f t="shared" si="0"/>
        <v>4507.3447999999999</v>
      </c>
      <c r="C10" s="1">
        <f>B10*'Equation Sheet'!$N$19*'Equation Sheet'!$N$22*'Equation Sheet'!$N$25*'Equation Sheet'!$N$28*'Equation Sheet'!$N$31*'Equation Sheet'!$N$34*'Equation Sheet'!$N$37</f>
        <v>1992.2464015999999</v>
      </c>
      <c r="D10" s="1">
        <f t="shared" si="1"/>
        <v>7348.24756716721</v>
      </c>
      <c r="E10">
        <f t="shared" si="2"/>
        <v>4.0826060534546151</v>
      </c>
      <c r="F10">
        <f t="shared" si="3"/>
        <v>3.0826060534546156</v>
      </c>
      <c r="G10" s="1">
        <f t="shared" si="4"/>
        <v>1.1257753598400002</v>
      </c>
      <c r="H10" s="1">
        <f t="shared" si="5"/>
        <v>-11257.753598400001</v>
      </c>
      <c r="K10" s="1"/>
    </row>
    <row r="11" spans="1:11" x14ac:dyDescent="0.25">
      <c r="A11" s="1">
        <v>600000</v>
      </c>
      <c r="B11" s="1">
        <f t="shared" si="0"/>
        <v>4598.9215999999997</v>
      </c>
      <c r="C11" s="1">
        <f>B11*'Equation Sheet'!$N$19*'Equation Sheet'!$N$22*'Equation Sheet'!$N$25*'Equation Sheet'!$N$28*'Equation Sheet'!$N$31*'Equation Sheet'!$N$34*'Equation Sheet'!$N$37</f>
        <v>2032.7233472</v>
      </c>
      <c r="D11" s="1">
        <f t="shared" si="1"/>
        <v>7370.7287971084261</v>
      </c>
      <c r="E11">
        <f t="shared" si="2"/>
        <v>4.070153824106125</v>
      </c>
      <c r="F11">
        <f t="shared" si="3"/>
        <v>3.070153824106125</v>
      </c>
      <c r="G11" s="1">
        <f t="shared" si="4"/>
        <v>1.1217276652799999</v>
      </c>
      <c r="H11" s="1">
        <f t="shared" si="5"/>
        <v>-11217.276652799999</v>
      </c>
      <c r="K11" s="1"/>
    </row>
    <row r="12" spans="1:11" x14ac:dyDescent="0.25">
      <c r="A12" s="1">
        <v>650000</v>
      </c>
      <c r="B12" s="1">
        <f t="shared" si="0"/>
        <v>4690.4984000000004</v>
      </c>
      <c r="C12" s="1">
        <f>B12*'Equation Sheet'!$N$19*'Equation Sheet'!$N$22*'Equation Sheet'!$N$25*'Equation Sheet'!$N$28*'Equation Sheet'!$N$31*'Equation Sheet'!$N$34*'Equation Sheet'!$N$37</f>
        <v>2073.2002928000002</v>
      </c>
      <c r="D12" s="1">
        <f t="shared" si="1"/>
        <v>7393.2563574741662</v>
      </c>
      <c r="E12">
        <f t="shared" si="2"/>
        <v>4.0577518957085381</v>
      </c>
      <c r="F12">
        <f t="shared" si="3"/>
        <v>3.0577518957085386</v>
      </c>
      <c r="G12" s="1">
        <f t="shared" si="4"/>
        <v>1.11767997072</v>
      </c>
      <c r="H12" s="1">
        <f t="shared" si="5"/>
        <v>-11176.7997072</v>
      </c>
      <c r="K12" s="1"/>
    </row>
    <row r="13" spans="1:11" x14ac:dyDescent="0.25">
      <c r="A13" s="1">
        <v>700000</v>
      </c>
      <c r="B13" s="1">
        <f t="shared" si="0"/>
        <v>4782.0752000000002</v>
      </c>
      <c r="C13" s="1">
        <f>B13*'Equation Sheet'!$N$19*'Equation Sheet'!$N$22*'Equation Sheet'!$N$25*'Equation Sheet'!$N$28*'Equation Sheet'!$N$31*'Equation Sheet'!$N$34*'Equation Sheet'!$N$37</f>
        <v>2113.6772384000005</v>
      </c>
      <c r="D13" s="1">
        <f t="shared" si="1"/>
        <v>7415.8302065181188</v>
      </c>
      <c r="E13">
        <f t="shared" si="2"/>
        <v>4.045400065070476</v>
      </c>
      <c r="F13">
        <f t="shared" si="3"/>
        <v>3.0454000650704756</v>
      </c>
      <c r="G13" s="1">
        <f t="shared" si="4"/>
        <v>1.1136322761600002</v>
      </c>
      <c r="H13" s="1">
        <f t="shared" si="5"/>
        <v>-11136.3227616</v>
      </c>
      <c r="K13" s="1"/>
    </row>
    <row r="14" spans="1:11" x14ac:dyDescent="0.25">
      <c r="A14" s="1">
        <v>750000</v>
      </c>
      <c r="B14" s="1">
        <f t="shared" si="0"/>
        <v>4873.652</v>
      </c>
      <c r="C14" s="1">
        <f>B14*'Equation Sheet'!$N$19*'Equation Sheet'!$N$22*'Equation Sheet'!$N$25*'Equation Sheet'!$N$28*'Equation Sheet'!$N$31*'Equation Sheet'!$N$34*'Equation Sheet'!$N$37</f>
        <v>2154.1541840000004</v>
      </c>
      <c r="D14" s="1">
        <f t="shared" si="1"/>
        <v>7438.4503015623095</v>
      </c>
      <c r="E14">
        <f t="shared" si="2"/>
        <v>4.0330981298213491</v>
      </c>
      <c r="F14">
        <f t="shared" si="3"/>
        <v>3.0330981298213486</v>
      </c>
      <c r="G14" s="1">
        <f t="shared" si="4"/>
        <v>1.1095845815999998</v>
      </c>
      <c r="H14" s="1">
        <f t="shared" si="5"/>
        <v>-11095.845815999999</v>
      </c>
      <c r="K14" s="1"/>
    </row>
    <row r="15" spans="1:11" x14ac:dyDescent="0.25">
      <c r="A15" s="1">
        <v>800000</v>
      </c>
      <c r="B15" s="1">
        <f t="shared" si="0"/>
        <v>4965.2287999999999</v>
      </c>
      <c r="C15" s="1">
        <f>B15*'Equation Sheet'!$N$19*'Equation Sheet'!$N$22*'Equation Sheet'!$N$25*'Equation Sheet'!$N$28*'Equation Sheet'!$N$31*'Equation Sheet'!$N$34*'Equation Sheet'!$N$37</f>
        <v>2194.6311295999999</v>
      </c>
      <c r="D15" s="1">
        <f t="shared" si="1"/>
        <v>7461.1165989944702</v>
      </c>
      <c r="E15">
        <f t="shared" si="2"/>
        <v>4.0208458884080542</v>
      </c>
      <c r="F15">
        <f t="shared" si="3"/>
        <v>3.0208458884080547</v>
      </c>
      <c r="G15" s="1">
        <f t="shared" si="4"/>
        <v>1.1055368870400002</v>
      </c>
      <c r="H15" s="1">
        <f t="shared" si="5"/>
        <v>-11055.3688704</v>
      </c>
      <c r="K15" s="1"/>
    </row>
    <row r="16" spans="1:11" x14ac:dyDescent="0.25">
      <c r="A16" s="1">
        <v>850000</v>
      </c>
      <c r="B16" s="1">
        <f t="shared" si="0"/>
        <v>5056.8056000000006</v>
      </c>
      <c r="C16" s="1">
        <f>B16*'Equation Sheet'!$N$19*'Equation Sheet'!$N$22*'Equation Sheet'!$N$25*'Equation Sheet'!$N$28*'Equation Sheet'!$N$31*'Equation Sheet'!$N$34*'Equation Sheet'!$N$37</f>
        <v>2235.1080752000003</v>
      </c>
      <c r="D16" s="1">
        <f t="shared" si="1"/>
        <v>7483.8290542654831</v>
      </c>
      <c r="E16">
        <f t="shared" si="2"/>
        <v>4.008643140091662</v>
      </c>
      <c r="F16">
        <f t="shared" si="3"/>
        <v>3.0086431400916616</v>
      </c>
      <c r="G16" s="1">
        <f t="shared" si="4"/>
        <v>1.1014891924800001</v>
      </c>
      <c r="H16" s="1">
        <f t="shared" si="5"/>
        <v>-11014.8919248</v>
      </c>
      <c r="K16" s="1"/>
    </row>
    <row r="17" spans="1:11" x14ac:dyDescent="0.25">
      <c r="A17" s="1">
        <v>900000</v>
      </c>
      <c r="B17" s="1">
        <f t="shared" si="0"/>
        <v>5148.3824000000004</v>
      </c>
      <c r="C17" s="1">
        <f>B17*'Equation Sheet'!$N$19*'Equation Sheet'!$N$22*'Equation Sheet'!$N$25*'Equation Sheet'!$N$28*'Equation Sheet'!$N$31*'Equation Sheet'!$N$34*'Equation Sheet'!$N$37</f>
        <v>2275.5850208000002</v>
      </c>
      <c r="D17" s="1">
        <f t="shared" si="1"/>
        <v>7506.5876218868361</v>
      </c>
      <c r="E17">
        <f t="shared" si="2"/>
        <v>3.9964896849441263</v>
      </c>
      <c r="F17">
        <f t="shared" si="3"/>
        <v>2.9964896849441263</v>
      </c>
      <c r="G17" s="1">
        <f t="shared" si="4"/>
        <v>1.09744149792</v>
      </c>
      <c r="H17" s="1">
        <f t="shared" si="5"/>
        <v>-10974.414979199999</v>
      </c>
      <c r="K17" s="1"/>
    </row>
    <row r="18" spans="1:11" x14ac:dyDescent="0.25">
      <c r="A18" s="1">
        <v>950000</v>
      </c>
      <c r="B18" s="1">
        <f t="shared" si="0"/>
        <v>5239.9592000000002</v>
      </c>
      <c r="C18" s="1">
        <f>B18*'Equation Sheet'!$N$19*'Equation Sheet'!$N$22*'Equation Sheet'!$N$25*'Equation Sheet'!$N$28*'Equation Sheet'!$N$31*'Equation Sheet'!$N$34*'Equation Sheet'!$N$37</f>
        <v>2316.0619664000001</v>
      </c>
      <c r="D18" s="1">
        <f t="shared" si="1"/>
        <v>7529.3922554280816</v>
      </c>
      <c r="E18">
        <f t="shared" si="2"/>
        <v>3.9843853238450198</v>
      </c>
      <c r="F18">
        <f t="shared" si="3"/>
        <v>2.9843853238450198</v>
      </c>
      <c r="G18" s="1">
        <f t="shared" si="4"/>
        <v>1.0933938033600001</v>
      </c>
      <c r="H18" s="1">
        <f t="shared" si="5"/>
        <v>-10933.938033599999</v>
      </c>
      <c r="K18" s="1"/>
    </row>
    <row r="19" spans="1:11" x14ac:dyDescent="0.25">
      <c r="A19" s="1">
        <v>1000000</v>
      </c>
      <c r="B19" s="1">
        <f t="shared" si="0"/>
        <v>5331.5360000000001</v>
      </c>
      <c r="C19" s="1">
        <f>B19*'Equation Sheet'!$N$19*'Equation Sheet'!$N$22*'Equation Sheet'!$N$25*'Equation Sheet'!$N$28*'Equation Sheet'!$N$31*'Equation Sheet'!$N$34*'Equation Sheet'!$N$37</f>
        <v>2356.538912</v>
      </c>
      <c r="D19" s="1">
        <f t="shared" si="1"/>
        <v>7552.2429075143691</v>
      </c>
      <c r="E19">
        <f t="shared" si="2"/>
        <v>3.9723298584782603</v>
      </c>
      <c r="F19">
        <f t="shared" si="3"/>
        <v>2.9723298584782603</v>
      </c>
      <c r="G19" s="1">
        <f t="shared" si="4"/>
        <v>1.0893461088</v>
      </c>
      <c r="H19" s="1">
        <f t="shared" si="5"/>
        <v>-10893.461088</v>
      </c>
      <c r="K19" s="1"/>
    </row>
    <row r="20" spans="1:11" x14ac:dyDescent="0.25">
      <c r="A20" s="1">
        <v>1050000</v>
      </c>
      <c r="B20" s="1">
        <f t="shared" si="0"/>
        <v>5423.1128000000008</v>
      </c>
      <c r="C20" s="1">
        <f>B20*'Equation Sheet'!$N$19*'Equation Sheet'!$N$22*'Equation Sheet'!$N$25*'Equation Sheet'!$N$28*'Equation Sheet'!$N$31*'Equation Sheet'!$N$34*'Equation Sheet'!$N$37</f>
        <v>2397.0158576000008</v>
      </c>
      <c r="D20" s="1">
        <f t="shared" si="1"/>
        <v>7575.1395298239768</v>
      </c>
      <c r="E20">
        <f t="shared" si="2"/>
        <v>3.9603230913288683</v>
      </c>
      <c r="F20">
        <f t="shared" si="3"/>
        <v>2.9603230913288683</v>
      </c>
      <c r="G20" s="1">
        <f t="shared" si="4"/>
        <v>1.08529841424</v>
      </c>
      <c r="H20" s="1">
        <f t="shared" si="5"/>
        <v>-10852.984142399999</v>
      </c>
      <c r="K20" s="1"/>
    </row>
    <row r="21" spans="1:11" x14ac:dyDescent="0.25">
      <c r="A21" s="1">
        <v>1100000</v>
      </c>
      <c r="B21" s="1">
        <f t="shared" si="0"/>
        <v>5514.6895999999997</v>
      </c>
      <c r="C21" s="1">
        <f>B21*'Equation Sheet'!$N$19*'Equation Sheet'!$N$22*'Equation Sheet'!$N$25*'Equation Sheet'!$N$28*'Equation Sheet'!$N$31*'Equation Sheet'!$N$34*'Equation Sheet'!$N$37</f>
        <v>2437.4928032000003</v>
      </c>
      <c r="D21" s="1">
        <f t="shared" si="1"/>
        <v>7598.0820730858786</v>
      </c>
      <c r="E21">
        <f t="shared" si="2"/>
        <v>3.9483648256797292</v>
      </c>
      <c r="F21">
        <f t="shared" si="3"/>
        <v>2.9483648256797292</v>
      </c>
      <c r="G21" s="1">
        <f t="shared" si="4"/>
        <v>1.0812507196800001</v>
      </c>
      <c r="H21" s="1">
        <f t="shared" si="5"/>
        <v>-10812.507196799999</v>
      </c>
      <c r="K21" s="1"/>
    </row>
    <row r="22" spans="1:11" x14ac:dyDescent="0.25">
      <c r="A22" s="1">
        <v>1150000</v>
      </c>
      <c r="B22" s="1">
        <f t="shared" si="0"/>
        <v>5606.2664000000004</v>
      </c>
      <c r="C22" s="1">
        <f>B22*'Equation Sheet'!$N$19*'Equation Sheet'!$N$22*'Equation Sheet'!$N$25*'Equation Sheet'!$N$28*'Equation Sheet'!$N$31*'Equation Sheet'!$N$34*'Equation Sheet'!$N$37</f>
        <v>2477.9697488000002</v>
      </c>
      <c r="D22" s="1">
        <f t="shared" si="1"/>
        <v>7621.0704870773598</v>
      </c>
      <c r="E22">
        <f t="shared" si="2"/>
        <v>3.9364548656083671</v>
      </c>
      <c r="F22">
        <f t="shared" si="3"/>
        <v>2.9364548656083671</v>
      </c>
      <c r="G22" s="1">
        <f t="shared" si="4"/>
        <v>1.07720302512</v>
      </c>
      <c r="H22" s="1">
        <f t="shared" si="5"/>
        <v>-10772.0302512</v>
      </c>
      <c r="K22" s="1"/>
    </row>
    <row r="23" spans="1:11" x14ac:dyDescent="0.25">
      <c r="A23" s="1">
        <v>1200000</v>
      </c>
      <c r="B23" s="1">
        <f t="shared" si="0"/>
        <v>5697.8432000000003</v>
      </c>
      <c r="C23" s="1">
        <f>B23*'Equation Sheet'!$N$19*'Equation Sheet'!$N$22*'Equation Sheet'!$N$25*'Equation Sheet'!$N$28*'Equation Sheet'!$N$31*'Equation Sheet'!$N$34*'Equation Sheet'!$N$37</f>
        <v>2518.4466944000001</v>
      </c>
      <c r="D23" s="1">
        <f t="shared" si="1"/>
        <v>7644.1047206216326</v>
      </c>
      <c r="E23">
        <f t="shared" si="2"/>
        <v>3.9245930159837403</v>
      </c>
      <c r="F23">
        <f t="shared" si="3"/>
        <v>2.9245930159837403</v>
      </c>
      <c r="G23" s="1">
        <f t="shared" si="4"/>
        <v>1.0731553305600001</v>
      </c>
      <c r="H23" s="1">
        <f t="shared" si="5"/>
        <v>-10731.5533056</v>
      </c>
      <c r="K23" s="1"/>
    </row>
    <row r="24" spans="1:11" x14ac:dyDescent="0.25">
      <c r="A24" s="1">
        <v>1250000</v>
      </c>
      <c r="B24" s="1">
        <f t="shared" si="0"/>
        <v>5789.42</v>
      </c>
      <c r="C24" s="1">
        <f>B24*'Equation Sheet'!$N$19*'Equation Sheet'!$N$22*'Equation Sheet'!$N$25*'Equation Sheet'!$N$28*'Equation Sheet'!$N$31*'Equation Sheet'!$N$34*'Equation Sheet'!$N$37</f>
        <v>2558.92364</v>
      </c>
      <c r="D24" s="1">
        <f t="shared" si="1"/>
        <v>7667.1847215855114</v>
      </c>
      <c r="E24">
        <f t="shared" si="2"/>
        <v>3.9127790824630404</v>
      </c>
      <c r="F24">
        <f t="shared" si="3"/>
        <v>2.9127790824630404</v>
      </c>
      <c r="G24" s="1">
        <f t="shared" si="4"/>
        <v>1.0691076359999998</v>
      </c>
      <c r="H24" s="1">
        <f t="shared" si="5"/>
        <v>-10691.076359999999</v>
      </c>
      <c r="K24" s="1"/>
    </row>
    <row r="25" spans="1:11" x14ac:dyDescent="0.25">
      <c r="A25" s="1">
        <v>1300000</v>
      </c>
      <c r="B25" s="1">
        <f t="shared" si="0"/>
        <v>5880.9968000000008</v>
      </c>
      <c r="C25" s="1">
        <f>B25*'Equation Sheet'!$N$19*'Equation Sheet'!$N$22*'Equation Sheet'!$N$25*'Equation Sheet'!$N$28*'Equation Sheet'!$N$31*'Equation Sheet'!$N$34*'Equation Sheet'!$N$37</f>
        <v>2599.4005856000003</v>
      </c>
      <c r="D25" s="1">
        <f t="shared" si="1"/>
        <v>7690.310436877101</v>
      </c>
      <c r="E25">
        <f t="shared" si="2"/>
        <v>3.9010128714885104</v>
      </c>
      <c r="F25">
        <f t="shared" si="3"/>
        <v>2.9010128714885104</v>
      </c>
      <c r="G25" s="1">
        <f t="shared" si="4"/>
        <v>1.0650599414400002</v>
      </c>
      <c r="H25" s="1">
        <f t="shared" si="5"/>
        <v>-10650.5994144</v>
      </c>
      <c r="K25" s="1"/>
    </row>
    <row r="26" spans="1:11" x14ac:dyDescent="0.25">
      <c r="A26" s="1">
        <v>1350000</v>
      </c>
      <c r="B26" s="1">
        <f t="shared" si="0"/>
        <v>5972.5735999999997</v>
      </c>
      <c r="C26" s="1">
        <f>B26*'Equation Sheet'!$N$19*'Equation Sheet'!$N$22*'Equation Sheet'!$N$25*'Equation Sheet'!$N$28*'Equation Sheet'!$N$31*'Equation Sheet'!$N$34*'Equation Sheet'!$N$37</f>
        <v>2639.8775311999998</v>
      </c>
      <c r="D26" s="1">
        <f t="shared" si="1"/>
        <v>7713.4818124435287</v>
      </c>
      <c r="E26">
        <f t="shared" si="2"/>
        <v>3.8892941902842701</v>
      </c>
      <c r="F26">
        <f t="shared" si="3"/>
        <v>2.8892941902842701</v>
      </c>
      <c r="G26" s="1">
        <f t="shared" si="4"/>
        <v>1.0610122468800001</v>
      </c>
      <c r="H26" s="1">
        <f t="shared" si="5"/>
        <v>-10610.1224688</v>
      </c>
      <c r="K26" s="1"/>
    </row>
    <row r="27" spans="1:11" x14ac:dyDescent="0.25">
      <c r="A27" s="1">
        <v>1400000</v>
      </c>
      <c r="B27" s="1">
        <f t="shared" si="0"/>
        <v>6064.1504000000004</v>
      </c>
      <c r="C27" s="1">
        <f>B27*'Equation Sheet'!$N$19*'Equation Sheet'!$N$22*'Equation Sheet'!$N$25*'Equation Sheet'!$N$28*'Equation Sheet'!$N$31*'Equation Sheet'!$N$34*'Equation Sheet'!$N$37</f>
        <v>2680.3544768000006</v>
      </c>
      <c r="D27" s="1">
        <f t="shared" si="1"/>
        <v>7736.698793268698</v>
      </c>
      <c r="E27">
        <f t="shared" si="2"/>
        <v>3.8776228468531633</v>
      </c>
      <c r="F27">
        <f t="shared" si="3"/>
        <v>2.8776228468531633</v>
      </c>
      <c r="G27" s="1">
        <f t="shared" si="4"/>
        <v>1.05696455232</v>
      </c>
      <c r="H27" s="1">
        <f t="shared" si="5"/>
        <v>-10569.645523199999</v>
      </c>
      <c r="K27" s="1"/>
    </row>
    <row r="28" spans="1:11" x14ac:dyDescent="0.25">
      <c r="A28" s="1">
        <v>1450000</v>
      </c>
      <c r="B28" s="1">
        <f t="shared" si="0"/>
        <v>6155.7272000000003</v>
      </c>
      <c r="C28" s="1">
        <f>B28*'Equation Sheet'!$N$19*'Equation Sheet'!$N$22*'Equation Sheet'!$N$25*'Equation Sheet'!$N$28*'Equation Sheet'!$N$31*'Equation Sheet'!$N$34*'Equation Sheet'!$N$37</f>
        <v>2720.8314224000005</v>
      </c>
      <c r="D28" s="1">
        <f t="shared" si="1"/>
        <v>7759.9613233710797</v>
      </c>
      <c r="E28">
        <f t="shared" si="2"/>
        <v>3.8659986499736072</v>
      </c>
      <c r="F28">
        <f t="shared" si="3"/>
        <v>2.8659986499736072</v>
      </c>
      <c r="G28" s="1">
        <f t="shared" si="4"/>
        <v>1.0529168577600001</v>
      </c>
      <c r="H28" s="1">
        <f t="shared" si="5"/>
        <v>-10529.168577599999</v>
      </c>
      <c r="K28" s="1"/>
    </row>
    <row r="29" spans="1:11" x14ac:dyDescent="0.25">
      <c r="A29" s="1">
        <v>1500000</v>
      </c>
      <c r="B29" s="1">
        <f t="shared" si="0"/>
        <v>6247.3040000000001</v>
      </c>
      <c r="C29" s="1">
        <f>B29*'Equation Sheet'!$N$19*'Equation Sheet'!$N$22*'Equation Sheet'!$N$25*'Equation Sheet'!$N$28*'Equation Sheet'!$N$31*'Equation Sheet'!$N$34*'Equation Sheet'!$N$37</f>
        <v>2761.308368</v>
      </c>
      <c r="D29" s="1">
        <f t="shared" si="1"/>
        <v>7783.2693458015437</v>
      </c>
      <c r="E29">
        <f t="shared" si="2"/>
        <v>3.8544214091964606</v>
      </c>
      <c r="F29">
        <f t="shared" si="3"/>
        <v>2.8544214091964606</v>
      </c>
      <c r="G29" s="1">
        <f t="shared" si="4"/>
        <v>1.0488691632</v>
      </c>
      <c r="H29" s="1">
        <f t="shared" si="5"/>
        <v>-10488.691632</v>
      </c>
      <c r="K29" s="1"/>
    </row>
    <row r="30" spans="1:11" x14ac:dyDescent="0.25">
      <c r="A30" s="1">
        <v>1550000</v>
      </c>
      <c r="B30" s="1">
        <f t="shared" si="0"/>
        <v>6338.8808000000008</v>
      </c>
      <c r="C30" s="1">
        <f>B30*'Equation Sheet'!$N$19*'Equation Sheet'!$N$22*'Equation Sheet'!$N$25*'Equation Sheet'!$N$28*'Equation Sheet'!$N$31*'Equation Sheet'!$N$34*'Equation Sheet'!$N$37</f>
        <v>2801.7853136000003</v>
      </c>
      <c r="D30" s="1">
        <f t="shared" si="1"/>
        <v>7806.6228026412055</v>
      </c>
      <c r="E30">
        <f t="shared" si="2"/>
        <v>3.8428909348419058</v>
      </c>
      <c r="F30">
        <f t="shared" si="3"/>
        <v>2.8428909348419058</v>
      </c>
      <c r="G30" s="1">
        <f t="shared" si="4"/>
        <v>1.0448214686399999</v>
      </c>
      <c r="H30" s="1">
        <f t="shared" si="5"/>
        <v>-10448.214686399999</v>
      </c>
      <c r="K30" s="1"/>
    </row>
    <row r="31" spans="1:11" x14ac:dyDescent="0.25">
      <c r="A31" s="1">
        <v>1600000</v>
      </c>
      <c r="B31" s="1">
        <f t="shared" si="0"/>
        <v>6430.4575999999997</v>
      </c>
      <c r="C31" s="1">
        <f>B31*'Equation Sheet'!$N$19*'Equation Sheet'!$N$22*'Equation Sheet'!$N$25*'Equation Sheet'!$N$28*'Equation Sheet'!$N$31*'Equation Sheet'!$N$34*'Equation Sheet'!$N$37</f>
        <v>2842.2622592000002</v>
      </c>
      <c r="D31" s="1">
        <f t="shared" si="1"/>
        <v>7830.0216349993188</v>
      </c>
      <c r="E31">
        <f t="shared" si="2"/>
        <v>3.8314070379963399</v>
      </c>
      <c r="F31">
        <f t="shared" si="3"/>
        <v>2.8314070379963399</v>
      </c>
      <c r="G31" s="1">
        <f t="shared" si="4"/>
        <v>1.04077377408</v>
      </c>
      <c r="H31" s="1">
        <f t="shared" si="5"/>
        <v>-10407.737740799999</v>
      </c>
      <c r="K31" s="1"/>
    </row>
    <row r="32" spans="1:11" x14ac:dyDescent="0.25">
      <c r="A32" s="1">
        <v>1650000</v>
      </c>
      <c r="B32" s="1">
        <f t="shared" si="0"/>
        <v>6522.0344000000005</v>
      </c>
      <c r="C32" s="1">
        <f>B32*'Equation Sheet'!$N$19*'Equation Sheet'!$N$22*'Equation Sheet'!$N$25*'Equation Sheet'!$N$28*'Equation Sheet'!$N$31*'Equation Sheet'!$N$34*'Equation Sheet'!$N$37</f>
        <v>2882.7392048000002</v>
      </c>
      <c r="D32" s="1">
        <f t="shared" si="1"/>
        <v>7853.4657830112128</v>
      </c>
      <c r="E32">
        <f t="shared" si="2"/>
        <v>3.8199695305092751</v>
      </c>
      <c r="F32">
        <f t="shared" si="3"/>
        <v>2.8199695305092751</v>
      </c>
      <c r="G32" s="1">
        <f t="shared" si="4"/>
        <v>1.03672607952</v>
      </c>
      <c r="H32" s="1">
        <f t="shared" si="5"/>
        <v>-10367.2607952</v>
      </c>
      <c r="K32" s="1"/>
    </row>
    <row r="33" spans="1:11" x14ac:dyDescent="0.25">
      <c r="A33" s="1">
        <v>1700000</v>
      </c>
      <c r="B33" s="1">
        <f t="shared" ref="B33:B64" si="6">(A33*0.0572355*0.4*0.08)+3500</f>
        <v>6613.6112000000012</v>
      </c>
      <c r="C33" s="1">
        <f>B33*'Equation Sheet'!$N$19*'Equation Sheet'!$N$22*'Equation Sheet'!$N$25*'Equation Sheet'!$N$28*'Equation Sheet'!$N$31*'Equation Sheet'!$N$34*'Equation Sheet'!$N$37</f>
        <v>2923.2161504000005</v>
      </c>
      <c r="D33" s="1">
        <f t="shared" ref="D33:D64" si="7">30000/E33</f>
        <v>7876.9551858362274</v>
      </c>
      <c r="E33">
        <f t="shared" ref="E33:E64" si="8">1+F33</f>
        <v>3.8085782249902649</v>
      </c>
      <c r="F33">
        <f t="shared" ref="F33:F64" si="9">2.71828183^G33</f>
        <v>2.8085782249902649</v>
      </c>
      <c r="G33" s="1">
        <f t="shared" ref="G33:G64" si="10">H33*0.001*-0.1</f>
        <v>1.0326783849600001</v>
      </c>
      <c r="H33" s="1">
        <f t="shared" ref="H33:H64" si="11">C33-13250</f>
        <v>-10326.7838496</v>
      </c>
      <c r="K33" s="1"/>
    </row>
    <row r="34" spans="1:11" x14ac:dyDescent="0.25">
      <c r="A34" s="1">
        <v>1750000</v>
      </c>
      <c r="B34" s="1">
        <f t="shared" si="6"/>
        <v>6705.1880000000001</v>
      </c>
      <c r="C34" s="1">
        <f>B34*'Equation Sheet'!$N$19*'Equation Sheet'!$N$22*'Equation Sheet'!$N$25*'Equation Sheet'!$N$28*'Equation Sheet'!$N$31*'Equation Sheet'!$N$34*'Equation Sheet'!$N$37</f>
        <v>2963.693096</v>
      </c>
      <c r="D34" s="1">
        <f t="shared" si="7"/>
        <v>7900.4897816557232</v>
      </c>
      <c r="E34">
        <f t="shared" si="8"/>
        <v>3.7972329348058258</v>
      </c>
      <c r="F34">
        <f t="shared" si="9"/>
        <v>2.7972329348058258</v>
      </c>
      <c r="G34" s="1">
        <f t="shared" si="10"/>
        <v>1.0286306904000002</v>
      </c>
      <c r="H34" s="1">
        <f t="shared" si="11"/>
        <v>-10286.306904000001</v>
      </c>
      <c r="K34" s="1"/>
    </row>
    <row r="35" spans="1:11" x14ac:dyDescent="0.25">
      <c r="A35" s="1">
        <v>1800000</v>
      </c>
      <c r="B35" s="1">
        <f t="shared" si="6"/>
        <v>6796.7648000000008</v>
      </c>
      <c r="C35" s="1">
        <f>B35*'Equation Sheet'!$N$19*'Equation Sheet'!$N$22*'Equation Sheet'!$N$25*'Equation Sheet'!$N$28*'Equation Sheet'!$N$31*'Equation Sheet'!$N$34*'Equation Sheet'!$N$37</f>
        <v>3004.1700416000003</v>
      </c>
      <c r="D35" s="1">
        <f t="shared" si="7"/>
        <v>7924.0695076711036</v>
      </c>
      <c r="E35">
        <f t="shared" si="8"/>
        <v>3.7859334740763835</v>
      </c>
      <c r="F35">
        <f t="shared" si="9"/>
        <v>2.7859334740763835</v>
      </c>
      <c r="G35" s="1">
        <f t="shared" si="10"/>
        <v>1.0245829958400001</v>
      </c>
      <c r="H35" s="1">
        <f t="shared" si="11"/>
        <v>-10245.8299584</v>
      </c>
      <c r="K35" s="1"/>
    </row>
    <row r="36" spans="1:11" x14ac:dyDescent="0.25">
      <c r="A36" s="1">
        <v>1850000</v>
      </c>
      <c r="B36" s="1">
        <f t="shared" si="6"/>
        <v>6888.3415999999997</v>
      </c>
      <c r="C36" s="1">
        <f>B36*'Equation Sheet'!$N$19*'Equation Sheet'!$N$22*'Equation Sheet'!$N$25*'Equation Sheet'!$N$28*'Equation Sheet'!$N$31*'Equation Sheet'!$N$34*'Equation Sheet'!$N$37</f>
        <v>3044.6469872000002</v>
      </c>
      <c r="D36" s="1">
        <f t="shared" si="7"/>
        <v>7947.6943001018717</v>
      </c>
      <c r="E36">
        <f t="shared" si="8"/>
        <v>3.7746796576732282</v>
      </c>
      <c r="F36">
        <f t="shared" si="9"/>
        <v>2.7746796576732282</v>
      </c>
      <c r="G36" s="1">
        <f t="shared" si="10"/>
        <v>1.02053530128</v>
      </c>
      <c r="H36" s="1">
        <f t="shared" si="11"/>
        <v>-10205.3530128</v>
      </c>
      <c r="K36" s="1"/>
    </row>
    <row r="37" spans="1:11" x14ac:dyDescent="0.25">
      <c r="A37" s="1">
        <v>1900000</v>
      </c>
      <c r="B37" s="1">
        <f t="shared" si="6"/>
        <v>6979.9184000000005</v>
      </c>
      <c r="C37" s="1">
        <f>B37*'Equation Sheet'!$N$19*'Equation Sheet'!$N$22*'Equation Sheet'!$N$25*'Equation Sheet'!$N$28*'Equation Sheet'!$N$31*'Equation Sheet'!$N$34*'Equation Sheet'!$N$37</f>
        <v>3085.1239328000001</v>
      </c>
      <c r="D37" s="1">
        <f t="shared" si="7"/>
        <v>7971.3640941837339</v>
      </c>
      <c r="E37">
        <f t="shared" si="8"/>
        <v>3.7634713012154783</v>
      </c>
      <c r="F37">
        <f t="shared" si="9"/>
        <v>2.7634713012154783</v>
      </c>
      <c r="G37" s="1">
        <f t="shared" si="10"/>
        <v>1.0164876067199999</v>
      </c>
      <c r="H37" s="1">
        <f t="shared" si="11"/>
        <v>-10164.876067199999</v>
      </c>
      <c r="K37" s="1"/>
    </row>
    <row r="38" spans="1:11" x14ac:dyDescent="0.25">
      <c r="A38" s="1">
        <v>1950000</v>
      </c>
      <c r="B38" s="1">
        <f t="shared" si="6"/>
        <v>7071.4952000000003</v>
      </c>
      <c r="C38" s="1">
        <f>B38*'Equation Sheet'!$N$19*'Equation Sheet'!$N$22*'Equation Sheet'!$N$25*'Equation Sheet'!$N$28*'Equation Sheet'!$N$31*'Equation Sheet'!$N$34*'Equation Sheet'!$N$37</f>
        <v>3125.6008784000001</v>
      </c>
      <c r="D38" s="1">
        <f t="shared" si="7"/>
        <v>7995.0788241667269</v>
      </c>
      <c r="E38">
        <f t="shared" si="8"/>
        <v>3.7523082210670635</v>
      </c>
      <c r="F38">
        <f t="shared" si="9"/>
        <v>2.7523082210670635</v>
      </c>
      <c r="G38" s="1">
        <f t="shared" si="10"/>
        <v>1.0124399121600001</v>
      </c>
      <c r="H38" s="1">
        <f t="shared" si="11"/>
        <v>-10124.399121599999</v>
      </c>
      <c r="K38" s="1"/>
    </row>
    <row r="39" spans="1:11" x14ac:dyDescent="0.25">
      <c r="A39" s="1">
        <v>2000000</v>
      </c>
      <c r="B39" s="1">
        <f t="shared" si="6"/>
        <v>7163.0720000000001</v>
      </c>
      <c r="C39" s="1">
        <f>B39*'Equation Sheet'!$N$19*'Equation Sheet'!$N$22*'Equation Sheet'!$N$25*'Equation Sheet'!$N$28*'Equation Sheet'!$N$31*'Equation Sheet'!$N$34*'Equation Sheet'!$N$37</f>
        <v>3166.077824</v>
      </c>
      <c r="D39" s="1">
        <f t="shared" si="7"/>
        <v>8018.838423313392</v>
      </c>
      <c r="E39">
        <f t="shared" si="8"/>
        <v>3.7411902343337116</v>
      </c>
      <c r="F39">
        <f t="shared" si="9"/>
        <v>2.7411902343337116</v>
      </c>
      <c r="G39" s="1">
        <f t="shared" si="10"/>
        <v>1.0083922176</v>
      </c>
      <c r="H39" s="1">
        <f t="shared" si="11"/>
        <v>-10083.922176</v>
      </c>
      <c r="K39" s="1"/>
    </row>
    <row r="40" spans="1:11" x14ac:dyDescent="0.25">
      <c r="A40" s="1">
        <v>2050000</v>
      </c>
      <c r="B40" s="1">
        <f t="shared" si="6"/>
        <v>7254.6488000000008</v>
      </c>
      <c r="C40" s="1">
        <f>B40*'Equation Sheet'!$N$19*'Equation Sheet'!$N$22*'Equation Sheet'!$N$25*'Equation Sheet'!$N$28*'Equation Sheet'!$N$31*'Equation Sheet'!$N$34*'Equation Sheet'!$N$37</f>
        <v>3206.5547696000008</v>
      </c>
      <c r="D40" s="1">
        <f t="shared" si="7"/>
        <v>8042.6428238969784</v>
      </c>
      <c r="E40">
        <f t="shared" si="8"/>
        <v>3.7301171588599549</v>
      </c>
      <c r="F40">
        <f t="shared" si="9"/>
        <v>2.7301171588599549</v>
      </c>
      <c r="G40" s="1">
        <f t="shared" si="10"/>
        <v>1.0043445230400001</v>
      </c>
      <c r="H40" s="1">
        <f t="shared" si="11"/>
        <v>-10043.445230399999</v>
      </c>
      <c r="K40" s="1"/>
    </row>
    <row r="41" spans="1:11" x14ac:dyDescent="0.25">
      <c r="A41" s="1">
        <v>2100000</v>
      </c>
      <c r="B41" s="1">
        <f t="shared" si="6"/>
        <v>7346.2256000000007</v>
      </c>
      <c r="C41" s="1">
        <f>B41*'Equation Sheet'!$N$19*'Equation Sheet'!$N$22*'Equation Sheet'!$N$25*'Equation Sheet'!$N$28*'Equation Sheet'!$N$31*'Equation Sheet'!$N$34*'Equation Sheet'!$N$37</f>
        <v>3247.0317152000007</v>
      </c>
      <c r="D41" s="1">
        <f t="shared" si="7"/>
        <v>8066.4919571996788</v>
      </c>
      <c r="E41">
        <f t="shared" si="8"/>
        <v>3.7190888132261453</v>
      </c>
      <c r="F41">
        <f t="shared" si="9"/>
        <v>2.7190888132261453</v>
      </c>
      <c r="G41" s="1">
        <f t="shared" si="10"/>
        <v>1.00029682848</v>
      </c>
      <c r="H41" s="1">
        <f t="shared" si="11"/>
        <v>-10002.968284799999</v>
      </c>
      <c r="K41" s="1"/>
    </row>
    <row r="42" spans="1:11" x14ac:dyDescent="0.25">
      <c r="A42" s="1">
        <v>2150000</v>
      </c>
      <c r="B42" s="1">
        <f t="shared" si="6"/>
        <v>7437.8024000000005</v>
      </c>
      <c r="C42" s="1">
        <f>B42*'Equation Sheet'!$N$19*'Equation Sheet'!$N$22*'Equation Sheet'!$N$25*'Equation Sheet'!$N$28*'Equation Sheet'!$N$31*'Equation Sheet'!$N$34*'Equation Sheet'!$N$37</f>
        <v>3287.5086608000001</v>
      </c>
      <c r="D42" s="1">
        <f t="shared" si="7"/>
        <v>8090.3857535109128</v>
      </c>
      <c r="E42">
        <f t="shared" si="8"/>
        <v>3.708105016745483</v>
      </c>
      <c r="F42">
        <f t="shared" si="9"/>
        <v>2.708105016745483</v>
      </c>
      <c r="G42" s="1">
        <f t="shared" si="10"/>
        <v>0.99624913392000003</v>
      </c>
      <c r="H42" s="1">
        <f t="shared" si="11"/>
        <v>-9962.4913391999999</v>
      </c>
      <c r="K42" s="1"/>
    </row>
    <row r="43" spans="1:11" x14ac:dyDescent="0.25">
      <c r="A43" s="1">
        <v>2200000</v>
      </c>
      <c r="B43" s="1">
        <f t="shared" si="6"/>
        <v>7529.3792000000003</v>
      </c>
      <c r="C43" s="1">
        <f>B43*'Equation Sheet'!$N$19*'Equation Sheet'!$N$22*'Equation Sheet'!$N$25*'Equation Sheet'!$N$28*'Equation Sheet'!$N$31*'Equation Sheet'!$N$34*'Equation Sheet'!$N$37</f>
        <v>3327.9856064000001</v>
      </c>
      <c r="D43" s="1">
        <f t="shared" si="7"/>
        <v>8114.3241421256407</v>
      </c>
      <c r="E43">
        <f t="shared" si="8"/>
        <v>3.6971655894610533</v>
      </c>
      <c r="F43">
        <f t="shared" si="9"/>
        <v>2.6971655894610533</v>
      </c>
      <c r="G43" s="1">
        <f t="shared" si="10"/>
        <v>0.99220143936000016</v>
      </c>
      <c r="H43" s="1">
        <f t="shared" si="11"/>
        <v>-9922.0143936000004</v>
      </c>
      <c r="K43" s="1"/>
    </row>
    <row r="44" spans="1:11" x14ac:dyDescent="0.25">
      <c r="A44" s="1">
        <v>2250000</v>
      </c>
      <c r="B44" s="1">
        <f t="shared" si="6"/>
        <v>7620.9560000000001</v>
      </c>
      <c r="C44" s="1">
        <f>B44*'Equation Sheet'!$N$19*'Equation Sheet'!$N$22*'Equation Sheet'!$N$25*'Equation Sheet'!$N$28*'Equation Sheet'!$N$31*'Equation Sheet'!$N$34*'Equation Sheet'!$N$37</f>
        <v>3368.4625520000004</v>
      </c>
      <c r="D44" s="1">
        <f t="shared" si="7"/>
        <v>8138.3070513427156</v>
      </c>
      <c r="E44">
        <f t="shared" si="8"/>
        <v>3.6862703521428806</v>
      </c>
      <c r="F44">
        <f t="shared" si="9"/>
        <v>2.6862703521428806</v>
      </c>
      <c r="G44" s="1">
        <f t="shared" si="10"/>
        <v>0.98815374479999996</v>
      </c>
      <c r="H44" s="1">
        <f t="shared" si="11"/>
        <v>-9881.5374479999991</v>
      </c>
      <c r="K44" s="1"/>
    </row>
    <row r="45" spans="1:11" x14ac:dyDescent="0.25">
      <c r="A45" s="1">
        <v>2300000</v>
      </c>
      <c r="B45" s="1">
        <f t="shared" si="6"/>
        <v>7712.5328</v>
      </c>
      <c r="C45" s="1">
        <f>B45*'Equation Sheet'!$N$19*'Equation Sheet'!$N$22*'Equation Sheet'!$N$25*'Equation Sheet'!$N$28*'Equation Sheet'!$N$31*'Equation Sheet'!$N$34*'Equation Sheet'!$N$37</f>
        <v>3408.9394975999999</v>
      </c>
      <c r="D45" s="1">
        <f t="shared" si="7"/>
        <v>8162.334408463269</v>
      </c>
      <c r="E45">
        <f t="shared" si="8"/>
        <v>3.6754191262849925</v>
      </c>
      <c r="F45">
        <f t="shared" si="9"/>
        <v>2.6754191262849925</v>
      </c>
      <c r="G45" s="1">
        <f t="shared" si="10"/>
        <v>0.98410605023999997</v>
      </c>
      <c r="H45" s="1">
        <f t="shared" si="11"/>
        <v>-9841.0605023999997</v>
      </c>
      <c r="K45" s="1"/>
    </row>
    <row r="46" spans="1:11" x14ac:dyDescent="0.25">
      <c r="A46" s="1">
        <v>2350000</v>
      </c>
      <c r="B46" s="1">
        <f t="shared" si="6"/>
        <v>7804.1096000000007</v>
      </c>
      <c r="C46" s="1">
        <f>B46*'Equation Sheet'!$N$19*'Equation Sheet'!$N$22*'Equation Sheet'!$N$25*'Equation Sheet'!$N$28*'Equation Sheet'!$N$31*'Equation Sheet'!$N$34*'Equation Sheet'!$N$37</f>
        <v>3449.4164432000007</v>
      </c>
      <c r="D46" s="1">
        <f t="shared" si="7"/>
        <v>8186.4061397891492</v>
      </c>
      <c r="E46">
        <f t="shared" si="8"/>
        <v>3.664611734102492</v>
      </c>
      <c r="F46">
        <f t="shared" si="9"/>
        <v>2.664611734102492</v>
      </c>
      <c r="G46" s="1">
        <f t="shared" si="10"/>
        <v>0.98005835568000021</v>
      </c>
      <c r="H46" s="1">
        <f t="shared" si="11"/>
        <v>-9800.5835568000002</v>
      </c>
      <c r="K46" s="1"/>
    </row>
    <row r="47" spans="1:11" x14ac:dyDescent="0.25">
      <c r="A47" s="1">
        <v>2400000</v>
      </c>
      <c r="B47" s="1">
        <f t="shared" si="6"/>
        <v>7895.6864000000005</v>
      </c>
      <c r="C47" s="1">
        <f>B47*'Equation Sheet'!$N$19*'Equation Sheet'!$N$22*'Equation Sheet'!$N$25*'Equation Sheet'!$N$28*'Equation Sheet'!$N$31*'Equation Sheet'!$N$34*'Equation Sheet'!$N$37</f>
        <v>3489.8933888000001</v>
      </c>
      <c r="D47" s="1">
        <f t="shared" si="7"/>
        <v>8210.5221706213779</v>
      </c>
      <c r="E47">
        <f t="shared" si="8"/>
        <v>3.6538479985286463</v>
      </c>
      <c r="F47">
        <f t="shared" si="9"/>
        <v>2.6538479985286463</v>
      </c>
      <c r="G47" s="1">
        <f t="shared" si="10"/>
        <v>0.97601066112000012</v>
      </c>
      <c r="H47" s="1">
        <f t="shared" si="11"/>
        <v>-9760.1066112000008</v>
      </c>
      <c r="K47" s="1"/>
    </row>
    <row r="48" spans="1:11" x14ac:dyDescent="0.25">
      <c r="A48" s="1">
        <v>2450000</v>
      </c>
      <c r="B48" s="1">
        <f t="shared" si="6"/>
        <v>7987.2632000000003</v>
      </c>
      <c r="C48" s="1">
        <f>B48*'Equation Sheet'!$N$19*'Equation Sheet'!$N$22*'Equation Sheet'!$N$25*'Equation Sheet'!$N$28*'Equation Sheet'!$N$31*'Equation Sheet'!$N$34*'Equation Sheet'!$N$37</f>
        <v>3530.3703344000005</v>
      </c>
      <c r="D48" s="1">
        <f t="shared" si="7"/>
        <v>8234.6824252586594</v>
      </c>
      <c r="E48">
        <f t="shared" si="8"/>
        <v>3.6431277432119882</v>
      </c>
      <c r="F48">
        <f t="shared" si="9"/>
        <v>2.6431277432119882</v>
      </c>
      <c r="G48" s="1">
        <f t="shared" si="10"/>
        <v>0.97196296656000003</v>
      </c>
      <c r="H48" s="1">
        <f t="shared" si="11"/>
        <v>-9719.6296655999995</v>
      </c>
      <c r="K48" s="1"/>
    </row>
    <row r="49" spans="1:11" x14ac:dyDescent="0.25">
      <c r="A49" s="1">
        <v>2500000</v>
      </c>
      <c r="B49" s="1">
        <f t="shared" si="6"/>
        <v>8078.84</v>
      </c>
      <c r="C49" s="1">
        <f>B49*'Equation Sheet'!$N$19*'Equation Sheet'!$N$22*'Equation Sheet'!$N$25*'Equation Sheet'!$N$28*'Equation Sheet'!$N$31*'Equation Sheet'!$N$34*'Equation Sheet'!$N$37</f>
        <v>3570.8472800000004</v>
      </c>
      <c r="D49" s="1">
        <f t="shared" si="7"/>
        <v>8258.8868269959185</v>
      </c>
      <c r="E49">
        <f t="shared" si="8"/>
        <v>3.6324507925134237</v>
      </c>
      <c r="F49">
        <f t="shared" si="9"/>
        <v>2.6324507925134237</v>
      </c>
      <c r="G49" s="1">
        <f t="shared" si="10"/>
        <v>0.96791527199999994</v>
      </c>
      <c r="H49" s="1">
        <f t="shared" si="11"/>
        <v>-9679.15272</v>
      </c>
      <c r="K49" s="1"/>
    </row>
    <row r="50" spans="1:11" x14ac:dyDescent="0.25">
      <c r="A50" s="1">
        <v>2550000</v>
      </c>
      <c r="B50" s="1">
        <f t="shared" si="6"/>
        <v>8170.4168</v>
      </c>
      <c r="C50" s="1">
        <f>B50*'Equation Sheet'!$N$19*'Equation Sheet'!$N$22*'Equation Sheet'!$N$25*'Equation Sheet'!$N$28*'Equation Sheet'!$N$31*'Equation Sheet'!$N$34*'Equation Sheet'!$N$37</f>
        <v>3611.3242255999999</v>
      </c>
      <c r="D50" s="1">
        <f t="shared" si="7"/>
        <v>8283.135298122892</v>
      </c>
      <c r="E50">
        <f t="shared" si="8"/>
        <v>3.6218169715033559</v>
      </c>
      <c r="F50">
        <f t="shared" si="9"/>
        <v>2.6218169715033559</v>
      </c>
      <c r="G50" s="1">
        <f t="shared" si="10"/>
        <v>0.96386757744000018</v>
      </c>
      <c r="H50" s="1">
        <f t="shared" si="11"/>
        <v>-9638.6757744000006</v>
      </c>
      <c r="K50" s="1"/>
    </row>
    <row r="51" spans="1:11" x14ac:dyDescent="0.25">
      <c r="A51" s="1">
        <v>2600000</v>
      </c>
      <c r="B51" s="1">
        <f t="shared" si="6"/>
        <v>8261.9936000000016</v>
      </c>
      <c r="C51" s="1">
        <f>B51*'Equation Sheet'!$N$19*'Equation Sheet'!$N$22*'Equation Sheet'!$N$25*'Equation Sheet'!$N$28*'Equation Sheet'!$N$31*'Equation Sheet'!$N$34*'Equation Sheet'!$N$37</f>
        <v>3651.8011712000007</v>
      </c>
      <c r="D51" s="1">
        <f t="shared" si="7"/>
        <v>8307.4277599227498</v>
      </c>
      <c r="E51">
        <f t="shared" si="8"/>
        <v>3.6112261059588158</v>
      </c>
      <c r="F51">
        <f t="shared" si="9"/>
        <v>2.6112261059588158</v>
      </c>
      <c r="G51" s="1">
        <f t="shared" si="10"/>
        <v>0.95981988287999997</v>
      </c>
      <c r="H51" s="1">
        <f t="shared" si="11"/>
        <v>-9598.1988287999993</v>
      </c>
      <c r="K51" s="1"/>
    </row>
    <row r="52" spans="1:11" x14ac:dyDescent="0.25">
      <c r="A52" s="1">
        <v>2650000</v>
      </c>
      <c r="B52" s="1">
        <f t="shared" si="6"/>
        <v>8353.5704000000005</v>
      </c>
      <c r="C52" s="1">
        <f>B52*'Equation Sheet'!$N$19*'Equation Sheet'!$N$22*'Equation Sheet'!$N$25*'Equation Sheet'!$N$28*'Equation Sheet'!$N$31*'Equation Sheet'!$N$34*'Equation Sheet'!$N$37</f>
        <v>3692.2781168000001</v>
      </c>
      <c r="D52" s="1">
        <f t="shared" si="7"/>
        <v>8331.7641326707471</v>
      </c>
      <c r="E52">
        <f t="shared" si="8"/>
        <v>3.6006780223606141</v>
      </c>
      <c r="F52">
        <f t="shared" si="9"/>
        <v>2.6006780223606141</v>
      </c>
      <c r="G52" s="1">
        <f t="shared" si="10"/>
        <v>0.95577218831999999</v>
      </c>
      <c r="H52" s="1">
        <f t="shared" si="11"/>
        <v>-9557.7218831999999</v>
      </c>
      <c r="K52" s="1"/>
    </row>
    <row r="53" spans="1:11" x14ac:dyDescent="0.25">
      <c r="A53" s="1">
        <v>2700000</v>
      </c>
      <c r="B53" s="1">
        <f t="shared" si="6"/>
        <v>8445.1471999999994</v>
      </c>
      <c r="C53" s="1">
        <f>B53*'Equation Sheet'!$N$19*'Equation Sheet'!$N$22*'Equation Sheet'!$N$25*'Equation Sheet'!$N$28*'Equation Sheet'!$N$31*'Equation Sheet'!$N$34*'Equation Sheet'!$N$37</f>
        <v>3732.7550623999996</v>
      </c>
      <c r="D53" s="1">
        <f t="shared" si="7"/>
        <v>8356.1443356329346</v>
      </c>
      <c r="E53">
        <f t="shared" si="8"/>
        <v>3.5901725478904929</v>
      </c>
      <c r="F53">
        <f t="shared" si="9"/>
        <v>2.5901725478904929</v>
      </c>
      <c r="G53" s="1">
        <f t="shared" si="10"/>
        <v>0.95172449376000012</v>
      </c>
      <c r="H53" s="1">
        <f t="shared" si="11"/>
        <v>-9517.2449376000004</v>
      </c>
      <c r="K53" s="1"/>
    </row>
    <row r="54" spans="1:11" x14ac:dyDescent="0.25">
      <c r="A54" s="1">
        <v>2750000</v>
      </c>
      <c r="B54" s="1">
        <f t="shared" si="6"/>
        <v>8536.7240000000002</v>
      </c>
      <c r="C54" s="1">
        <f>B54*'Equation Sheet'!$N$19*'Equation Sheet'!$N$22*'Equation Sheet'!$N$25*'Equation Sheet'!$N$28*'Equation Sheet'!$N$31*'Equation Sheet'!$N$34*'Equation Sheet'!$N$37</f>
        <v>3773.232008</v>
      </c>
      <c r="D54" s="1">
        <f t="shared" si="7"/>
        <v>8380.5682870649034</v>
      </c>
      <c r="E54">
        <f t="shared" si="8"/>
        <v>3.579709510428295</v>
      </c>
      <c r="F54">
        <f t="shared" si="9"/>
        <v>2.579709510428295</v>
      </c>
      <c r="G54" s="1">
        <f t="shared" si="10"/>
        <v>0.94767679920000014</v>
      </c>
      <c r="H54" s="1">
        <f t="shared" si="11"/>
        <v>-9476.767992000001</v>
      </c>
      <c r="K54" s="1"/>
    </row>
    <row r="55" spans="1:11" x14ac:dyDescent="0.25">
      <c r="A55" s="1">
        <v>2800000</v>
      </c>
      <c r="B55" s="1">
        <f t="shared" si="6"/>
        <v>8628.3008000000009</v>
      </c>
      <c r="C55" s="1">
        <f>B55*'Equation Sheet'!$N$19*'Equation Sheet'!$N$22*'Equation Sheet'!$N$25*'Equation Sheet'!$N$28*'Equation Sheet'!$N$31*'Equation Sheet'!$N$34*'Equation Sheet'!$N$37</f>
        <v>3813.7089536000008</v>
      </c>
      <c r="D55" s="1">
        <f t="shared" si="7"/>
        <v>8405.0359042105629</v>
      </c>
      <c r="E55">
        <f t="shared" si="8"/>
        <v>3.5692887385491461</v>
      </c>
      <c r="F55">
        <f t="shared" si="9"/>
        <v>2.5692887385491461</v>
      </c>
      <c r="G55" s="1">
        <f t="shared" si="10"/>
        <v>0.94362910463999994</v>
      </c>
      <c r="H55" s="1">
        <f t="shared" si="11"/>
        <v>-9436.2910463999997</v>
      </c>
      <c r="K55" s="1"/>
    </row>
    <row r="56" spans="1:11" x14ac:dyDescent="0.25">
      <c r="A56" s="1">
        <v>2850000</v>
      </c>
      <c r="B56" s="1">
        <f t="shared" si="6"/>
        <v>8719.8775999999998</v>
      </c>
      <c r="C56" s="1">
        <f>B56*'Equation Sheet'!$N$19*'Equation Sheet'!$N$22*'Equation Sheet'!$N$25*'Equation Sheet'!$N$28*'Equation Sheet'!$N$31*'Equation Sheet'!$N$34*'Equation Sheet'!$N$37</f>
        <v>3854.1858992000002</v>
      </c>
      <c r="D56" s="1">
        <f t="shared" si="7"/>
        <v>8429.547103300958</v>
      </c>
      <c r="E56">
        <f t="shared" si="8"/>
        <v>3.5589100615206468</v>
      </c>
      <c r="F56">
        <f t="shared" si="9"/>
        <v>2.5589100615206468</v>
      </c>
      <c r="G56" s="1">
        <f t="shared" si="10"/>
        <v>0.93958141008000018</v>
      </c>
      <c r="H56" s="1">
        <f t="shared" si="11"/>
        <v>-9395.8141008000002</v>
      </c>
      <c r="K56" s="1"/>
    </row>
    <row r="57" spans="1:11" x14ac:dyDescent="0.25">
      <c r="A57" s="1">
        <v>2900000</v>
      </c>
      <c r="B57" s="1">
        <f t="shared" si="6"/>
        <v>8811.4544000000005</v>
      </c>
      <c r="C57" s="1">
        <f>B57*'Equation Sheet'!$N$19*'Equation Sheet'!$N$22*'Equation Sheet'!$N$25*'Equation Sheet'!$N$28*'Equation Sheet'!$N$31*'Equation Sheet'!$N$34*'Equation Sheet'!$N$37</f>
        <v>3894.6628448000006</v>
      </c>
      <c r="D57" s="1">
        <f t="shared" si="7"/>
        <v>8454.1017995531529</v>
      </c>
      <c r="E57">
        <f t="shared" si="8"/>
        <v>3.5485733093000689</v>
      </c>
      <c r="F57">
        <f t="shared" si="9"/>
        <v>2.5485733093000689</v>
      </c>
      <c r="G57" s="1">
        <f t="shared" si="10"/>
        <v>0.93553371551999998</v>
      </c>
      <c r="H57" s="1">
        <f t="shared" si="11"/>
        <v>-9355.337155199999</v>
      </c>
      <c r="K57" s="1"/>
    </row>
    <row r="58" spans="1:11" x14ac:dyDescent="0.25">
      <c r="A58" s="1">
        <v>2950000</v>
      </c>
      <c r="B58" s="1">
        <f t="shared" si="6"/>
        <v>8903.0312000000013</v>
      </c>
      <c r="C58" s="1">
        <f>B58*'Equation Sheet'!$N$19*'Equation Sheet'!$N$22*'Equation Sheet'!$N$25*'Equation Sheet'!$N$28*'Equation Sheet'!$N$31*'Equation Sheet'!$N$34*'Equation Sheet'!$N$37</f>
        <v>3935.1397904000005</v>
      </c>
      <c r="D58" s="1">
        <f t="shared" si="7"/>
        <v>8478.6999071691171</v>
      </c>
      <c r="E58">
        <f t="shared" si="8"/>
        <v>3.5382783125315789</v>
      </c>
      <c r="F58">
        <f t="shared" si="9"/>
        <v>2.5382783125315789</v>
      </c>
      <c r="G58" s="1">
        <f t="shared" si="10"/>
        <v>0.93148602095999999</v>
      </c>
      <c r="H58" s="1">
        <f t="shared" si="11"/>
        <v>-9314.8602095999995</v>
      </c>
      <c r="K58" s="1"/>
    </row>
    <row r="59" spans="1:11" x14ac:dyDescent="0.25">
      <c r="A59" s="1">
        <v>3000000</v>
      </c>
      <c r="B59" s="1">
        <f t="shared" si="6"/>
        <v>8994.6080000000002</v>
      </c>
      <c r="C59" s="1">
        <f>B59*'Equation Sheet'!$N$19*'Equation Sheet'!$N$22*'Equation Sheet'!$N$25*'Equation Sheet'!$N$28*'Equation Sheet'!$N$31*'Equation Sheet'!$N$34*'Equation Sheet'!$N$37</f>
        <v>3975.6167359999999</v>
      </c>
      <c r="D59" s="1">
        <f t="shared" si="7"/>
        <v>8503.3413393346873</v>
      </c>
      <c r="E59">
        <f t="shared" si="8"/>
        <v>3.5280249025434562</v>
      </c>
      <c r="F59">
        <f t="shared" si="9"/>
        <v>2.5280249025434562</v>
      </c>
      <c r="G59" s="1">
        <f t="shared" si="10"/>
        <v>0.92743832640000012</v>
      </c>
      <c r="H59" s="1">
        <f t="shared" si="11"/>
        <v>-9274.3832640000001</v>
      </c>
      <c r="K59" s="1"/>
    </row>
    <row r="60" spans="1:11" x14ac:dyDescent="0.25">
      <c r="A60" s="1">
        <v>3050000</v>
      </c>
      <c r="B60" s="1">
        <f t="shared" si="6"/>
        <v>9086.1847999999991</v>
      </c>
      <c r="C60" s="1">
        <f>B60*'Equation Sheet'!$N$19*'Equation Sheet'!$N$22*'Equation Sheet'!$N$25*'Equation Sheet'!$N$28*'Equation Sheet'!$N$31*'Equation Sheet'!$N$34*'Equation Sheet'!$N$37</f>
        <v>4016.0936815999994</v>
      </c>
      <c r="D60" s="1">
        <f t="shared" si="7"/>
        <v>8528.0260082185487</v>
      </c>
      <c r="E60">
        <f t="shared" si="8"/>
        <v>3.5178129113453318</v>
      </c>
      <c r="F60">
        <f t="shared" si="9"/>
        <v>2.5178129113453318</v>
      </c>
      <c r="G60" s="1">
        <f t="shared" si="10"/>
        <v>0.92339063184000014</v>
      </c>
      <c r="H60" s="1">
        <f t="shared" si="11"/>
        <v>-9233.9063184000006</v>
      </c>
      <c r="K60" s="1"/>
    </row>
    <row r="61" spans="1:11" x14ac:dyDescent="0.25">
      <c r="A61" s="1">
        <v>3100000</v>
      </c>
      <c r="B61" s="1">
        <f t="shared" si="6"/>
        <v>9177.7616000000016</v>
      </c>
      <c r="C61" s="1">
        <f>B61*'Equation Sheet'!$N$19*'Equation Sheet'!$N$22*'Equation Sheet'!$N$25*'Equation Sheet'!$N$28*'Equation Sheet'!$N$31*'Equation Sheet'!$N$34*'Equation Sheet'!$N$37</f>
        <v>4056.5706272000007</v>
      </c>
      <c r="D61" s="1">
        <f t="shared" si="7"/>
        <v>8552.7538249712761</v>
      </c>
      <c r="E61">
        <f t="shared" si="8"/>
        <v>3.5076421716254362</v>
      </c>
      <c r="F61">
        <f t="shared" si="9"/>
        <v>2.5076421716254362</v>
      </c>
      <c r="G61" s="1">
        <f t="shared" si="10"/>
        <v>0.91934293727999994</v>
      </c>
      <c r="H61" s="1">
        <f t="shared" si="11"/>
        <v>-9193.4293727999993</v>
      </c>
      <c r="K61" s="1"/>
    </row>
    <row r="62" spans="1:11" x14ac:dyDescent="0.25">
      <c r="A62" s="1">
        <v>3150000</v>
      </c>
      <c r="B62" s="1">
        <f t="shared" si="6"/>
        <v>9269.3384000000005</v>
      </c>
      <c r="C62" s="1">
        <f>B62*'Equation Sheet'!$N$19*'Equation Sheet'!$N$22*'Equation Sheet'!$N$25*'Equation Sheet'!$N$28*'Equation Sheet'!$N$31*'Equation Sheet'!$N$34*'Equation Sheet'!$N$37</f>
        <v>4097.047572800001</v>
      </c>
      <c r="D62" s="1">
        <f t="shared" si="7"/>
        <v>8577.5246997243958</v>
      </c>
      <c r="E62">
        <f t="shared" si="8"/>
        <v>3.4975125167478596</v>
      </c>
      <c r="F62">
        <f t="shared" si="9"/>
        <v>2.4975125167478596</v>
      </c>
      <c r="G62" s="1">
        <f t="shared" si="10"/>
        <v>0.91529524271999996</v>
      </c>
      <c r="H62" s="1">
        <f t="shared" si="11"/>
        <v>-9152.9524271999981</v>
      </c>
      <c r="K62" s="1"/>
    </row>
    <row r="63" spans="1:11" x14ac:dyDescent="0.25">
      <c r="A63" s="1">
        <v>3200000</v>
      </c>
      <c r="B63" s="1">
        <f t="shared" si="6"/>
        <v>9360.9151999999995</v>
      </c>
      <c r="C63" s="1">
        <f>B63*'Equation Sheet'!$N$19*'Equation Sheet'!$N$22*'Equation Sheet'!$N$25*'Equation Sheet'!$N$28*'Equation Sheet'!$N$31*'Equation Sheet'!$N$34*'Equation Sheet'!$N$37</f>
        <v>4137.5245184000005</v>
      </c>
      <c r="D63" s="1">
        <f t="shared" si="7"/>
        <v>8602.3385415895191</v>
      </c>
      <c r="E63">
        <f t="shared" si="8"/>
        <v>3.4874237807498183</v>
      </c>
      <c r="F63">
        <f t="shared" si="9"/>
        <v>2.4874237807498183</v>
      </c>
      <c r="G63" s="1">
        <f t="shared" si="10"/>
        <v>0.91124754815999998</v>
      </c>
      <c r="H63" s="1">
        <f t="shared" si="11"/>
        <v>-9112.4754815999986</v>
      </c>
      <c r="K63" s="1"/>
    </row>
    <row r="64" spans="1:11" x14ac:dyDescent="0.25">
      <c r="A64" s="1">
        <v>3250000</v>
      </c>
      <c r="B64" s="1">
        <f t="shared" si="6"/>
        <v>9452.492000000002</v>
      </c>
      <c r="C64" s="1">
        <f>B64*'Equation Sheet'!$N$19*'Equation Sheet'!$N$22*'Equation Sheet'!$N$25*'Equation Sheet'!$N$28*'Equation Sheet'!$N$31*'Equation Sheet'!$N$34*'Equation Sheet'!$N$37</f>
        <v>4178.0014640000009</v>
      </c>
      <c r="D64" s="1">
        <f t="shared" si="7"/>
        <v>8627.1952586574916</v>
      </c>
      <c r="E64">
        <f t="shared" si="8"/>
        <v>3.4773757983389388</v>
      </c>
      <c r="F64">
        <f t="shared" si="9"/>
        <v>2.4773757983389388</v>
      </c>
      <c r="G64" s="1">
        <f t="shared" si="10"/>
        <v>0.90719985359999988</v>
      </c>
      <c r="H64" s="1">
        <f t="shared" si="11"/>
        <v>-9071.9985359999991</v>
      </c>
      <c r="K64" s="1"/>
    </row>
    <row r="65" spans="1:11" x14ac:dyDescent="0.25">
      <c r="A65" s="1">
        <v>3300000</v>
      </c>
      <c r="B65" s="1">
        <f t="shared" ref="B65:B96" si="12">(A65*0.0572355*0.4*0.08)+3500</f>
        <v>9544.0688000000009</v>
      </c>
      <c r="C65" s="1">
        <f>B65*'Equation Sheet'!$N$19*'Equation Sheet'!$N$22*'Equation Sheet'!$N$25*'Equation Sheet'!$N$28*'Equation Sheet'!$N$31*'Equation Sheet'!$N$34*'Equation Sheet'!$N$37</f>
        <v>4218.4784096000003</v>
      </c>
      <c r="D65" s="1">
        <f t="shared" ref="D65:D96" si="13">30000/E65</f>
        <v>8652.0947579975982</v>
      </c>
      <c r="E65">
        <f t="shared" ref="E65:E96" si="14">1+F65</f>
        <v>3.4673684048905478</v>
      </c>
      <c r="F65">
        <f t="shared" ref="F65:F96" si="15">2.71828183^G65</f>
        <v>2.4673684048905478</v>
      </c>
      <c r="G65" s="1">
        <f t="shared" ref="G65:G96" si="16">H65*0.001*-0.1</f>
        <v>0.90315215904000012</v>
      </c>
      <c r="H65" s="1">
        <f t="shared" ref="H65:H96" si="17">C65-13250</f>
        <v>-9031.5215903999997</v>
      </c>
      <c r="K65" s="1"/>
    </row>
    <row r="66" spans="1:11" x14ac:dyDescent="0.25">
      <c r="A66" s="1">
        <v>3350000</v>
      </c>
      <c r="B66" s="1">
        <f t="shared" si="12"/>
        <v>9635.6455999999998</v>
      </c>
      <c r="C66" s="1">
        <f>B66*'Equation Sheet'!$N$19*'Equation Sheet'!$N$22*'Equation Sheet'!$N$25*'Equation Sheet'!$N$28*'Equation Sheet'!$N$31*'Equation Sheet'!$N$34*'Equation Sheet'!$N$37</f>
        <v>4258.9553551999998</v>
      </c>
      <c r="D66" s="1">
        <f t="shared" si="13"/>
        <v>8677.0369456568169</v>
      </c>
      <c r="E66">
        <f t="shared" si="14"/>
        <v>3.4574014364449752</v>
      </c>
      <c r="F66">
        <f t="shared" si="15"/>
        <v>2.4574014364449752</v>
      </c>
      <c r="G66" s="1">
        <f t="shared" si="16"/>
        <v>0.89910446448000014</v>
      </c>
      <c r="H66" s="1">
        <f t="shared" si="17"/>
        <v>-8991.0446448000002</v>
      </c>
      <c r="K66" s="1"/>
    </row>
    <row r="67" spans="1:11" x14ac:dyDescent="0.25">
      <c r="A67" s="1">
        <v>3400000</v>
      </c>
      <c r="B67" s="1">
        <f t="shared" si="12"/>
        <v>9727.2224000000024</v>
      </c>
      <c r="C67" s="1">
        <f>B67*'Equation Sheet'!$N$19*'Equation Sheet'!$N$22*'Equation Sheet'!$N$25*'Equation Sheet'!$N$28*'Equation Sheet'!$N$31*'Equation Sheet'!$N$34*'Equation Sheet'!$N$37</f>
        <v>4299.4323008000019</v>
      </c>
      <c r="D67" s="1">
        <f t="shared" si="13"/>
        <v>8702.0217266591098</v>
      </c>
      <c r="E67">
        <f t="shared" si="14"/>
        <v>3.4474747297048678</v>
      </c>
      <c r="F67">
        <f t="shared" si="15"/>
        <v>2.4474747297048678</v>
      </c>
      <c r="G67" s="1">
        <f t="shared" si="16"/>
        <v>0.89505676991999972</v>
      </c>
      <c r="H67" s="1">
        <f t="shared" si="17"/>
        <v>-8950.5676991999972</v>
      </c>
      <c r="K67" s="1"/>
    </row>
    <row r="68" spans="1:11" x14ac:dyDescent="0.25">
      <c r="A68" s="1">
        <v>3450000</v>
      </c>
      <c r="B68" s="1">
        <f t="shared" si="12"/>
        <v>9818.7992000000013</v>
      </c>
      <c r="C68" s="1">
        <f>B68*'Equation Sheet'!$N$19*'Equation Sheet'!$N$22*'Equation Sheet'!$N$25*'Equation Sheet'!$N$28*'Equation Sheet'!$N$31*'Equation Sheet'!$N$34*'Equation Sheet'!$N$37</f>
        <v>4339.9092464000005</v>
      </c>
      <c r="D68" s="1">
        <f t="shared" si="13"/>
        <v>8727.0490050047374</v>
      </c>
      <c r="E68">
        <f t="shared" si="14"/>
        <v>3.4375881220325191</v>
      </c>
      <c r="F68">
        <f t="shared" si="15"/>
        <v>2.4375881220325191</v>
      </c>
      <c r="G68" s="1">
        <f t="shared" si="16"/>
        <v>0.89100907536000007</v>
      </c>
      <c r="H68" s="1">
        <f t="shared" si="17"/>
        <v>-8910.0907535999995</v>
      </c>
      <c r="K68" s="1"/>
    </row>
    <row r="69" spans="1:11" x14ac:dyDescent="0.25">
      <c r="A69" s="1">
        <v>3500000</v>
      </c>
      <c r="B69" s="1">
        <f t="shared" si="12"/>
        <v>9910.3760000000002</v>
      </c>
      <c r="C69" s="1">
        <f>B69*'Equation Sheet'!$N$19*'Equation Sheet'!$N$22*'Equation Sheet'!$N$25*'Equation Sheet'!$N$28*'Equation Sheet'!$N$31*'Equation Sheet'!$N$34*'Equation Sheet'!$N$37</f>
        <v>4380.3861920000008</v>
      </c>
      <c r="D69" s="1">
        <f t="shared" si="13"/>
        <v>8752.1186836696834</v>
      </c>
      <c r="E69">
        <f t="shared" si="14"/>
        <v>3.4277414514471913</v>
      </c>
      <c r="F69">
        <f t="shared" si="15"/>
        <v>2.4277414514471913</v>
      </c>
      <c r="G69" s="1">
        <f t="shared" si="16"/>
        <v>0.88696138079999987</v>
      </c>
      <c r="H69" s="1">
        <f t="shared" si="17"/>
        <v>-8869.6138079999982</v>
      </c>
      <c r="K69" s="1"/>
    </row>
    <row r="70" spans="1:11" x14ac:dyDescent="0.25">
      <c r="A70" s="1">
        <v>3550000</v>
      </c>
      <c r="B70" s="1">
        <f t="shared" si="12"/>
        <v>10001.952799999999</v>
      </c>
      <c r="C70" s="1">
        <f>B70*'Equation Sheet'!$N$19*'Equation Sheet'!$N$22*'Equation Sheet'!$N$25*'Equation Sheet'!$N$28*'Equation Sheet'!$N$31*'Equation Sheet'!$N$34*'Equation Sheet'!$N$37</f>
        <v>4420.8631376000003</v>
      </c>
      <c r="D70" s="1">
        <f t="shared" si="13"/>
        <v>8777.2306646050274</v>
      </c>
      <c r="E70">
        <f t="shared" si="14"/>
        <v>3.4179345566224777</v>
      </c>
      <c r="F70">
        <f t="shared" si="15"/>
        <v>2.4179345566224777</v>
      </c>
      <c r="G70" s="1">
        <f t="shared" si="16"/>
        <v>0.88291368623999988</v>
      </c>
      <c r="H70" s="1">
        <f t="shared" si="17"/>
        <v>-8829.1368623999988</v>
      </c>
      <c r="K70" s="1"/>
    </row>
    <row r="71" spans="1:11" x14ac:dyDescent="0.25">
      <c r="A71" s="1">
        <v>3600000</v>
      </c>
      <c r="B71" s="1">
        <f t="shared" si="12"/>
        <v>10093.529600000002</v>
      </c>
      <c r="C71" s="1">
        <f>B71*'Equation Sheet'!$N$19*'Equation Sheet'!$N$22*'Equation Sheet'!$N$25*'Equation Sheet'!$N$28*'Equation Sheet'!$N$31*'Equation Sheet'!$N$34*'Equation Sheet'!$N$37</f>
        <v>4461.3400832000007</v>
      </c>
      <c r="D71" s="1">
        <f t="shared" si="13"/>
        <v>8802.3848487364521</v>
      </c>
      <c r="E71">
        <f t="shared" si="14"/>
        <v>3.4081672768836486</v>
      </c>
      <c r="F71">
        <f t="shared" si="15"/>
        <v>2.4081672768836486</v>
      </c>
      <c r="G71" s="1">
        <f t="shared" si="16"/>
        <v>0.87886599168000012</v>
      </c>
      <c r="H71" s="1">
        <f t="shared" si="17"/>
        <v>-8788.6599167999993</v>
      </c>
      <c r="K71" s="1"/>
    </row>
    <row r="72" spans="1:11" x14ac:dyDescent="0.25">
      <c r="A72" s="1">
        <v>3650000</v>
      </c>
      <c r="B72" s="1">
        <f t="shared" si="12"/>
        <v>10185.106400000001</v>
      </c>
      <c r="C72" s="1">
        <f>B72*'Equation Sheet'!$N$19*'Equation Sheet'!$N$22*'Equation Sheet'!$N$25*'Equation Sheet'!$N$28*'Equation Sheet'!$N$31*'Equation Sheet'!$N$34*'Equation Sheet'!$N$37</f>
        <v>4501.817028800001</v>
      </c>
      <c r="D72" s="1">
        <f t="shared" si="13"/>
        <v>8827.5811359637428</v>
      </c>
      <c r="E72">
        <f t="shared" si="14"/>
        <v>3.3984394522050212</v>
      </c>
      <c r="F72">
        <f t="shared" si="15"/>
        <v>2.3984394522050212</v>
      </c>
      <c r="G72" s="1">
        <f t="shared" si="16"/>
        <v>0.87481829712000003</v>
      </c>
      <c r="H72" s="1">
        <f t="shared" si="17"/>
        <v>-8748.1829711999999</v>
      </c>
      <c r="K72" s="1"/>
    </row>
    <row r="73" spans="1:11" x14ac:dyDescent="0.25">
      <c r="A73" s="1">
        <v>3700000</v>
      </c>
      <c r="B73" s="1">
        <f t="shared" si="12"/>
        <v>10276.683199999999</v>
      </c>
      <c r="C73" s="1">
        <f>B73*'Equation Sheet'!$N$19*'Equation Sheet'!$N$22*'Equation Sheet'!$N$25*'Equation Sheet'!$N$28*'Equation Sheet'!$N$31*'Equation Sheet'!$N$34*'Equation Sheet'!$N$37</f>
        <v>4542.2939743999996</v>
      </c>
      <c r="D73" s="1">
        <f t="shared" si="13"/>
        <v>8852.8194251603472</v>
      </c>
      <c r="E73">
        <f t="shared" si="14"/>
        <v>3.3887509232073398</v>
      </c>
      <c r="F73">
        <f t="shared" si="15"/>
        <v>2.3887509232073398</v>
      </c>
      <c r="G73" s="1">
        <f t="shared" si="16"/>
        <v>0.87077060256000005</v>
      </c>
      <c r="H73" s="1">
        <f t="shared" si="17"/>
        <v>-8707.7060256000004</v>
      </c>
      <c r="K73" s="1"/>
    </row>
    <row r="74" spans="1:11" x14ac:dyDescent="0.25">
      <c r="A74" s="1">
        <v>3750000</v>
      </c>
      <c r="B74" s="1">
        <f t="shared" si="12"/>
        <v>10368.26</v>
      </c>
      <c r="C74" s="1">
        <f>B74*'Equation Sheet'!$N$19*'Equation Sheet'!$N$22*'Equation Sheet'!$N$25*'Equation Sheet'!$N$28*'Equation Sheet'!$N$31*'Equation Sheet'!$N$34*'Equation Sheet'!$N$37</f>
        <v>4582.7709200000008</v>
      </c>
      <c r="D74" s="1">
        <f t="shared" si="13"/>
        <v>8878.0996141729847</v>
      </c>
      <c r="E74">
        <f t="shared" si="14"/>
        <v>3.3791015311551638</v>
      </c>
      <c r="F74">
        <f t="shared" si="15"/>
        <v>2.3791015311551638</v>
      </c>
      <c r="G74" s="1">
        <f t="shared" si="16"/>
        <v>0.86672290799999985</v>
      </c>
      <c r="H74" s="1">
        <f t="shared" si="17"/>
        <v>-8667.2290799999992</v>
      </c>
      <c r="K74" s="1"/>
    </row>
    <row r="75" spans="1:11" x14ac:dyDescent="0.25">
      <c r="A75" s="1">
        <v>3800000</v>
      </c>
      <c r="B75" s="1">
        <f t="shared" si="12"/>
        <v>10459.836800000001</v>
      </c>
      <c r="C75" s="1">
        <f>B75*'Equation Sheet'!$N$19*'Equation Sheet'!$N$22*'Equation Sheet'!$N$25*'Equation Sheet'!$N$28*'Equation Sheet'!$N$31*'Equation Sheet'!$N$34*'Equation Sheet'!$N$37</f>
        <v>4623.2478656000003</v>
      </c>
      <c r="D75" s="1">
        <f t="shared" si="13"/>
        <v>8903.4215998212876</v>
      </c>
      <c r="E75">
        <f t="shared" si="14"/>
        <v>3.3694911179542668</v>
      </c>
      <c r="F75">
        <f t="shared" si="15"/>
        <v>2.3694911179542668</v>
      </c>
      <c r="G75" s="1">
        <f t="shared" si="16"/>
        <v>0.86267521344000009</v>
      </c>
      <c r="H75" s="1">
        <f t="shared" si="17"/>
        <v>-8626.7521343999997</v>
      </c>
      <c r="K75" s="1"/>
    </row>
    <row r="76" spans="1:11" x14ac:dyDescent="0.25">
      <c r="A76" s="1">
        <v>3850000</v>
      </c>
      <c r="B76" s="1">
        <f t="shared" si="12"/>
        <v>10551.4136</v>
      </c>
      <c r="C76" s="1">
        <f>B76*'Equation Sheet'!$N$19*'Equation Sheet'!$N$22*'Equation Sheet'!$N$25*'Equation Sheet'!$N$28*'Equation Sheet'!$N$31*'Equation Sheet'!$N$34*'Equation Sheet'!$N$37</f>
        <v>4663.7248112000007</v>
      </c>
      <c r="D76" s="1">
        <f t="shared" si="13"/>
        <v>8928.7852778975193</v>
      </c>
      <c r="E76">
        <f t="shared" si="14"/>
        <v>3.3599195261490444</v>
      </c>
      <c r="F76">
        <f t="shared" si="15"/>
        <v>2.3599195261490444</v>
      </c>
      <c r="G76" s="1">
        <f t="shared" si="16"/>
        <v>0.85862751887999988</v>
      </c>
      <c r="H76" s="1">
        <f t="shared" si="17"/>
        <v>-8586.2751887999984</v>
      </c>
      <c r="K76" s="1"/>
    </row>
    <row r="77" spans="1:11" x14ac:dyDescent="0.25">
      <c r="A77" s="1">
        <v>3900000</v>
      </c>
      <c r="B77" s="1">
        <f t="shared" si="12"/>
        <v>10642.990400000001</v>
      </c>
      <c r="C77" s="1">
        <f>B77*'Equation Sheet'!$N$19*'Equation Sheet'!$N$22*'Equation Sheet'!$N$25*'Equation Sheet'!$N$28*'Equation Sheet'!$N$31*'Equation Sheet'!$N$34*'Equation Sheet'!$N$37</f>
        <v>4704.2017568000001</v>
      </c>
      <c r="D77" s="1">
        <f t="shared" si="13"/>
        <v>8954.1905431662981</v>
      </c>
      <c r="E77">
        <f t="shared" si="14"/>
        <v>3.3503865989199375</v>
      </c>
      <c r="F77">
        <f t="shared" si="15"/>
        <v>2.3503865989199375</v>
      </c>
      <c r="G77" s="1">
        <f t="shared" si="16"/>
        <v>0.8545798243199999</v>
      </c>
      <c r="H77" s="1">
        <f t="shared" si="17"/>
        <v>-8545.798243199999</v>
      </c>
      <c r="K77" s="1"/>
    </row>
    <row r="78" spans="1:11" x14ac:dyDescent="0.25">
      <c r="A78" s="1">
        <v>3950000</v>
      </c>
      <c r="B78" s="1">
        <f t="shared" si="12"/>
        <v>10734.567200000001</v>
      </c>
      <c r="C78" s="1">
        <f>B78*'Equation Sheet'!$N$19*'Equation Sheet'!$N$22*'Equation Sheet'!$N$25*'Equation Sheet'!$N$28*'Equation Sheet'!$N$31*'Equation Sheet'!$N$34*'Equation Sheet'!$N$37</f>
        <v>4744.6787024000005</v>
      </c>
      <c r="D78" s="1">
        <f t="shared" si="13"/>
        <v>8979.6372893643875</v>
      </c>
      <c r="E78">
        <f t="shared" si="14"/>
        <v>3.3408921800808629</v>
      </c>
      <c r="F78">
        <f t="shared" si="15"/>
        <v>2.3408921800808629</v>
      </c>
      <c r="G78" s="1">
        <f t="shared" si="16"/>
        <v>0.85053212976000003</v>
      </c>
      <c r="H78" s="1">
        <f t="shared" si="17"/>
        <v>-8505.3212975999995</v>
      </c>
      <c r="K78" s="1"/>
    </row>
    <row r="79" spans="1:11" x14ac:dyDescent="0.25">
      <c r="A79" s="1">
        <v>4000000</v>
      </c>
      <c r="B79" s="1">
        <f t="shared" si="12"/>
        <v>10826.144</v>
      </c>
      <c r="C79" s="1">
        <f>B79*'Equation Sheet'!$N$19*'Equation Sheet'!$N$22*'Equation Sheet'!$N$25*'Equation Sheet'!$N$28*'Equation Sheet'!$N$31*'Equation Sheet'!$N$34*'Equation Sheet'!$N$37</f>
        <v>4785.1556480000008</v>
      </c>
      <c r="D79" s="1">
        <f t="shared" si="13"/>
        <v>9005.1254092005547</v>
      </c>
      <c r="E79">
        <f t="shared" si="14"/>
        <v>3.3314361140766504</v>
      </c>
      <c r="F79">
        <f t="shared" si="15"/>
        <v>2.3314361140766504</v>
      </c>
      <c r="G79" s="1">
        <f t="shared" si="16"/>
        <v>0.84648443520000005</v>
      </c>
      <c r="H79" s="1">
        <f t="shared" si="17"/>
        <v>-8464.8443520000001</v>
      </c>
      <c r="K79" s="1"/>
    </row>
    <row r="80" spans="1:11" x14ac:dyDescent="0.25">
      <c r="A80" s="1">
        <v>4050000</v>
      </c>
      <c r="B80" s="1">
        <f t="shared" si="12"/>
        <v>10917.720800000001</v>
      </c>
      <c r="C80" s="1">
        <f>B80*'Equation Sheet'!$N$19*'Equation Sheet'!$N$22*'Equation Sheet'!$N$25*'Equation Sheet'!$N$28*'Equation Sheet'!$N$31*'Equation Sheet'!$N$34*'Equation Sheet'!$N$37</f>
        <v>4825.6325936000003</v>
      </c>
      <c r="D80" s="1">
        <f t="shared" si="13"/>
        <v>9030.6547943554269</v>
      </c>
      <c r="E80">
        <f t="shared" si="14"/>
        <v>3.322018245980499</v>
      </c>
      <c r="F80">
        <f t="shared" si="15"/>
        <v>2.322018245980499</v>
      </c>
      <c r="G80" s="1">
        <f t="shared" si="16"/>
        <v>0.84243674064000007</v>
      </c>
      <c r="H80" s="1">
        <f t="shared" si="17"/>
        <v>-8424.3674064000006</v>
      </c>
      <c r="K80" s="1"/>
    </row>
    <row r="81" spans="1:11" x14ac:dyDescent="0.25">
      <c r="A81" s="1">
        <v>4100000</v>
      </c>
      <c r="B81" s="1">
        <f t="shared" si="12"/>
        <v>11009.297600000002</v>
      </c>
      <c r="C81" s="1">
        <f>B81*'Equation Sheet'!$N$19*'Equation Sheet'!$N$22*'Equation Sheet'!$N$25*'Equation Sheet'!$N$28*'Equation Sheet'!$N$31*'Equation Sheet'!$N$34*'Equation Sheet'!$N$37</f>
        <v>4866.1095392000016</v>
      </c>
      <c r="D81" s="1">
        <f t="shared" si="13"/>
        <v>9056.2253354814438</v>
      </c>
      <c r="E81">
        <f t="shared" si="14"/>
        <v>3.3126384214914357</v>
      </c>
      <c r="F81">
        <f t="shared" si="15"/>
        <v>2.3126384214914357</v>
      </c>
      <c r="G81" s="1">
        <f t="shared" si="16"/>
        <v>0.83838904607999987</v>
      </c>
      <c r="H81" s="1">
        <f t="shared" si="17"/>
        <v>-8383.8904607999975</v>
      </c>
      <c r="K81" s="1"/>
    </row>
    <row r="82" spans="1:11" x14ac:dyDescent="0.25">
      <c r="A82" s="1">
        <v>4150000</v>
      </c>
      <c r="B82" s="1">
        <f t="shared" si="12"/>
        <v>11100.874400000001</v>
      </c>
      <c r="C82" s="1">
        <f>B82*'Equation Sheet'!$N$19*'Equation Sheet'!$N$22*'Equation Sheet'!$N$25*'Equation Sheet'!$N$28*'Equation Sheet'!$N$31*'Equation Sheet'!$N$34*'Equation Sheet'!$N$37</f>
        <v>4906.5864848000001</v>
      </c>
      <c r="D82" s="1">
        <f t="shared" si="13"/>
        <v>9081.8369222028196</v>
      </c>
      <c r="E82">
        <f t="shared" si="14"/>
        <v>3.3032964869317905</v>
      </c>
      <c r="F82">
        <f t="shared" si="15"/>
        <v>2.3032964869317905</v>
      </c>
      <c r="G82" s="1">
        <f t="shared" si="16"/>
        <v>0.83434135152</v>
      </c>
      <c r="H82" s="1">
        <f t="shared" si="17"/>
        <v>-8343.4135151999999</v>
      </c>
      <c r="K82" s="1"/>
    </row>
    <row r="83" spans="1:11" x14ac:dyDescent="0.25">
      <c r="A83" s="1">
        <v>4200000</v>
      </c>
      <c r="B83" s="1">
        <f t="shared" si="12"/>
        <v>11192.451200000001</v>
      </c>
      <c r="C83" s="1">
        <f>B83*'Equation Sheet'!$N$19*'Equation Sheet'!$N$22*'Equation Sheet'!$N$25*'Equation Sheet'!$N$28*'Equation Sheet'!$N$31*'Equation Sheet'!$N$34*'Equation Sheet'!$N$37</f>
        <v>4947.0634304000014</v>
      </c>
      <c r="D83" s="1">
        <f t="shared" si="13"/>
        <v>9107.4894431155826</v>
      </c>
      <c r="E83">
        <f t="shared" si="14"/>
        <v>3.2939922892446738</v>
      </c>
      <c r="F83">
        <f t="shared" si="15"/>
        <v>2.2939922892446738</v>
      </c>
      <c r="G83" s="1">
        <f t="shared" si="16"/>
        <v>0.8302936569599999</v>
      </c>
      <c r="H83" s="1">
        <f t="shared" si="17"/>
        <v>-8302.9365695999986</v>
      </c>
      <c r="K83" s="1"/>
    </row>
    <row r="84" spans="1:11" x14ac:dyDescent="0.25">
      <c r="A84" s="1">
        <v>4250000</v>
      </c>
      <c r="B84" s="1">
        <f t="shared" si="12"/>
        <v>11284.028</v>
      </c>
      <c r="C84" s="1">
        <f>B84*'Equation Sheet'!$N$19*'Equation Sheet'!$N$22*'Equation Sheet'!$N$25*'Equation Sheet'!$N$28*'Equation Sheet'!$N$31*'Equation Sheet'!$N$34*'Equation Sheet'!$N$37</f>
        <v>4987.5403760000008</v>
      </c>
      <c r="D84" s="1">
        <f t="shared" si="13"/>
        <v>9133.1827857876433</v>
      </c>
      <c r="E84">
        <f t="shared" si="14"/>
        <v>3.2847256759914729</v>
      </c>
      <c r="F84">
        <f t="shared" si="15"/>
        <v>2.2847256759914729</v>
      </c>
      <c r="G84" s="1">
        <f t="shared" si="16"/>
        <v>0.82624596240000003</v>
      </c>
      <c r="H84" s="1">
        <f t="shared" si="17"/>
        <v>-8262.4596239999992</v>
      </c>
      <c r="K84" s="1"/>
    </row>
    <row r="85" spans="1:11" x14ac:dyDescent="0.25">
      <c r="A85" s="1">
        <v>4300000</v>
      </c>
      <c r="B85" s="1">
        <f t="shared" si="12"/>
        <v>11375.604800000001</v>
      </c>
      <c r="C85" s="1">
        <f>B85*'Equation Sheet'!$N$19*'Equation Sheet'!$N$22*'Equation Sheet'!$N$25*'Equation Sheet'!$N$28*'Equation Sheet'!$N$31*'Equation Sheet'!$N$34*'Equation Sheet'!$N$37</f>
        <v>5028.0173216000003</v>
      </c>
      <c r="D85" s="1">
        <f t="shared" si="13"/>
        <v>9158.9168367589155</v>
      </c>
      <c r="E85">
        <f t="shared" si="14"/>
        <v>3.2754964953493517</v>
      </c>
      <c r="F85">
        <f t="shared" si="15"/>
        <v>2.2754964953493517</v>
      </c>
      <c r="G85" s="1">
        <f t="shared" si="16"/>
        <v>0.82219826784000005</v>
      </c>
      <c r="H85" s="1">
        <f t="shared" si="17"/>
        <v>-8221.9826783999997</v>
      </c>
      <c r="K85" s="1"/>
    </row>
    <row r="86" spans="1:11" x14ac:dyDescent="0.25">
      <c r="A86" s="1">
        <v>4350000</v>
      </c>
      <c r="B86" s="1">
        <f t="shared" si="12"/>
        <v>11467.181600000002</v>
      </c>
      <c r="C86" s="1">
        <f>B86*'Equation Sheet'!$N$19*'Equation Sheet'!$N$22*'Equation Sheet'!$N$25*'Equation Sheet'!$N$28*'Equation Sheet'!$N$31*'Equation Sheet'!$N$34*'Equation Sheet'!$N$37</f>
        <v>5068.4942672000006</v>
      </c>
      <c r="D86" s="1">
        <f t="shared" si="13"/>
        <v>9184.6914815414893</v>
      </c>
      <c r="E86">
        <f t="shared" si="14"/>
        <v>3.2663045961087662</v>
      </c>
      <c r="F86">
        <f t="shared" si="15"/>
        <v>2.2663045961087662</v>
      </c>
      <c r="G86" s="1">
        <f t="shared" si="16"/>
        <v>0.81815057328000007</v>
      </c>
      <c r="H86" s="1">
        <f t="shared" si="17"/>
        <v>-8181.5057327999994</v>
      </c>
      <c r="K86" s="1"/>
    </row>
    <row r="87" spans="1:11" x14ac:dyDescent="0.25">
      <c r="A87" s="1">
        <v>4400000</v>
      </c>
      <c r="B87" s="1">
        <f t="shared" si="12"/>
        <v>11558.758400000001</v>
      </c>
      <c r="C87" s="1">
        <f>B87*'Equation Sheet'!$N$19*'Equation Sheet'!$N$22*'Equation Sheet'!$N$25*'Equation Sheet'!$N$28*'Equation Sheet'!$N$31*'Equation Sheet'!$N$34*'Equation Sheet'!$N$37</f>
        <v>5108.9712128000001</v>
      </c>
      <c r="D87" s="1">
        <f t="shared" si="13"/>
        <v>9210.5066046198481</v>
      </c>
      <c r="E87">
        <f t="shared" si="14"/>
        <v>3.2571498276709843</v>
      </c>
      <c r="F87">
        <f t="shared" si="15"/>
        <v>2.2571498276709843</v>
      </c>
      <c r="G87" s="1">
        <f t="shared" si="16"/>
        <v>0.81410287871999998</v>
      </c>
      <c r="H87" s="1">
        <f t="shared" si="17"/>
        <v>-8141.0287871999999</v>
      </c>
      <c r="K87" s="1"/>
    </row>
    <row r="88" spans="1:11" x14ac:dyDescent="0.25">
      <c r="A88" s="1">
        <v>4450000</v>
      </c>
      <c r="B88" s="1">
        <f t="shared" si="12"/>
        <v>11650.335200000001</v>
      </c>
      <c r="C88" s="1">
        <f>B88*'Equation Sheet'!$N$19*'Equation Sheet'!$N$22*'Equation Sheet'!$N$25*'Equation Sheet'!$N$28*'Equation Sheet'!$N$31*'Equation Sheet'!$N$34*'Equation Sheet'!$N$37</f>
        <v>5149.4481584000014</v>
      </c>
      <c r="D88" s="1">
        <f t="shared" si="13"/>
        <v>9236.3620894511387</v>
      </c>
      <c r="E88">
        <f t="shared" si="14"/>
        <v>3.2480320400456195</v>
      </c>
      <c r="F88">
        <f t="shared" si="15"/>
        <v>2.2480320400456195</v>
      </c>
      <c r="G88" s="1">
        <f t="shared" si="16"/>
        <v>0.81005518415999989</v>
      </c>
      <c r="H88" s="1">
        <f t="shared" si="17"/>
        <v>-8100.5518415999986</v>
      </c>
      <c r="K88" s="1"/>
    </row>
    <row r="89" spans="1:11" x14ac:dyDescent="0.25">
      <c r="A89" s="1">
        <v>4500000</v>
      </c>
      <c r="B89" s="1">
        <f t="shared" si="12"/>
        <v>11741.912</v>
      </c>
      <c r="C89" s="1">
        <f>B89*'Equation Sheet'!$N$19*'Equation Sheet'!$N$22*'Equation Sheet'!$N$25*'Equation Sheet'!$N$28*'Equation Sheet'!$N$31*'Equation Sheet'!$N$34*'Equation Sheet'!$N$37</f>
        <v>5189.9251039999999</v>
      </c>
      <c r="D89" s="1">
        <f t="shared" si="13"/>
        <v>9262.2578184654813</v>
      </c>
      <c r="E89">
        <f t="shared" si="14"/>
        <v>3.2389510838481748</v>
      </c>
      <c r="F89">
        <f t="shared" si="15"/>
        <v>2.2389510838481748</v>
      </c>
      <c r="G89" s="1">
        <f t="shared" si="16"/>
        <v>0.80600748960000002</v>
      </c>
      <c r="H89" s="1">
        <f t="shared" si="17"/>
        <v>-8060.0748960000001</v>
      </c>
      <c r="K89" s="1"/>
    </row>
    <row r="90" spans="1:11" x14ac:dyDescent="0.25">
      <c r="A90" s="1">
        <v>4550000</v>
      </c>
      <c r="B90" s="1">
        <f t="shared" si="12"/>
        <v>11833.488800000001</v>
      </c>
      <c r="C90" s="1">
        <f>B90*'Equation Sheet'!$N$19*'Equation Sheet'!$N$22*'Equation Sheet'!$N$25*'Equation Sheet'!$N$28*'Equation Sheet'!$N$31*'Equation Sheet'!$N$34*'Equation Sheet'!$N$37</f>
        <v>5230.4020496000012</v>
      </c>
      <c r="D90" s="1">
        <f t="shared" si="13"/>
        <v>9288.1936730663474</v>
      </c>
      <c r="E90">
        <f t="shared" si="14"/>
        <v>3.2299068102975919</v>
      </c>
      <c r="F90">
        <f t="shared" si="15"/>
        <v>2.2299068102975919</v>
      </c>
      <c r="G90" s="1">
        <f t="shared" si="16"/>
        <v>0.80195979504000003</v>
      </c>
      <c r="H90" s="1">
        <f t="shared" si="17"/>
        <v>-8019.5979503999988</v>
      </c>
      <c r="K90" s="1"/>
    </row>
    <row r="91" spans="1:11" x14ac:dyDescent="0.25">
      <c r="A91" s="1">
        <v>4600000</v>
      </c>
      <c r="B91" s="1">
        <f t="shared" si="12"/>
        <v>11925.0656</v>
      </c>
      <c r="C91" s="1">
        <f>B91*'Equation Sheet'!$N$19*'Equation Sheet'!$N$22*'Equation Sheet'!$N$25*'Equation Sheet'!$N$28*'Equation Sheet'!$N$31*'Equation Sheet'!$N$34*'Equation Sheet'!$N$37</f>
        <v>5270.8789952000006</v>
      </c>
      <c r="D91" s="1">
        <f t="shared" si="13"/>
        <v>9314.1695336309622</v>
      </c>
      <c r="E91">
        <f t="shared" si="14"/>
        <v>3.2208990712138172</v>
      </c>
      <c r="F91">
        <f t="shared" si="15"/>
        <v>2.2208990712138172</v>
      </c>
      <c r="G91" s="1">
        <f t="shared" si="16"/>
        <v>0.79791210048000005</v>
      </c>
      <c r="H91" s="1">
        <f t="shared" si="17"/>
        <v>-7979.1210047999994</v>
      </c>
      <c r="K91" s="1"/>
    </row>
    <row r="92" spans="1:11" x14ac:dyDescent="0.25">
      <c r="A92" s="1">
        <v>4650000</v>
      </c>
      <c r="B92" s="1">
        <f t="shared" si="12"/>
        <v>12016.642400000001</v>
      </c>
      <c r="C92" s="1">
        <f>B92*'Equation Sheet'!$N$19*'Equation Sheet'!$N$22*'Equation Sheet'!$N$25*'Equation Sheet'!$N$28*'Equation Sheet'!$N$31*'Equation Sheet'!$N$34*'Equation Sheet'!$N$37</f>
        <v>5311.3559408000001</v>
      </c>
      <c r="D92" s="1">
        <f t="shared" si="13"/>
        <v>9340.185279510777</v>
      </c>
      <c r="E92">
        <f t="shared" si="14"/>
        <v>3.2119277190153714</v>
      </c>
      <c r="F92">
        <f t="shared" si="15"/>
        <v>2.2119277190153714</v>
      </c>
      <c r="G92" s="1">
        <f t="shared" si="16"/>
        <v>0.79386440592000007</v>
      </c>
      <c r="H92" s="1">
        <f t="shared" si="17"/>
        <v>-7938.6440591999999</v>
      </c>
      <c r="K92" s="1"/>
    </row>
    <row r="93" spans="1:11" x14ac:dyDescent="0.25">
      <c r="A93" s="1">
        <v>4700000</v>
      </c>
      <c r="B93" s="1">
        <f t="shared" si="12"/>
        <v>12108.219200000001</v>
      </c>
      <c r="C93" s="1">
        <f>B93*'Equation Sheet'!$N$19*'Equation Sheet'!$N$22*'Equation Sheet'!$N$25*'Equation Sheet'!$N$28*'Equation Sheet'!$N$31*'Equation Sheet'!$N$34*'Equation Sheet'!$N$37</f>
        <v>5351.8328864000014</v>
      </c>
      <c r="D93" s="1">
        <f t="shared" si="13"/>
        <v>9366.2407890319773</v>
      </c>
      <c r="E93">
        <f t="shared" si="14"/>
        <v>3.2029926067169336</v>
      </c>
      <c r="F93">
        <f t="shared" si="15"/>
        <v>2.2029926067169336</v>
      </c>
      <c r="G93" s="1">
        <f t="shared" si="16"/>
        <v>0.78981671135999987</v>
      </c>
      <c r="H93" s="1">
        <f t="shared" si="17"/>
        <v>-7898.1671135999986</v>
      </c>
      <c r="K93" s="1"/>
    </row>
    <row r="94" spans="1:11" x14ac:dyDescent="0.25">
      <c r="A94" s="1">
        <v>4750000</v>
      </c>
      <c r="B94" s="1">
        <f t="shared" si="12"/>
        <v>12199.796</v>
      </c>
      <c r="C94" s="1">
        <f>B94*'Equation Sheet'!$N$19*'Equation Sheet'!$N$22*'Equation Sheet'!$N$25*'Equation Sheet'!$N$28*'Equation Sheet'!$N$31*'Equation Sheet'!$N$34*'Equation Sheet'!$N$37</f>
        <v>5392.3098319999999</v>
      </c>
      <c r="D94" s="1">
        <f t="shared" si="13"/>
        <v>9392.3359394960462</v>
      </c>
      <c r="E94">
        <f t="shared" si="14"/>
        <v>3.1940935879269321</v>
      </c>
      <c r="F94">
        <f t="shared" si="15"/>
        <v>2.1940935879269321</v>
      </c>
      <c r="G94" s="1">
        <f t="shared" si="16"/>
        <v>0.78576901680000011</v>
      </c>
      <c r="H94" s="1">
        <f t="shared" si="17"/>
        <v>-7857.6901680000001</v>
      </c>
      <c r="K94" s="1"/>
    </row>
    <row r="95" spans="1:11" x14ac:dyDescent="0.25">
      <c r="A95" s="1">
        <v>4800000</v>
      </c>
      <c r="B95" s="1">
        <f t="shared" si="12"/>
        <v>12291.372800000001</v>
      </c>
      <c r="C95" s="1">
        <f>B95*'Equation Sheet'!$N$19*'Equation Sheet'!$N$22*'Equation Sheet'!$N$25*'Equation Sheet'!$N$28*'Equation Sheet'!$N$31*'Equation Sheet'!$N$34*'Equation Sheet'!$N$37</f>
        <v>5432.7867776000012</v>
      </c>
      <c r="D95" s="1">
        <f t="shared" si="13"/>
        <v>9418.4706071803903</v>
      </c>
      <c r="E95">
        <f t="shared" si="14"/>
        <v>3.1852305168451447</v>
      </c>
      <c r="F95">
        <f t="shared" si="15"/>
        <v>2.1852305168451447</v>
      </c>
      <c r="G95" s="1">
        <f t="shared" si="16"/>
        <v>0.78172132223999991</v>
      </c>
      <c r="H95" s="1">
        <f t="shared" si="17"/>
        <v>-7817.2132223999988</v>
      </c>
      <c r="K95" s="1"/>
    </row>
    <row r="96" spans="1:11" x14ac:dyDescent="0.25">
      <c r="A96" s="1">
        <v>4850000</v>
      </c>
      <c r="B96" s="1">
        <f t="shared" si="12"/>
        <v>12382.9496</v>
      </c>
      <c r="C96" s="1">
        <f>B96*'Equation Sheet'!$N$19*'Equation Sheet'!$N$22*'Equation Sheet'!$N$25*'Equation Sheet'!$N$28*'Equation Sheet'!$N$31*'Equation Sheet'!$N$34*'Equation Sheet'!$N$37</f>
        <v>5473.2637232000006</v>
      </c>
      <c r="D96" s="1">
        <f t="shared" si="13"/>
        <v>9444.6446673389873</v>
      </c>
      <c r="E96">
        <f t="shared" si="14"/>
        <v>3.1764032482603128</v>
      </c>
      <c r="F96">
        <f t="shared" si="15"/>
        <v>2.1764032482603128</v>
      </c>
      <c r="G96" s="1">
        <f t="shared" si="16"/>
        <v>0.77767362768000003</v>
      </c>
      <c r="H96" s="1">
        <f t="shared" si="17"/>
        <v>-7776.7362767999994</v>
      </c>
      <c r="K96" s="1"/>
    </row>
    <row r="97" spans="1:11" x14ac:dyDescent="0.25">
      <c r="A97" s="1">
        <v>4900000</v>
      </c>
      <c r="B97" s="1">
        <f t="shared" ref="B97:B128" si="18">(A97*0.0572355*0.4*0.08)+3500</f>
        <v>12474.526400000001</v>
      </c>
      <c r="C97" s="1">
        <f>B97*'Equation Sheet'!$N$19*'Equation Sheet'!$N$22*'Equation Sheet'!$N$25*'Equation Sheet'!$N$28*'Equation Sheet'!$N$31*'Equation Sheet'!$N$34*'Equation Sheet'!$N$37</f>
        <v>5513.740668800001</v>
      </c>
      <c r="D97" s="1">
        <f t="shared" ref="D97:D128" si="19">30000/E97</f>
        <v>9470.857994203112</v>
      </c>
      <c r="E97">
        <f t="shared" ref="E97:E128" si="20">1+F97</f>
        <v>3.1676116375477585</v>
      </c>
      <c r="F97">
        <f t="shared" ref="F97:F128" si="21">2.71828183^G97</f>
        <v>2.1676116375477585</v>
      </c>
      <c r="G97" s="1">
        <f t="shared" ref="G97:G128" si="22">H97*0.001*-0.1</f>
        <v>0.77362593311999994</v>
      </c>
      <c r="H97" s="1">
        <f t="shared" ref="H97:H128" si="23">C97-13250</f>
        <v>-7736.259331199999</v>
      </c>
      <c r="K97" s="1"/>
    </row>
    <row r="98" spans="1:11" x14ac:dyDescent="0.25">
      <c r="A98" s="1">
        <v>4950000</v>
      </c>
      <c r="B98" s="1">
        <f t="shared" si="18"/>
        <v>12566.103200000001</v>
      </c>
      <c r="C98" s="1">
        <f>B98*'Equation Sheet'!$N$19*'Equation Sheet'!$N$22*'Equation Sheet'!$N$25*'Equation Sheet'!$N$28*'Equation Sheet'!$N$31*'Equation Sheet'!$N$34*'Equation Sheet'!$N$37</f>
        <v>5554.2176144000005</v>
      </c>
      <c r="D98" s="1">
        <f t="shared" si="19"/>
        <v>9497.1104609820904</v>
      </c>
      <c r="E98">
        <f t="shared" si="20"/>
        <v>3.1588555406670205</v>
      </c>
      <c r="F98">
        <f t="shared" si="21"/>
        <v>2.1588555406670205</v>
      </c>
      <c r="G98" s="1">
        <f t="shared" si="22"/>
        <v>0.76957823855999996</v>
      </c>
      <c r="H98" s="1">
        <f t="shared" si="23"/>
        <v>-7695.7823855999995</v>
      </c>
      <c r="K98" s="1"/>
    </row>
    <row r="99" spans="1:11" x14ac:dyDescent="0.25">
      <c r="A99" s="1">
        <v>5000000</v>
      </c>
      <c r="B99" s="1">
        <f t="shared" si="18"/>
        <v>12657.68</v>
      </c>
      <c r="C99" s="1">
        <f>B99*'Equation Sheet'!$N$19*'Equation Sheet'!$N$22*'Equation Sheet'!$N$25*'Equation Sheet'!$N$28*'Equation Sheet'!$N$31*'Equation Sheet'!$N$34*'Equation Sheet'!$N$37</f>
        <v>5594.6945599999999</v>
      </c>
      <c r="D99" s="1">
        <f t="shared" si="19"/>
        <v>9523.4019398641303</v>
      </c>
      <c r="E99">
        <f t="shared" si="20"/>
        <v>3.1501348141594878</v>
      </c>
      <c r="F99">
        <f t="shared" si="21"/>
        <v>2.1501348141594878</v>
      </c>
      <c r="G99" s="1">
        <f t="shared" si="22"/>
        <v>0.76553054400000009</v>
      </c>
      <c r="H99" s="1">
        <f t="shared" si="23"/>
        <v>-7655.3054400000001</v>
      </c>
      <c r="K99" s="1"/>
    </row>
    <row r="100" spans="1:11" x14ac:dyDescent="0.25">
      <c r="A100" s="1">
        <v>5050000</v>
      </c>
      <c r="B100" s="1">
        <f t="shared" si="18"/>
        <v>12749.256800000001</v>
      </c>
      <c r="C100" s="1">
        <f>B100*'Equation Sheet'!$N$19*'Equation Sheet'!$N$22*'Equation Sheet'!$N$25*'Equation Sheet'!$N$28*'Equation Sheet'!$N$31*'Equation Sheet'!$N$34*'Equation Sheet'!$N$37</f>
        <v>5635.1715056000012</v>
      </c>
      <c r="D100" s="1">
        <f t="shared" si="19"/>
        <v>9549.7323020171734</v>
      </c>
      <c r="E100">
        <f t="shared" si="20"/>
        <v>3.1414493151460539</v>
      </c>
      <c r="F100">
        <f t="shared" si="21"/>
        <v>2.1414493151460539</v>
      </c>
      <c r="G100" s="1">
        <f t="shared" si="22"/>
        <v>0.76148284944</v>
      </c>
      <c r="H100" s="1">
        <f t="shared" si="23"/>
        <v>-7614.8284943999988</v>
      </c>
      <c r="K100" s="1"/>
    </row>
    <row r="101" spans="1:11" x14ac:dyDescent="0.25">
      <c r="A101" s="1">
        <v>5100000</v>
      </c>
      <c r="B101" s="1">
        <f t="shared" si="18"/>
        <v>12840.8336</v>
      </c>
      <c r="C101" s="1">
        <f>B101*'Equation Sheet'!$N$19*'Equation Sheet'!$N$22*'Equation Sheet'!$N$25*'Equation Sheet'!$N$28*'Equation Sheet'!$N$31*'Equation Sheet'!$N$34*'Equation Sheet'!$N$37</f>
        <v>5675.6484511999997</v>
      </c>
      <c r="D101" s="1">
        <f t="shared" si="19"/>
        <v>9576.1014175898199</v>
      </c>
      <c r="E101">
        <f t="shared" si="20"/>
        <v>3.1327989013247741</v>
      </c>
      <c r="F101">
        <f t="shared" si="21"/>
        <v>2.1327989013247741</v>
      </c>
      <c r="G101" s="1">
        <f t="shared" si="22"/>
        <v>0.75743515488000002</v>
      </c>
      <c r="H101" s="1">
        <f t="shared" si="23"/>
        <v>-7574.3515488000003</v>
      </c>
      <c r="K101" s="1"/>
    </row>
    <row r="102" spans="1:11" x14ac:dyDescent="0.25">
      <c r="A102" s="1">
        <v>5150000</v>
      </c>
      <c r="B102" s="1">
        <f t="shared" si="18"/>
        <v>12932.410400000001</v>
      </c>
      <c r="C102" s="1">
        <f>B102*'Equation Sheet'!$N$19*'Equation Sheet'!$N$22*'Equation Sheet'!$N$25*'Equation Sheet'!$N$28*'Equation Sheet'!$N$31*'Equation Sheet'!$N$34*'Equation Sheet'!$N$37</f>
        <v>5716.1253968000019</v>
      </c>
      <c r="D102" s="1">
        <f t="shared" si="19"/>
        <v>9602.5091557122942</v>
      </c>
      <c r="E102">
        <f t="shared" si="20"/>
        <v>3.1241834309685346</v>
      </c>
      <c r="F102">
        <f t="shared" si="21"/>
        <v>2.1241834309685346</v>
      </c>
      <c r="G102" s="1">
        <f t="shared" si="22"/>
        <v>0.75338746031999992</v>
      </c>
      <c r="H102" s="1">
        <f t="shared" si="23"/>
        <v>-7533.8746031999981</v>
      </c>
      <c r="K102" s="1"/>
    </row>
    <row r="103" spans="1:11" x14ac:dyDescent="0.25">
      <c r="A103" s="1">
        <v>5200000</v>
      </c>
      <c r="B103" s="1">
        <f t="shared" si="18"/>
        <v>13023.987200000001</v>
      </c>
      <c r="C103" s="1">
        <f>B103*'Equation Sheet'!$N$19*'Equation Sheet'!$N$22*'Equation Sheet'!$N$25*'Equation Sheet'!$N$28*'Equation Sheet'!$N$31*'Equation Sheet'!$N$34*'Equation Sheet'!$N$37</f>
        <v>5756.6023424000014</v>
      </c>
      <c r="D103" s="1">
        <f t="shared" si="19"/>
        <v>9628.9553844974635</v>
      </c>
      <c r="E103">
        <f t="shared" si="20"/>
        <v>3.1156027629227303</v>
      </c>
      <c r="F103">
        <f t="shared" si="21"/>
        <v>2.1156027629227303</v>
      </c>
      <c r="G103" s="1">
        <f t="shared" si="22"/>
        <v>0.74933976575999994</v>
      </c>
      <c r="H103" s="1">
        <f t="shared" si="23"/>
        <v>-7493.3976575999986</v>
      </c>
      <c r="K103" s="1"/>
    </row>
    <row r="104" spans="1:11" x14ac:dyDescent="0.25">
      <c r="A104" s="1">
        <v>5250000</v>
      </c>
      <c r="B104" s="1">
        <f t="shared" si="18"/>
        <v>13115.564</v>
      </c>
      <c r="C104" s="1">
        <f>B104*'Equation Sheet'!$N$19*'Equation Sheet'!$N$22*'Equation Sheet'!$N$25*'Equation Sheet'!$N$28*'Equation Sheet'!$N$31*'Equation Sheet'!$N$34*'Equation Sheet'!$N$37</f>
        <v>5797.0792880000008</v>
      </c>
      <c r="D104" s="1">
        <f t="shared" si="19"/>
        <v>9655.4399710419184</v>
      </c>
      <c r="E104">
        <f t="shared" si="20"/>
        <v>3.1070567566029514</v>
      </c>
      <c r="F104">
        <f t="shared" si="21"/>
        <v>2.1070567566029514</v>
      </c>
      <c r="G104" s="1">
        <f t="shared" si="22"/>
        <v>0.74529207119999996</v>
      </c>
      <c r="H104" s="1">
        <f t="shared" si="23"/>
        <v>-7452.9207119999992</v>
      </c>
      <c r="K104" s="1"/>
    </row>
    <row r="105" spans="1:11" x14ac:dyDescent="0.25">
      <c r="A105" s="1">
        <v>5300000</v>
      </c>
      <c r="B105" s="1">
        <f t="shared" si="18"/>
        <v>13207.140800000001</v>
      </c>
      <c r="C105" s="1">
        <f>B105*'Equation Sheet'!$N$19*'Equation Sheet'!$N$22*'Equation Sheet'!$N$25*'Equation Sheet'!$N$28*'Equation Sheet'!$N$31*'Equation Sheet'!$N$34*'Equation Sheet'!$N$37</f>
        <v>5837.5562336000003</v>
      </c>
      <c r="D105" s="1">
        <f t="shared" si="19"/>
        <v>9681.9627814270825</v>
      </c>
      <c r="E105">
        <f t="shared" si="20"/>
        <v>3.0985452719926814</v>
      </c>
      <c r="F105">
        <f t="shared" si="21"/>
        <v>2.0985452719926814</v>
      </c>
      <c r="G105" s="1">
        <f t="shared" si="22"/>
        <v>0.74124437664000009</v>
      </c>
      <c r="H105" s="1">
        <f t="shared" si="23"/>
        <v>-7412.4437663999997</v>
      </c>
      <c r="K105" s="1"/>
    </row>
    <row r="106" spans="1:11" x14ac:dyDescent="0.25">
      <c r="A106" s="1">
        <v>5350000</v>
      </c>
      <c r="B106" s="1">
        <f t="shared" si="18"/>
        <v>13298.7176</v>
      </c>
      <c r="C106" s="1">
        <f>B106*'Equation Sheet'!$N$19*'Equation Sheet'!$N$22*'Equation Sheet'!$N$25*'Equation Sheet'!$N$28*'Equation Sheet'!$N$31*'Equation Sheet'!$N$34*'Equation Sheet'!$N$37</f>
        <v>5878.0331792000006</v>
      </c>
      <c r="D106" s="1">
        <f t="shared" si="19"/>
        <v>9708.5236807203964</v>
      </c>
      <c r="E106">
        <f t="shared" si="20"/>
        <v>3.0900681696410022</v>
      </c>
      <c r="F106">
        <f t="shared" si="21"/>
        <v>2.0900681696410022</v>
      </c>
      <c r="G106" s="1">
        <f t="shared" si="22"/>
        <v>0.73719668208</v>
      </c>
      <c r="H106" s="1">
        <f t="shared" si="23"/>
        <v>-7371.9668207999994</v>
      </c>
      <c r="K106" s="1"/>
    </row>
    <row r="107" spans="1:11" x14ac:dyDescent="0.25">
      <c r="A107" s="1">
        <v>5400000</v>
      </c>
      <c r="B107" s="1">
        <f t="shared" si="18"/>
        <v>13390.294400000001</v>
      </c>
      <c r="C107" s="1">
        <f>B107*'Equation Sheet'!$N$19*'Equation Sheet'!$N$22*'Equation Sheet'!$N$25*'Equation Sheet'!$N$28*'Equation Sheet'!$N$31*'Equation Sheet'!$N$34*'Equation Sheet'!$N$37</f>
        <v>5918.510124800001</v>
      </c>
      <c r="D107" s="1">
        <f t="shared" si="19"/>
        <v>9735.1225329765384</v>
      </c>
      <c r="E107">
        <f t="shared" si="20"/>
        <v>3.0816253106603093</v>
      </c>
      <c r="F107">
        <f t="shared" si="21"/>
        <v>2.0816253106603093</v>
      </c>
      <c r="G107" s="1">
        <f t="shared" si="22"/>
        <v>0.73314898751999991</v>
      </c>
      <c r="H107" s="1">
        <f t="shared" si="23"/>
        <v>-7331.489875199999</v>
      </c>
      <c r="K107" s="1"/>
    </row>
    <row r="108" spans="1:11" x14ac:dyDescent="0.25">
      <c r="A108" s="1">
        <v>5450000</v>
      </c>
      <c r="B108" s="1">
        <f t="shared" si="18"/>
        <v>13481.871200000001</v>
      </c>
      <c r="C108" s="1">
        <f>B108*'Equation Sheet'!$N$19*'Equation Sheet'!$N$22*'Equation Sheet'!$N$25*'Equation Sheet'!$N$28*'Equation Sheet'!$N$31*'Equation Sheet'!$N$34*'Equation Sheet'!$N$37</f>
        <v>5958.9870704000004</v>
      </c>
      <c r="D108" s="1">
        <f t="shared" si="19"/>
        <v>9761.7592012387031</v>
      </c>
      <c r="E108">
        <f t="shared" si="20"/>
        <v>3.0732165567240375</v>
      </c>
      <c r="F108">
        <f t="shared" si="21"/>
        <v>2.0732165567240375</v>
      </c>
      <c r="G108" s="1">
        <f t="shared" si="22"/>
        <v>0.72910129296000004</v>
      </c>
      <c r="H108" s="1">
        <f t="shared" si="23"/>
        <v>-7291.0129295999996</v>
      </c>
      <c r="K108" s="1"/>
    </row>
    <row r="109" spans="1:11" x14ac:dyDescent="0.25">
      <c r="A109" s="1">
        <v>5500000</v>
      </c>
      <c r="B109" s="1">
        <f t="shared" si="18"/>
        <v>13573.448</v>
      </c>
      <c r="C109" s="1">
        <f>B109*'Equation Sheet'!$N$19*'Equation Sheet'!$N$22*'Equation Sheet'!$N$25*'Equation Sheet'!$N$28*'Equation Sheet'!$N$31*'Equation Sheet'!$N$34*'Equation Sheet'!$N$37</f>
        <v>5999.4640160000008</v>
      </c>
      <c r="D109" s="1">
        <f t="shared" si="19"/>
        <v>9788.4335475399439</v>
      </c>
      <c r="E109">
        <f t="shared" si="20"/>
        <v>3.0648417700643922</v>
      </c>
      <c r="F109">
        <f t="shared" si="21"/>
        <v>2.0648417700643922</v>
      </c>
      <c r="G109" s="1">
        <f t="shared" si="22"/>
        <v>0.72505359839999994</v>
      </c>
      <c r="H109" s="1">
        <f t="shared" si="23"/>
        <v>-7250.5359839999992</v>
      </c>
      <c r="K109" s="1"/>
    </row>
    <row r="110" spans="1:11" x14ac:dyDescent="0.25">
      <c r="A110" s="1">
        <v>5550000</v>
      </c>
      <c r="B110" s="1">
        <f t="shared" si="18"/>
        <v>13665.024800000001</v>
      </c>
      <c r="C110" s="1">
        <f>B110*'Equation Sheet'!$N$19*'Equation Sheet'!$N$22*'Equation Sheet'!$N$25*'Equation Sheet'!$N$28*'Equation Sheet'!$N$31*'Equation Sheet'!$N$34*'Equation Sheet'!$N$37</f>
        <v>6039.9409616000003</v>
      </c>
      <c r="D110" s="1">
        <f t="shared" si="19"/>
        <v>9815.1454329045337</v>
      </c>
      <c r="E110">
        <f t="shared" si="20"/>
        <v>3.0565008134700955</v>
      </c>
      <c r="F110">
        <f t="shared" si="21"/>
        <v>2.0565008134700955</v>
      </c>
      <c r="G110" s="1">
        <f t="shared" si="22"/>
        <v>0.72100590384000007</v>
      </c>
      <c r="H110" s="1">
        <f t="shared" si="23"/>
        <v>-7210.0590383999997</v>
      </c>
      <c r="K110" s="1"/>
    </row>
    <row r="111" spans="1:11" x14ac:dyDescent="0.25">
      <c r="A111" s="1">
        <v>5600000</v>
      </c>
      <c r="B111" s="1">
        <f t="shared" si="18"/>
        <v>13756.6016</v>
      </c>
      <c r="C111" s="1">
        <f>B111*'Equation Sheet'!$N$19*'Equation Sheet'!$N$22*'Equation Sheet'!$N$25*'Equation Sheet'!$N$28*'Equation Sheet'!$N$31*'Equation Sheet'!$N$34*'Equation Sheet'!$N$37</f>
        <v>6080.4179072000006</v>
      </c>
      <c r="D111" s="1">
        <f t="shared" si="19"/>
        <v>9841.8947173494234</v>
      </c>
      <c r="E111">
        <f t="shared" si="20"/>
        <v>3.0481935502841337</v>
      </c>
      <c r="F111">
        <f t="shared" si="21"/>
        <v>2.0481935502841337</v>
      </c>
      <c r="G111" s="1">
        <f t="shared" si="22"/>
        <v>0.71695820927999998</v>
      </c>
      <c r="H111" s="1">
        <f t="shared" si="23"/>
        <v>-7169.5820927999994</v>
      </c>
      <c r="K111" s="1"/>
    </row>
    <row r="112" spans="1:11" x14ac:dyDescent="0.25">
      <c r="A112" s="1">
        <v>5650000</v>
      </c>
      <c r="B112" s="1">
        <f t="shared" si="18"/>
        <v>13848.178400000001</v>
      </c>
      <c r="C112" s="1">
        <f>B112*'Equation Sheet'!$N$19*'Equation Sheet'!$N$22*'Equation Sheet'!$N$25*'Equation Sheet'!$N$28*'Equation Sheet'!$N$31*'Equation Sheet'!$N$34*'Equation Sheet'!$N$37</f>
        <v>6120.8948528000001</v>
      </c>
      <c r="D112" s="1">
        <f t="shared" si="19"/>
        <v>9868.6812598857068</v>
      </c>
      <c r="E112">
        <f t="shared" si="20"/>
        <v>3.0399198444015245</v>
      </c>
      <c r="F112">
        <f t="shared" si="21"/>
        <v>2.0399198444015245</v>
      </c>
      <c r="G112" s="1">
        <f t="shared" si="22"/>
        <v>0.71291051472</v>
      </c>
      <c r="H112" s="1">
        <f t="shared" si="23"/>
        <v>-7129.1051471999999</v>
      </c>
      <c r="K112" s="1"/>
    </row>
    <row r="113" spans="1:11" x14ac:dyDescent="0.25">
      <c r="A113" s="1">
        <v>5700000</v>
      </c>
      <c r="B113" s="1">
        <f t="shared" si="18"/>
        <v>13939.755200000001</v>
      </c>
      <c r="C113" s="1">
        <f>B113*'Equation Sheet'!$N$19*'Equation Sheet'!$N$22*'Equation Sheet'!$N$25*'Equation Sheet'!$N$28*'Equation Sheet'!$N$31*'Equation Sheet'!$N$34*'Equation Sheet'!$N$37</f>
        <v>6161.3717984000014</v>
      </c>
      <c r="D113" s="1">
        <f t="shared" si="19"/>
        <v>9895.5049185201842</v>
      </c>
      <c r="E113">
        <f t="shared" si="20"/>
        <v>3.0316795602670803</v>
      </c>
      <c r="F113">
        <f t="shared" si="21"/>
        <v>2.0316795602670803</v>
      </c>
      <c r="G113" s="1">
        <f t="shared" si="22"/>
        <v>0.70886282015999991</v>
      </c>
      <c r="H113" s="1">
        <f t="shared" si="23"/>
        <v>-7088.6282015999986</v>
      </c>
      <c r="K113" s="1"/>
    </row>
    <row r="114" spans="1:11" x14ac:dyDescent="0.25">
      <c r="A114" s="1">
        <v>5750000</v>
      </c>
      <c r="B114" s="1">
        <f t="shared" si="18"/>
        <v>14031.332</v>
      </c>
      <c r="C114" s="1">
        <f>B114*'Equation Sheet'!$N$19*'Equation Sheet'!$N$22*'Equation Sheet'!$N$25*'Equation Sheet'!$N$28*'Equation Sheet'!$N$31*'Equation Sheet'!$N$34*'Equation Sheet'!$N$37</f>
        <v>6201.8487440000008</v>
      </c>
      <c r="D114" s="1">
        <f t="shared" si="19"/>
        <v>9922.3655502569291</v>
      </c>
      <c r="E114">
        <f t="shared" si="20"/>
        <v>3.0234725628731933</v>
      </c>
      <c r="F114">
        <f t="shared" si="21"/>
        <v>2.0234725628731933</v>
      </c>
      <c r="G114" s="1">
        <f t="shared" si="22"/>
        <v>0.70481512560000004</v>
      </c>
      <c r="H114" s="1">
        <f t="shared" si="23"/>
        <v>-7048.1512559999992</v>
      </c>
      <c r="K114" s="1"/>
    </row>
    <row r="115" spans="1:11" x14ac:dyDescent="0.25">
      <c r="A115" s="1">
        <v>5800000</v>
      </c>
      <c r="B115" s="1">
        <f t="shared" si="18"/>
        <v>14122.908800000001</v>
      </c>
      <c r="C115" s="1">
        <f>B115*'Equation Sheet'!$N$19*'Equation Sheet'!$N$22*'Equation Sheet'!$N$25*'Equation Sheet'!$N$28*'Equation Sheet'!$N$31*'Equation Sheet'!$N$34*'Equation Sheet'!$N$37</f>
        <v>6242.3256896000012</v>
      </c>
      <c r="D115" s="1">
        <f t="shared" si="19"/>
        <v>9949.263011098963</v>
      </c>
      <c r="E115">
        <f t="shared" si="20"/>
        <v>3.0152987177576178</v>
      </c>
      <c r="F115">
        <f t="shared" si="21"/>
        <v>2.0152987177576178</v>
      </c>
      <c r="G115" s="1">
        <f t="shared" si="22"/>
        <v>0.70076743103999994</v>
      </c>
      <c r="H115" s="1">
        <f t="shared" si="23"/>
        <v>-7007.6743103999988</v>
      </c>
      <c r="K115" s="1"/>
    </row>
    <row r="116" spans="1:11" x14ac:dyDescent="0.25">
      <c r="A116" s="1">
        <v>5850000</v>
      </c>
      <c r="B116" s="1">
        <f t="shared" si="18"/>
        <v>14214.4856</v>
      </c>
      <c r="C116" s="1">
        <f>B116*'Equation Sheet'!$N$19*'Equation Sheet'!$N$22*'Equation Sheet'!$N$25*'Equation Sheet'!$N$28*'Equation Sheet'!$N$31*'Equation Sheet'!$N$34*'Equation Sheet'!$N$37</f>
        <v>6282.8026352000015</v>
      </c>
      <c r="D116" s="1">
        <f t="shared" si="19"/>
        <v>9976.1971560499278</v>
      </c>
      <c r="E116">
        <f t="shared" si="20"/>
        <v>3.0071578910012731</v>
      </c>
      <c r="F116">
        <f t="shared" si="21"/>
        <v>2.0071578910012731</v>
      </c>
      <c r="G116" s="1">
        <f t="shared" si="22"/>
        <v>0.69671973647999996</v>
      </c>
      <c r="H116" s="1">
        <f t="shared" si="23"/>
        <v>-6967.1973647999985</v>
      </c>
      <c r="K116" s="1"/>
    </row>
    <row r="117" spans="1:11" x14ac:dyDescent="0.25">
      <c r="A117" s="1">
        <v>5900000</v>
      </c>
      <c r="B117" s="1">
        <f t="shared" si="18"/>
        <v>14306.062400000001</v>
      </c>
      <c r="C117" s="1">
        <f>B117*'Equation Sheet'!$N$19*'Equation Sheet'!$N$22*'Equation Sheet'!$N$25*'Equation Sheet'!$N$28*'Equation Sheet'!$N$31*'Equation Sheet'!$N$34*'Equation Sheet'!$N$37</f>
        <v>6323.279580800001</v>
      </c>
      <c r="D117" s="1">
        <f t="shared" si="19"/>
        <v>10003.167839115855</v>
      </c>
      <c r="E117">
        <f t="shared" si="20"/>
        <v>2.9990499492260438</v>
      </c>
      <c r="F117">
        <f t="shared" si="21"/>
        <v>1.9990499492260441</v>
      </c>
      <c r="G117" s="1">
        <f t="shared" si="22"/>
        <v>0.69267204191999998</v>
      </c>
      <c r="H117" s="1">
        <f t="shared" si="23"/>
        <v>-6926.720419199999</v>
      </c>
      <c r="K117" s="1"/>
    </row>
    <row r="118" spans="1:11" x14ac:dyDescent="0.25">
      <c r="A118" s="1">
        <v>5950000</v>
      </c>
      <c r="B118" s="1">
        <f t="shared" si="18"/>
        <v>14397.639200000001</v>
      </c>
      <c r="C118" s="1">
        <f>B118*'Equation Sheet'!$N$19*'Equation Sheet'!$N$22*'Equation Sheet'!$N$25*'Equation Sheet'!$N$28*'Equation Sheet'!$N$31*'Equation Sheet'!$N$34*'Equation Sheet'!$N$37</f>
        <v>6363.7565264000004</v>
      </c>
      <c r="D118" s="1">
        <f t="shared" si="19"/>
        <v>10030.174913306955</v>
      </c>
      <c r="E118">
        <f t="shared" si="20"/>
        <v>2.9909747595926</v>
      </c>
      <c r="F118">
        <f t="shared" si="21"/>
        <v>1.9909747595926002</v>
      </c>
      <c r="G118" s="1">
        <f t="shared" si="22"/>
        <v>0.68862434736</v>
      </c>
      <c r="H118" s="1">
        <f t="shared" si="23"/>
        <v>-6886.2434735999996</v>
      </c>
      <c r="K118" s="1"/>
    </row>
    <row r="119" spans="1:11" x14ac:dyDescent="0.25">
      <c r="A119" s="1">
        <v>6000000</v>
      </c>
      <c r="B119" s="1">
        <f t="shared" si="18"/>
        <v>14489.216</v>
      </c>
      <c r="C119" s="1">
        <f>B119*'Equation Sheet'!$N$19*'Equation Sheet'!$N$22*'Equation Sheet'!$N$25*'Equation Sheet'!$N$28*'Equation Sheet'!$N$31*'Equation Sheet'!$N$34*'Equation Sheet'!$N$37</f>
        <v>6404.2334719999999</v>
      </c>
      <c r="D119" s="1">
        <f t="shared" si="19"/>
        <v>10057.218230639492</v>
      </c>
      <c r="E119">
        <f t="shared" si="20"/>
        <v>2.9829321897982162</v>
      </c>
      <c r="F119">
        <f t="shared" si="21"/>
        <v>1.9829321897982159</v>
      </c>
      <c r="G119" s="1">
        <f t="shared" si="22"/>
        <v>0.68457665280000013</v>
      </c>
      <c r="H119" s="1">
        <f t="shared" si="23"/>
        <v>-6845.7665280000001</v>
      </c>
      <c r="K119" s="1"/>
    </row>
    <row r="120" spans="1:11" x14ac:dyDescent="0.25">
      <c r="A120" s="1">
        <v>6050000</v>
      </c>
      <c r="B120" s="1">
        <f t="shared" si="18"/>
        <v>14580.792800000001</v>
      </c>
      <c r="C120" s="1">
        <f>B120*'Equation Sheet'!$N$19*'Equation Sheet'!$N$22*'Equation Sheet'!$N$25*'Equation Sheet'!$N$28*'Equation Sheet'!$N$31*'Equation Sheet'!$N$34*'Equation Sheet'!$N$37</f>
        <v>6444.7104176000003</v>
      </c>
      <c r="D120" s="1">
        <f t="shared" si="19"/>
        <v>10084.297642137682</v>
      </c>
      <c r="E120">
        <f t="shared" si="20"/>
        <v>2.9749221080746047</v>
      </c>
      <c r="F120">
        <f t="shared" si="21"/>
        <v>1.9749221080746047</v>
      </c>
      <c r="G120" s="1">
        <f t="shared" si="22"/>
        <v>0.68052895824000004</v>
      </c>
      <c r="H120" s="1">
        <f t="shared" si="23"/>
        <v>-6805.2895823999997</v>
      </c>
      <c r="K120" s="1"/>
    </row>
    <row r="121" spans="1:11" x14ac:dyDescent="0.25">
      <c r="A121" s="1">
        <v>6100000</v>
      </c>
      <c r="B121" s="1">
        <f t="shared" si="18"/>
        <v>14672.3696</v>
      </c>
      <c r="C121" s="1">
        <f>B121*'Equation Sheet'!$N$19*'Equation Sheet'!$N$22*'Equation Sheet'!$N$25*'Equation Sheet'!$N$28*'Equation Sheet'!$N$31*'Equation Sheet'!$N$34*'Equation Sheet'!$N$37</f>
        <v>6485.1873632000006</v>
      </c>
      <c r="D121" s="1">
        <f t="shared" si="19"/>
        <v>10111.41299783566</v>
      </c>
      <c r="E121">
        <f t="shared" si="20"/>
        <v>2.9669443831857603</v>
      </c>
      <c r="F121">
        <f t="shared" si="21"/>
        <v>1.9669443831857603</v>
      </c>
      <c r="G121" s="1">
        <f t="shared" si="22"/>
        <v>0.67648126367999994</v>
      </c>
      <c r="H121" s="1">
        <f t="shared" si="23"/>
        <v>-6764.8126367999994</v>
      </c>
      <c r="K121" s="1"/>
    </row>
    <row r="122" spans="1:11" x14ac:dyDescent="0.25">
      <c r="A122" s="1">
        <v>6150000</v>
      </c>
      <c r="B122" s="1">
        <f t="shared" si="18"/>
        <v>14763.946400000001</v>
      </c>
      <c r="C122" s="1">
        <f>B122*'Equation Sheet'!$N$19*'Equation Sheet'!$N$22*'Equation Sheet'!$N$25*'Equation Sheet'!$N$28*'Equation Sheet'!$N$31*'Equation Sheet'!$N$34*'Equation Sheet'!$N$37</f>
        <v>6525.6643088000001</v>
      </c>
      <c r="D122" s="1">
        <f t="shared" si="19"/>
        <v>10138.564146779496</v>
      </c>
      <c r="E122">
        <f t="shared" si="20"/>
        <v>2.9589988844258057</v>
      </c>
      <c r="F122">
        <f t="shared" si="21"/>
        <v>1.9589988844258059</v>
      </c>
      <c r="G122" s="1">
        <f t="shared" si="22"/>
        <v>0.67243356912000007</v>
      </c>
      <c r="H122" s="1">
        <f t="shared" si="23"/>
        <v>-6724.3356911999999</v>
      </c>
      <c r="K122" s="1"/>
    </row>
    <row r="123" spans="1:11" x14ac:dyDescent="0.25">
      <c r="A123" s="1">
        <v>6200000</v>
      </c>
      <c r="B123" s="1">
        <f t="shared" si="18"/>
        <v>14855.523200000001</v>
      </c>
      <c r="C123" s="1">
        <f>B123*'Equation Sheet'!$N$19*'Equation Sheet'!$N$22*'Equation Sheet'!$N$25*'Equation Sheet'!$N$28*'Equation Sheet'!$N$31*'Equation Sheet'!$N$34*'Equation Sheet'!$N$37</f>
        <v>6566.1412544000013</v>
      </c>
      <c r="D123" s="1">
        <f t="shared" si="19"/>
        <v>10165.750937029274</v>
      </c>
      <c r="E123">
        <f t="shared" si="20"/>
        <v>2.9510854816168521</v>
      </c>
      <c r="F123">
        <f t="shared" si="21"/>
        <v>1.9510854816168519</v>
      </c>
      <c r="G123" s="1">
        <f t="shared" si="22"/>
        <v>0.66838587455999987</v>
      </c>
      <c r="H123" s="1">
        <f t="shared" si="23"/>
        <v>-6683.8587455999987</v>
      </c>
      <c r="K123" s="1"/>
    </row>
    <row r="124" spans="1:11" x14ac:dyDescent="0.25">
      <c r="A124" s="1">
        <v>6250000</v>
      </c>
      <c r="B124" s="1">
        <f t="shared" si="18"/>
        <v>14947.1</v>
      </c>
      <c r="C124" s="1">
        <f>B124*'Equation Sheet'!$N$19*'Equation Sheet'!$N$22*'Equation Sheet'!$N$25*'Equation Sheet'!$N$28*'Equation Sheet'!$N$31*'Equation Sheet'!$N$34*'Equation Sheet'!$N$37</f>
        <v>6606.6182000000008</v>
      </c>
      <c r="D124" s="1">
        <f t="shared" si="19"/>
        <v>10192.973215661204</v>
      </c>
      <c r="E124">
        <f t="shared" si="20"/>
        <v>2.9432040451068664</v>
      </c>
      <c r="F124">
        <f t="shared" si="21"/>
        <v>1.9432040451068662</v>
      </c>
      <c r="G124" s="1">
        <f t="shared" si="22"/>
        <v>0.66433818</v>
      </c>
      <c r="H124" s="1">
        <f t="shared" si="23"/>
        <v>-6643.3817999999992</v>
      </c>
      <c r="K124" s="1"/>
    </row>
    <row r="125" spans="1:11" x14ac:dyDescent="0.25">
      <c r="A125" s="1">
        <v>6300000</v>
      </c>
      <c r="B125" s="1">
        <f t="shared" si="18"/>
        <v>15038.676800000001</v>
      </c>
      <c r="C125" s="1">
        <f>B125*'Equation Sheet'!$N$19*'Equation Sheet'!$N$22*'Equation Sheet'!$N$25*'Equation Sheet'!$N$28*'Equation Sheet'!$N$31*'Equation Sheet'!$N$34*'Equation Sheet'!$N$37</f>
        <v>6647.0951456000012</v>
      </c>
      <c r="D125" s="1">
        <f t="shared" si="19"/>
        <v>10220.230828769812</v>
      </c>
      <c r="E125">
        <f t="shared" si="20"/>
        <v>2.9353544457675458</v>
      </c>
      <c r="F125">
        <f t="shared" si="21"/>
        <v>1.9353544457675458</v>
      </c>
      <c r="G125" s="1">
        <f t="shared" si="22"/>
        <v>0.66029048544000002</v>
      </c>
      <c r="H125" s="1">
        <f t="shared" si="23"/>
        <v>-6602.9048543999988</v>
      </c>
      <c r="K125" s="1"/>
    </row>
    <row r="126" spans="1:11" x14ac:dyDescent="0.25">
      <c r="A126" s="1">
        <v>6350000</v>
      </c>
      <c r="B126" s="1">
        <f t="shared" si="18"/>
        <v>15130.253600000002</v>
      </c>
      <c r="C126" s="1">
        <f>B126*'Equation Sheet'!$N$19*'Equation Sheet'!$N$22*'Equation Sheet'!$N$25*'Equation Sheet'!$N$28*'Equation Sheet'!$N$31*'Equation Sheet'!$N$34*'Equation Sheet'!$N$37</f>
        <v>6687.5720912000006</v>
      </c>
      <c r="D126" s="1">
        <f t="shared" si="19"/>
        <v>10247.523621470165</v>
      </c>
      <c r="E126">
        <f t="shared" si="20"/>
        <v>2.9275365549922037</v>
      </c>
      <c r="F126">
        <f t="shared" si="21"/>
        <v>1.9275365549922037</v>
      </c>
      <c r="G126" s="1">
        <f t="shared" si="22"/>
        <v>0.65624279087999993</v>
      </c>
      <c r="H126" s="1">
        <f t="shared" si="23"/>
        <v>-6562.4279087999994</v>
      </c>
      <c r="K126" s="1"/>
    </row>
    <row r="127" spans="1:11" x14ac:dyDescent="0.25">
      <c r="A127" s="1">
        <v>6400000</v>
      </c>
      <c r="B127" s="1">
        <f t="shared" si="18"/>
        <v>15221.830400000001</v>
      </c>
      <c r="C127" s="1">
        <f>B127*'Equation Sheet'!$N$19*'Equation Sheet'!$N$22*'Equation Sheet'!$N$25*'Equation Sheet'!$N$28*'Equation Sheet'!$N$31*'Equation Sheet'!$N$34*'Equation Sheet'!$N$37</f>
        <v>6728.0490368000001</v>
      </c>
      <c r="D127" s="1">
        <f t="shared" si="19"/>
        <v>10274.851437900154</v>
      </c>
      <c r="E127">
        <f t="shared" si="20"/>
        <v>2.9197502446936623</v>
      </c>
      <c r="F127">
        <f t="shared" si="21"/>
        <v>1.9197502446936623</v>
      </c>
      <c r="G127" s="1">
        <f t="shared" si="22"/>
        <v>0.65219509632000006</v>
      </c>
      <c r="H127" s="1">
        <f t="shared" si="23"/>
        <v>-6521.9509631999999</v>
      </c>
      <c r="K127" s="1"/>
    </row>
    <row r="128" spans="1:11" x14ac:dyDescent="0.25">
      <c r="A128" s="1">
        <v>6450000</v>
      </c>
      <c r="B128" s="1">
        <f t="shared" si="18"/>
        <v>15313.407200000001</v>
      </c>
      <c r="C128" s="1">
        <f>B128*'Equation Sheet'!$N$19*'Equation Sheet'!$N$22*'Equation Sheet'!$N$25*'Equation Sheet'!$N$28*'Equation Sheet'!$N$31*'Equation Sheet'!$N$34*'Equation Sheet'!$N$37</f>
        <v>6768.5259824000013</v>
      </c>
      <c r="D128" s="1">
        <f t="shared" si="19"/>
        <v>10302.214121222836</v>
      </c>
      <c r="E128">
        <f t="shared" si="20"/>
        <v>2.9119953873021527</v>
      </c>
      <c r="F128">
        <f t="shared" si="21"/>
        <v>1.9119953873021527</v>
      </c>
      <c r="G128" s="1">
        <f t="shared" si="22"/>
        <v>0.64814740175999996</v>
      </c>
      <c r="H128" s="1">
        <f t="shared" si="23"/>
        <v>-6481.4740175999987</v>
      </c>
      <c r="K128" s="1"/>
    </row>
    <row r="129" spans="1:11" x14ac:dyDescent="0.25">
      <c r="A129" s="1">
        <v>6500000</v>
      </c>
      <c r="B129" s="1">
        <f t="shared" ref="B129:B159" si="24">(A129*0.0572355*0.4*0.08)+3500</f>
        <v>15404.984000000002</v>
      </c>
      <c r="C129" s="1">
        <f>B129*'Equation Sheet'!$N$19*'Equation Sheet'!$N$22*'Equation Sheet'!$N$25*'Equation Sheet'!$N$28*'Equation Sheet'!$N$31*'Equation Sheet'!$N$34*'Equation Sheet'!$N$37</f>
        <v>6809.0029280000017</v>
      </c>
      <c r="D129" s="1">
        <f t="shared" ref="D129:D159" si="25">30000/E129</f>
        <v>10329.61151362883</v>
      </c>
      <c r="E129">
        <f t="shared" ref="E129:E159" si="26">1+F129</f>
        <v>2.904271855763227</v>
      </c>
      <c r="F129">
        <f t="shared" ref="F129:F159" si="27">2.71828183^G129</f>
        <v>1.904271855763227</v>
      </c>
      <c r="G129" s="1">
        <f t="shared" ref="G129:G159" si="28">H129*0.001*-0.1</f>
        <v>0.64409970719999987</v>
      </c>
      <c r="H129" s="1">
        <f t="shared" ref="H129:H159" si="29">C129-13250</f>
        <v>-6440.9970719999983</v>
      </c>
      <c r="K129" s="1"/>
    </row>
    <row r="130" spans="1:11" x14ac:dyDescent="0.25">
      <c r="A130" s="1">
        <v>6550000</v>
      </c>
      <c r="B130" s="1">
        <f t="shared" si="24"/>
        <v>15496.560800000001</v>
      </c>
      <c r="C130" s="1">
        <f>B130*'Equation Sheet'!$N$19*'Equation Sheet'!$N$22*'Equation Sheet'!$N$25*'Equation Sheet'!$N$28*'Equation Sheet'!$N$31*'Equation Sheet'!$N$34*'Equation Sheet'!$N$37</f>
        <v>6849.4798736000002</v>
      </c>
      <c r="D130" s="1">
        <f t="shared" si="25"/>
        <v>10357.043456338759</v>
      </c>
      <c r="E130">
        <f t="shared" si="26"/>
        <v>2.8965795235356748</v>
      </c>
      <c r="F130">
        <f t="shared" si="27"/>
        <v>1.8965795235356748</v>
      </c>
      <c r="G130" s="1">
        <f t="shared" si="28"/>
        <v>0.64005201264</v>
      </c>
      <c r="H130" s="1">
        <f t="shared" si="29"/>
        <v>-6400.5201263999998</v>
      </c>
      <c r="K130" s="1"/>
    </row>
    <row r="131" spans="1:11" x14ac:dyDescent="0.25">
      <c r="A131" s="1">
        <v>6600000</v>
      </c>
      <c r="B131" s="1">
        <f t="shared" si="24"/>
        <v>15588.1376</v>
      </c>
      <c r="C131" s="1">
        <f>B131*'Equation Sheet'!$N$19*'Equation Sheet'!$N$22*'Equation Sheet'!$N$25*'Equation Sheet'!$N$28*'Equation Sheet'!$N$31*'Equation Sheet'!$N$34*'Equation Sheet'!$N$37</f>
        <v>6889.9568192000006</v>
      </c>
      <c r="D131" s="1">
        <f t="shared" si="25"/>
        <v>10384.50978960575</v>
      </c>
      <c r="E131">
        <f t="shared" si="26"/>
        <v>2.8889182645894502</v>
      </c>
      <c r="F131">
        <f t="shared" si="27"/>
        <v>1.88891826458945</v>
      </c>
      <c r="G131" s="1">
        <f t="shared" si="28"/>
        <v>0.63600431807999991</v>
      </c>
      <c r="H131" s="1">
        <f t="shared" si="29"/>
        <v>-6360.0431807999994</v>
      </c>
      <c r="K131" s="1"/>
    </row>
    <row r="132" spans="1:11" x14ac:dyDescent="0.25">
      <c r="A132" s="1">
        <v>6650000</v>
      </c>
      <c r="B132" s="1">
        <f t="shared" si="24"/>
        <v>15679.714400000003</v>
      </c>
      <c r="C132" s="1">
        <f>B132*'Equation Sheet'!$N$19*'Equation Sheet'!$N$22*'Equation Sheet'!$N$25*'Equation Sheet'!$N$28*'Equation Sheet'!$N$31*'Equation Sheet'!$N$34*'Equation Sheet'!$N$37</f>
        <v>6930.4337648000019</v>
      </c>
      <c r="D132" s="1">
        <f t="shared" si="25"/>
        <v>10412.010352717991</v>
      </c>
      <c r="E132">
        <f t="shared" si="26"/>
        <v>2.881287953403608</v>
      </c>
      <c r="F132">
        <f t="shared" si="27"/>
        <v>1.881287953403608</v>
      </c>
      <c r="G132" s="1">
        <f t="shared" si="28"/>
        <v>0.63195662351999982</v>
      </c>
      <c r="H132" s="1">
        <f t="shared" si="29"/>
        <v>-6319.5662351999981</v>
      </c>
      <c r="K132" s="1"/>
    </row>
    <row r="133" spans="1:11" x14ac:dyDescent="0.25">
      <c r="A133" s="1">
        <v>6700000</v>
      </c>
      <c r="B133" s="1">
        <f t="shared" si="24"/>
        <v>15771.291200000001</v>
      </c>
      <c r="C133" s="1">
        <f>B133*'Equation Sheet'!$N$19*'Equation Sheet'!$N$22*'Equation Sheet'!$N$25*'Equation Sheet'!$N$28*'Equation Sheet'!$N$31*'Equation Sheet'!$N$34*'Equation Sheet'!$N$37</f>
        <v>6970.9107104000013</v>
      </c>
      <c r="D133" s="1">
        <f t="shared" si="25"/>
        <v>10439.544984001333</v>
      </c>
      <c r="E133">
        <f t="shared" si="26"/>
        <v>2.8736884649642476</v>
      </c>
      <c r="F133">
        <f t="shared" si="27"/>
        <v>1.8736884649642476</v>
      </c>
      <c r="G133" s="1">
        <f t="shared" si="28"/>
        <v>0.62790892895999995</v>
      </c>
      <c r="H133" s="1">
        <f t="shared" si="29"/>
        <v>-6279.0892895999987</v>
      </c>
      <c r="K133" s="1"/>
    </row>
    <row r="134" spans="1:11" x14ac:dyDescent="0.25">
      <c r="A134" s="1">
        <v>6750000</v>
      </c>
      <c r="B134" s="1">
        <f t="shared" si="24"/>
        <v>15862.868</v>
      </c>
      <c r="C134" s="1">
        <f>B134*'Equation Sheet'!$N$19*'Equation Sheet'!$N$22*'Equation Sheet'!$N$25*'Equation Sheet'!$N$28*'Equation Sheet'!$N$31*'Equation Sheet'!$N$34*'Equation Sheet'!$N$37</f>
        <v>7011.3876560000008</v>
      </c>
      <c r="D134" s="1">
        <f t="shared" si="25"/>
        <v>10467.11352082196</v>
      </c>
      <c r="E134">
        <f t="shared" si="26"/>
        <v>2.8661196747624613</v>
      </c>
      <c r="F134">
        <f t="shared" si="27"/>
        <v>1.8661196747624615</v>
      </c>
      <c r="G134" s="1">
        <f t="shared" si="28"/>
        <v>0.62386123439999996</v>
      </c>
      <c r="H134" s="1">
        <f t="shared" si="29"/>
        <v>-6238.6123439999992</v>
      </c>
      <c r="K134" s="1"/>
    </row>
    <row r="135" spans="1:11" x14ac:dyDescent="0.25">
      <c r="A135" s="1">
        <v>6800000</v>
      </c>
      <c r="B135" s="1">
        <f t="shared" si="24"/>
        <v>15954.444800000003</v>
      </c>
      <c r="C135" s="1">
        <f>B135*'Equation Sheet'!$N$19*'Equation Sheet'!$N$22*'Equation Sheet'!$N$25*'Equation Sheet'!$N$28*'Equation Sheet'!$N$31*'Equation Sheet'!$N$34*'Equation Sheet'!$N$37</f>
        <v>7051.8646016000021</v>
      </c>
      <c r="D135" s="1">
        <f t="shared" si="25"/>
        <v>10494.715799589099</v>
      </c>
      <c r="E135">
        <f t="shared" si="26"/>
        <v>2.8585814587922993</v>
      </c>
      <c r="F135">
        <f t="shared" si="27"/>
        <v>1.8585814587922991</v>
      </c>
      <c r="G135" s="1">
        <f t="shared" si="28"/>
        <v>0.61981353983999987</v>
      </c>
      <c r="H135" s="1">
        <f t="shared" si="29"/>
        <v>-6198.1353983999979</v>
      </c>
      <c r="K135" s="1"/>
    </row>
    <row r="136" spans="1:11" x14ac:dyDescent="0.25">
      <c r="A136" s="1">
        <v>6850000</v>
      </c>
      <c r="B136" s="1">
        <f t="shared" si="24"/>
        <v>16046.0216</v>
      </c>
      <c r="C136" s="1">
        <f>B136*'Equation Sheet'!$N$19*'Equation Sheet'!$N$22*'Equation Sheet'!$N$25*'Equation Sheet'!$N$28*'Equation Sheet'!$N$31*'Equation Sheet'!$N$34*'Equation Sheet'!$N$37</f>
        <v>7092.3415471999997</v>
      </c>
      <c r="D136" s="1">
        <f t="shared" si="25"/>
        <v>10522.351655757791</v>
      </c>
      <c r="E136">
        <f t="shared" si="26"/>
        <v>2.8510736935487335</v>
      </c>
      <c r="F136">
        <f t="shared" si="27"/>
        <v>1.8510736935487337</v>
      </c>
      <c r="G136" s="1">
        <f t="shared" si="28"/>
        <v>0.61576584528000011</v>
      </c>
      <c r="H136" s="1">
        <f t="shared" si="29"/>
        <v>-6157.6584528000003</v>
      </c>
      <c r="K136" s="1"/>
    </row>
    <row r="137" spans="1:11" x14ac:dyDescent="0.25">
      <c r="A137" s="1">
        <v>6900000</v>
      </c>
      <c r="B137" s="1">
        <f t="shared" si="24"/>
        <v>16137.598400000001</v>
      </c>
      <c r="C137" s="1">
        <f>B137*'Equation Sheet'!$N$19*'Equation Sheet'!$N$22*'Equation Sheet'!$N$25*'Equation Sheet'!$N$28*'Equation Sheet'!$N$31*'Equation Sheet'!$N$34*'Equation Sheet'!$N$37</f>
        <v>7132.818492800001</v>
      </c>
      <c r="D137" s="1">
        <f t="shared" si="25"/>
        <v>10550.020923831713</v>
      </c>
      <c r="E137">
        <f t="shared" si="26"/>
        <v>2.8435962560256378</v>
      </c>
      <c r="F137">
        <f t="shared" si="27"/>
        <v>1.8435962560256376</v>
      </c>
      <c r="G137" s="1">
        <f t="shared" si="28"/>
        <v>0.61171815071999991</v>
      </c>
      <c r="H137" s="1">
        <f t="shared" si="29"/>
        <v>-6117.181507199999</v>
      </c>
      <c r="K137" s="1"/>
    </row>
    <row r="138" spans="1:11" x14ac:dyDescent="0.25">
      <c r="A138" s="1">
        <v>6950000</v>
      </c>
      <c r="B138" s="1">
        <f t="shared" si="24"/>
        <v>16229.175200000003</v>
      </c>
      <c r="C138" s="1">
        <f>B138*'Equation Sheet'!$N$19*'Equation Sheet'!$N$22*'Equation Sheet'!$N$25*'Equation Sheet'!$N$28*'Equation Sheet'!$N$31*'Equation Sheet'!$N$34*'Equation Sheet'!$N$37</f>
        <v>7173.2954384000013</v>
      </c>
      <c r="D138" s="1">
        <f t="shared" si="25"/>
        <v>10577.723437366058</v>
      </c>
      <c r="E138">
        <f t="shared" si="26"/>
        <v>2.8361490237137694</v>
      </c>
      <c r="F138">
        <f t="shared" si="27"/>
        <v>1.8361490237137694</v>
      </c>
      <c r="G138" s="1">
        <f t="shared" si="28"/>
        <v>0.60767045615999993</v>
      </c>
      <c r="H138" s="1">
        <f t="shared" si="29"/>
        <v>-6076.7045615999987</v>
      </c>
      <c r="K138" s="1"/>
    </row>
    <row r="139" spans="1:11" x14ac:dyDescent="0.25">
      <c r="A139" s="1">
        <v>7000000</v>
      </c>
      <c r="B139" s="1">
        <f t="shared" si="24"/>
        <v>16320.752000000002</v>
      </c>
      <c r="C139" s="1">
        <f>B139*'Equation Sheet'!$N$19*'Equation Sheet'!$N$22*'Equation Sheet'!$N$25*'Equation Sheet'!$N$28*'Equation Sheet'!$N$31*'Equation Sheet'!$N$34*'Equation Sheet'!$N$37</f>
        <v>7213.7723840000008</v>
      </c>
      <c r="D139" s="1">
        <f t="shared" si="25"/>
        <v>10605.459028970456</v>
      </c>
      <c r="E139">
        <f t="shared" si="26"/>
        <v>2.8287318745987653</v>
      </c>
      <c r="F139">
        <f t="shared" si="27"/>
        <v>1.8287318745987651</v>
      </c>
      <c r="G139" s="1">
        <f t="shared" si="28"/>
        <v>0.60362276160000006</v>
      </c>
      <c r="H139" s="1">
        <f t="shared" si="29"/>
        <v>-6036.2276159999992</v>
      </c>
      <c r="K139" s="1"/>
    </row>
    <row r="140" spans="1:11" x14ac:dyDescent="0.25">
      <c r="A140" s="1">
        <v>7050000</v>
      </c>
      <c r="B140" s="1">
        <f t="shared" si="24"/>
        <v>16412.328800000003</v>
      </c>
      <c r="C140" s="1">
        <f>B140*'Equation Sheet'!$N$19*'Equation Sheet'!$N$22*'Equation Sheet'!$N$25*'Equation Sheet'!$N$28*'Equation Sheet'!$N$31*'Equation Sheet'!$N$34*'Equation Sheet'!$N$37</f>
        <v>7254.2493296000021</v>
      </c>
      <c r="D140" s="1">
        <f t="shared" si="25"/>
        <v>10633.227530311984</v>
      </c>
      <c r="E140">
        <f t="shared" si="26"/>
        <v>2.8213446871591383</v>
      </c>
      <c r="F140">
        <f t="shared" si="27"/>
        <v>1.8213446871591381</v>
      </c>
      <c r="G140" s="1">
        <f t="shared" si="28"/>
        <v>0.59957506703999985</v>
      </c>
      <c r="H140" s="1">
        <f t="shared" si="29"/>
        <v>-5995.7506703999979</v>
      </c>
      <c r="K140" s="1"/>
    </row>
    <row r="141" spans="1:11" x14ac:dyDescent="0.25">
      <c r="A141" s="1">
        <v>7100000</v>
      </c>
      <c r="B141" s="1">
        <f t="shared" si="24"/>
        <v>16503.905599999998</v>
      </c>
      <c r="C141" s="1">
        <f>B141*'Equation Sheet'!$N$19*'Equation Sheet'!$N$22*'Equation Sheet'!$N$25*'Equation Sheet'!$N$28*'Equation Sheet'!$N$31*'Equation Sheet'!$N$34*'Equation Sheet'!$N$37</f>
        <v>7294.7262751999997</v>
      </c>
      <c r="D141" s="1">
        <f t="shared" si="25"/>
        <v>10661.028772118168</v>
      </c>
      <c r="E141">
        <f t="shared" si="26"/>
        <v>2.8139873403642923</v>
      </c>
      <c r="F141">
        <f t="shared" si="27"/>
        <v>1.8139873403642923</v>
      </c>
      <c r="G141" s="1">
        <f t="shared" si="28"/>
        <v>0.59552737248000009</v>
      </c>
      <c r="H141" s="1">
        <f t="shared" si="29"/>
        <v>-5955.2737248000003</v>
      </c>
      <c r="K141" s="1"/>
    </row>
    <row r="142" spans="1:11" x14ac:dyDescent="0.25">
      <c r="A142" s="1">
        <v>7150000</v>
      </c>
      <c r="B142" s="1">
        <f t="shared" si="24"/>
        <v>16595.482400000001</v>
      </c>
      <c r="C142" s="1">
        <f>B142*'Equation Sheet'!$N$19*'Equation Sheet'!$N$22*'Equation Sheet'!$N$25*'Equation Sheet'!$N$28*'Equation Sheet'!$N$31*'Equation Sheet'!$N$34*'Equation Sheet'!$N$37</f>
        <v>7335.203220800001</v>
      </c>
      <c r="D142" s="1">
        <f t="shared" si="25"/>
        <v>10688.862584180111</v>
      </c>
      <c r="E142">
        <f t="shared" si="26"/>
        <v>2.8066597136725329</v>
      </c>
      <c r="F142">
        <f t="shared" si="27"/>
        <v>1.8066597136725329</v>
      </c>
      <c r="G142" s="1">
        <f t="shared" si="28"/>
        <v>0.59147967792</v>
      </c>
      <c r="H142" s="1">
        <f t="shared" si="29"/>
        <v>-5914.796779199999</v>
      </c>
      <c r="K142" s="1"/>
    </row>
    <row r="143" spans="1:11" x14ac:dyDescent="0.25">
      <c r="A143" s="1">
        <v>7200000</v>
      </c>
      <c r="B143" s="1">
        <f t="shared" si="24"/>
        <v>16687.059200000003</v>
      </c>
      <c r="C143" s="1">
        <f>B143*'Equation Sheet'!$N$19*'Equation Sheet'!$N$22*'Equation Sheet'!$N$25*'Equation Sheet'!$N$28*'Equation Sheet'!$N$31*'Equation Sheet'!$N$34*'Equation Sheet'!$N$37</f>
        <v>7375.6801664000013</v>
      </c>
      <c r="D143" s="1">
        <f t="shared" si="25"/>
        <v>10716.728795355615</v>
      </c>
      <c r="E143">
        <f t="shared" si="26"/>
        <v>2.7993616870290974</v>
      </c>
      <c r="F143">
        <f t="shared" si="27"/>
        <v>1.7993616870290974</v>
      </c>
      <c r="G143" s="1">
        <f t="shared" si="28"/>
        <v>0.58743198335999991</v>
      </c>
      <c r="H143" s="1">
        <f t="shared" si="29"/>
        <v>-5874.3198335999987</v>
      </c>
      <c r="K143" s="1"/>
    </row>
    <row r="144" spans="1:11" x14ac:dyDescent="0.25">
      <c r="A144" s="1">
        <v>7250000</v>
      </c>
      <c r="B144" s="1">
        <f t="shared" si="24"/>
        <v>16778.635999999999</v>
      </c>
      <c r="C144" s="1">
        <f>B144*'Equation Sheet'!$N$19*'Equation Sheet'!$N$22*'Equation Sheet'!$N$25*'Equation Sheet'!$N$28*'Equation Sheet'!$N$31*'Equation Sheet'!$N$34*'Equation Sheet'!$N$37</f>
        <v>7416.1571119999999</v>
      </c>
      <c r="D144" s="1">
        <f t="shared" si="25"/>
        <v>10744.627233572386</v>
      </c>
      <c r="E144">
        <f t="shared" si="26"/>
        <v>2.7920931408641865</v>
      </c>
      <c r="F144">
        <f t="shared" si="27"/>
        <v>1.7920931408641863</v>
      </c>
      <c r="G144" s="1">
        <f t="shared" si="28"/>
        <v>0.58338428880000004</v>
      </c>
      <c r="H144" s="1">
        <f t="shared" si="29"/>
        <v>-5833.8428880000001</v>
      </c>
      <c r="K144" s="1"/>
    </row>
    <row r="145" spans="1:11" x14ac:dyDescent="0.25">
      <c r="A145" s="1">
        <v>7300000</v>
      </c>
      <c r="B145" s="1">
        <f t="shared" si="24"/>
        <v>16870.212800000001</v>
      </c>
      <c r="C145" s="1">
        <f>B145*'Equation Sheet'!$N$19*'Equation Sheet'!$N$22*'Equation Sheet'!$N$25*'Equation Sheet'!$N$28*'Equation Sheet'!$N$31*'Equation Sheet'!$N$34*'Equation Sheet'!$N$37</f>
        <v>7456.6340576000021</v>
      </c>
      <c r="D145" s="1">
        <f t="shared" si="25"/>
        <v>10772.55772583131</v>
      </c>
      <c r="E145">
        <f t="shared" si="26"/>
        <v>2.7848539560910011</v>
      </c>
      <c r="F145">
        <f t="shared" si="27"/>
        <v>1.7848539560910011</v>
      </c>
      <c r="G145" s="1">
        <f t="shared" si="28"/>
        <v>0.57933659423999984</v>
      </c>
      <c r="H145" s="1">
        <f t="shared" si="29"/>
        <v>-5793.3659423999979</v>
      </c>
      <c r="K145" s="1"/>
    </row>
    <row r="146" spans="1:11" x14ac:dyDescent="0.25">
      <c r="A146" s="1">
        <v>7350000</v>
      </c>
      <c r="B146" s="1">
        <f t="shared" si="24"/>
        <v>16961.7896</v>
      </c>
      <c r="C146" s="1">
        <f>B146*'Equation Sheet'!$N$19*'Equation Sheet'!$N$22*'Equation Sheet'!$N$25*'Equation Sheet'!$N$28*'Equation Sheet'!$N$31*'Equation Sheet'!$N$34*'Equation Sheet'!$N$37</f>
        <v>7497.1110031999997</v>
      </c>
      <c r="D146" s="1">
        <f t="shared" si="25"/>
        <v>10800.520098209714</v>
      </c>
      <c r="E146">
        <f t="shared" si="26"/>
        <v>2.7776440141038004</v>
      </c>
      <c r="F146">
        <f t="shared" si="27"/>
        <v>1.7776440141038001</v>
      </c>
      <c r="G146" s="1">
        <f t="shared" si="28"/>
        <v>0.57528889968000008</v>
      </c>
      <c r="H146" s="1">
        <f t="shared" si="29"/>
        <v>-5752.8889968000003</v>
      </c>
      <c r="K146" s="1"/>
    </row>
    <row r="147" spans="1:11" x14ac:dyDescent="0.25">
      <c r="A147" s="1">
        <v>7400000</v>
      </c>
      <c r="B147" s="1">
        <f t="shared" si="24"/>
        <v>17053.366399999999</v>
      </c>
      <c r="C147" s="1">
        <f>B147*'Equation Sheet'!$N$19*'Equation Sheet'!$N$22*'Equation Sheet'!$N$25*'Equation Sheet'!$N$28*'Equation Sheet'!$N$31*'Equation Sheet'!$N$34*'Equation Sheet'!$N$37</f>
        <v>7537.5879487999991</v>
      </c>
      <c r="D147" s="1">
        <f t="shared" si="25"/>
        <v>10828.514175864777</v>
      </c>
      <c r="E147">
        <f t="shared" si="26"/>
        <v>2.7704631967759479</v>
      </c>
      <c r="F147">
        <f t="shared" si="27"/>
        <v>1.7704631967759477</v>
      </c>
      <c r="G147" s="1">
        <f t="shared" si="28"/>
        <v>0.5712412051200001</v>
      </c>
      <c r="H147" s="1">
        <f t="shared" si="29"/>
        <v>-5712.4120512000009</v>
      </c>
      <c r="K147" s="1"/>
    </row>
    <row r="148" spans="1:11" x14ac:dyDescent="0.25">
      <c r="A148" s="1">
        <v>7450000</v>
      </c>
      <c r="B148" s="1">
        <f t="shared" si="24"/>
        <v>17144.943200000002</v>
      </c>
      <c r="C148" s="1">
        <f>B148*'Equation Sheet'!$N$19*'Equation Sheet'!$N$22*'Equation Sheet'!$N$25*'Equation Sheet'!$N$28*'Equation Sheet'!$N$31*'Equation Sheet'!$N$34*'Equation Sheet'!$N$37</f>
        <v>7578.0648944000004</v>
      </c>
      <c r="D148" s="1">
        <f t="shared" si="25"/>
        <v>10856.539783036917</v>
      </c>
      <c r="E148">
        <f t="shared" si="26"/>
        <v>2.7633113864579837</v>
      </c>
      <c r="F148">
        <f t="shared" si="27"/>
        <v>1.7633113864579839</v>
      </c>
      <c r="G148" s="1">
        <f t="shared" si="28"/>
        <v>0.56719351056</v>
      </c>
      <c r="H148" s="1">
        <f t="shared" si="29"/>
        <v>-5671.9351055999996</v>
      </c>
      <c r="K148" s="1"/>
    </row>
    <row r="149" spans="1:11" x14ac:dyDescent="0.25">
      <c r="A149" s="1">
        <v>7500000</v>
      </c>
      <c r="B149" s="1">
        <f t="shared" si="24"/>
        <v>17236.52</v>
      </c>
      <c r="C149" s="1">
        <f>B149*'Equation Sheet'!$N$19*'Equation Sheet'!$N$22*'Equation Sheet'!$N$25*'Equation Sheet'!$N$28*'Equation Sheet'!$N$31*'Equation Sheet'!$N$34*'Equation Sheet'!$N$37</f>
        <v>7618.5418400000017</v>
      </c>
      <c r="D149" s="1">
        <f t="shared" si="25"/>
        <v>10884.596743053255</v>
      </c>
      <c r="E149">
        <f t="shared" si="26"/>
        <v>2.7561884659756952</v>
      </c>
      <c r="F149">
        <f t="shared" si="27"/>
        <v>1.7561884659756954</v>
      </c>
      <c r="G149" s="1">
        <f t="shared" si="28"/>
        <v>0.56314581599999991</v>
      </c>
      <c r="H149" s="1">
        <f t="shared" si="29"/>
        <v>-5631.4581599999983</v>
      </c>
      <c r="K149" s="1"/>
    </row>
    <row r="150" spans="1:11" x14ac:dyDescent="0.25">
      <c r="A150" s="1">
        <v>7550000</v>
      </c>
      <c r="B150" s="1">
        <f t="shared" si="24"/>
        <v>17328.096799999999</v>
      </c>
      <c r="C150" s="1">
        <f>B150*'Equation Sheet'!$N$19*'Equation Sheet'!$N$22*'Equation Sheet'!$N$25*'Equation Sheet'!$N$28*'Equation Sheet'!$N$31*'Equation Sheet'!$N$34*'Equation Sheet'!$N$37</f>
        <v>7659.0187855999993</v>
      </c>
      <c r="D150" s="1">
        <f t="shared" si="25"/>
        <v>10912.684878331153</v>
      </c>
      <c r="E150">
        <f t="shared" si="26"/>
        <v>2.7490943186281962</v>
      </c>
      <c r="F150">
        <f t="shared" si="27"/>
        <v>1.7490943186281964</v>
      </c>
      <c r="G150" s="1">
        <f t="shared" si="28"/>
        <v>0.55909812144000015</v>
      </c>
      <c r="H150" s="1">
        <f t="shared" si="29"/>
        <v>-5590.9812144000007</v>
      </c>
      <c r="K150" s="1"/>
    </row>
    <row r="151" spans="1:11" x14ac:dyDescent="0.25">
      <c r="A151" s="1">
        <v>7600000</v>
      </c>
      <c r="B151" s="1">
        <f t="shared" si="24"/>
        <v>17419.673600000002</v>
      </c>
      <c r="C151" s="1">
        <f>B151*'Equation Sheet'!$N$19*'Equation Sheet'!$N$22*'Equation Sheet'!$N$25*'Equation Sheet'!$N$28*'Equation Sheet'!$N$31*'Equation Sheet'!$N$34*'Equation Sheet'!$N$37</f>
        <v>7699.4957312000006</v>
      </c>
      <c r="D151" s="1">
        <f t="shared" si="25"/>
        <v>10940.804010381784</v>
      </c>
      <c r="E151">
        <f t="shared" si="26"/>
        <v>2.7420288281860135</v>
      </c>
      <c r="F151">
        <f t="shared" si="27"/>
        <v>1.7420288281860132</v>
      </c>
      <c r="G151" s="1">
        <f t="shared" si="28"/>
        <v>0.55505042687999995</v>
      </c>
      <c r="H151" s="1">
        <f t="shared" si="29"/>
        <v>-5550.5042687999994</v>
      </c>
      <c r="K151" s="1"/>
    </row>
    <row r="152" spans="1:11" x14ac:dyDescent="0.25">
      <c r="A152" s="1">
        <v>7650000</v>
      </c>
      <c r="B152" s="1">
        <f t="shared" si="24"/>
        <v>17511.250400000001</v>
      </c>
      <c r="C152" s="1">
        <f>B152*'Equation Sheet'!$N$19*'Equation Sheet'!$N$22*'Equation Sheet'!$N$25*'Equation Sheet'!$N$28*'Equation Sheet'!$N$31*'Equation Sheet'!$N$34*'Equation Sheet'!$N$37</f>
        <v>7739.972676800001</v>
      </c>
      <c r="D152" s="1">
        <f t="shared" si="25"/>
        <v>10968.953959813754</v>
      </c>
      <c r="E152">
        <f t="shared" si="26"/>
        <v>2.7349918788891863</v>
      </c>
      <c r="F152">
        <f t="shared" si="27"/>
        <v>1.7349918788891863</v>
      </c>
      <c r="G152" s="1">
        <f t="shared" si="28"/>
        <v>0.55100273231999997</v>
      </c>
      <c r="H152" s="1">
        <f t="shared" si="29"/>
        <v>-5510.027323199999</v>
      </c>
      <c r="K152" s="1"/>
    </row>
    <row r="153" spans="1:11" x14ac:dyDescent="0.25">
      <c r="A153" s="1">
        <v>7700000</v>
      </c>
      <c r="B153" s="1">
        <f t="shared" si="24"/>
        <v>17602.8272</v>
      </c>
      <c r="C153" s="1">
        <f>B153*'Equation Sheet'!$N$19*'Equation Sheet'!$N$22*'Equation Sheet'!$N$25*'Equation Sheet'!$N$28*'Equation Sheet'!$N$31*'Equation Sheet'!$N$34*'Equation Sheet'!$N$37</f>
        <v>7780.4496224000004</v>
      </c>
      <c r="D153" s="1">
        <f t="shared" si="25"/>
        <v>10997.134546336789</v>
      </c>
      <c r="E153">
        <f t="shared" si="26"/>
        <v>2.7279833554453674</v>
      </c>
      <c r="F153">
        <f t="shared" si="27"/>
        <v>1.7279833554453674</v>
      </c>
      <c r="G153" s="1">
        <f t="shared" si="28"/>
        <v>0.54695503775999998</v>
      </c>
      <c r="H153" s="1">
        <f t="shared" si="29"/>
        <v>-5469.5503775999996</v>
      </c>
      <c r="K153" s="1"/>
    </row>
    <row r="154" spans="1:11" x14ac:dyDescent="0.25">
      <c r="A154" s="1">
        <v>7750000</v>
      </c>
      <c r="B154" s="1">
        <f t="shared" si="24"/>
        <v>17694.404000000002</v>
      </c>
      <c r="C154" s="1">
        <f>B154*'Equation Sheet'!$N$19*'Equation Sheet'!$N$22*'Equation Sheet'!$N$25*'Equation Sheet'!$N$28*'Equation Sheet'!$N$31*'Equation Sheet'!$N$34*'Equation Sheet'!$N$37</f>
        <v>7820.9265680000017</v>
      </c>
      <c r="D154" s="1">
        <f t="shared" si="25"/>
        <v>11025.345588765465</v>
      </c>
      <c r="E154">
        <f t="shared" si="26"/>
        <v>2.721003143027934</v>
      </c>
      <c r="F154">
        <f t="shared" si="27"/>
        <v>1.7210031430279342</v>
      </c>
      <c r="G154" s="1">
        <f t="shared" si="28"/>
        <v>0.54290734319999989</v>
      </c>
      <c r="H154" s="1">
        <f t="shared" si="29"/>
        <v>-5429.0734319999983</v>
      </c>
      <c r="K154" s="1"/>
    </row>
    <row r="155" spans="1:11" x14ac:dyDescent="0.25">
      <c r="A155" s="1">
        <v>7800000</v>
      </c>
      <c r="B155" s="1">
        <f t="shared" si="24"/>
        <v>17785.980800000001</v>
      </c>
      <c r="C155" s="1">
        <f>B155*'Equation Sheet'!$N$19*'Equation Sheet'!$N$22*'Equation Sheet'!$N$25*'Equation Sheet'!$N$28*'Equation Sheet'!$N$31*'Equation Sheet'!$N$34*'Equation Sheet'!$N$37</f>
        <v>7861.4035136000011</v>
      </c>
      <c r="D155" s="1">
        <f t="shared" si="25"/>
        <v>11053.586905023001</v>
      </c>
      <c r="E155">
        <f t="shared" si="26"/>
        <v>2.7140511272741086</v>
      </c>
      <c r="F155">
        <f t="shared" si="27"/>
        <v>1.7140511272741086</v>
      </c>
      <c r="G155" s="1">
        <f t="shared" si="28"/>
        <v>0.53885964863999991</v>
      </c>
      <c r="H155" s="1">
        <f t="shared" si="29"/>
        <v>-5388.5964863999989</v>
      </c>
      <c r="K155" s="1"/>
    </row>
    <row r="156" spans="1:11" x14ac:dyDescent="0.25">
      <c r="A156" s="1">
        <v>7850000</v>
      </c>
      <c r="B156" s="1">
        <f t="shared" si="24"/>
        <v>17877.5576</v>
      </c>
      <c r="C156" s="1">
        <f>B156*'Equation Sheet'!$N$19*'Equation Sheet'!$N$22*'Equation Sheet'!$N$25*'Equation Sheet'!$N$28*'Equation Sheet'!$N$31*'Equation Sheet'!$N$34*'Equation Sheet'!$N$37</f>
        <v>7901.8804592000006</v>
      </c>
      <c r="D156" s="1">
        <f t="shared" si="25"/>
        <v>11081.858312145096</v>
      </c>
      <c r="E156">
        <f t="shared" si="26"/>
        <v>2.7071271942830819</v>
      </c>
      <c r="F156">
        <f t="shared" si="27"/>
        <v>1.7071271942830819</v>
      </c>
      <c r="G156" s="1">
        <f t="shared" si="28"/>
        <v>0.53481195408000004</v>
      </c>
      <c r="H156" s="1">
        <f t="shared" si="29"/>
        <v>-5348.1195407999994</v>
      </c>
      <c r="K156" s="1"/>
    </row>
    <row r="157" spans="1:11" x14ac:dyDescent="0.25">
      <c r="A157" s="1">
        <v>7900000</v>
      </c>
      <c r="B157" s="1">
        <f t="shared" si="24"/>
        <v>17969.134400000003</v>
      </c>
      <c r="C157" s="1">
        <f>B157*'Equation Sheet'!$N$19*'Equation Sheet'!$N$22*'Equation Sheet'!$N$25*'Equation Sheet'!$N$28*'Equation Sheet'!$N$31*'Equation Sheet'!$N$34*'Equation Sheet'!$N$37</f>
        <v>7942.3574048000009</v>
      </c>
      <c r="D157" s="1">
        <f t="shared" si="25"/>
        <v>11110.159626283823</v>
      </c>
      <c r="E157">
        <f t="shared" si="26"/>
        <v>2.7002312306141487</v>
      </c>
      <c r="F157">
        <f t="shared" si="27"/>
        <v>1.7002312306141487</v>
      </c>
      <c r="G157" s="1">
        <f t="shared" si="28"/>
        <v>0.53076425951999995</v>
      </c>
      <c r="H157" s="1">
        <f t="shared" si="29"/>
        <v>-5307.6425951999991</v>
      </c>
      <c r="K157" s="1"/>
    </row>
    <row r="158" spans="1:11" x14ac:dyDescent="0.25">
      <c r="A158" s="1">
        <v>7950000</v>
      </c>
      <c r="B158" s="1">
        <f t="shared" si="24"/>
        <v>18060.711200000002</v>
      </c>
      <c r="C158" s="1">
        <f>B158*'Equation Sheet'!$N$19*'Equation Sheet'!$N$22*'Equation Sheet'!$N$25*'Equation Sheet'!$N$28*'Equation Sheet'!$N$31*'Equation Sheet'!$N$34*'Equation Sheet'!$N$37</f>
        <v>7982.8343504000004</v>
      </c>
      <c r="D158" s="1">
        <f t="shared" si="25"/>
        <v>11138.49066271158</v>
      </c>
      <c r="E158">
        <f t="shared" si="26"/>
        <v>2.6933631232848501</v>
      </c>
      <c r="F158">
        <f t="shared" si="27"/>
        <v>1.6933631232848501</v>
      </c>
      <c r="G158" s="1">
        <f t="shared" si="28"/>
        <v>0.52671656495999997</v>
      </c>
      <c r="H158" s="1">
        <f t="shared" si="29"/>
        <v>-5267.1656495999996</v>
      </c>
      <c r="K158" s="1"/>
    </row>
    <row r="159" spans="1:11" x14ac:dyDescent="0.25">
      <c r="A159" s="1">
        <v>8000000</v>
      </c>
      <c r="B159" s="1">
        <f t="shared" si="24"/>
        <v>18152.288</v>
      </c>
      <c r="C159" s="1">
        <f>B159*'Equation Sheet'!$N$19*'Equation Sheet'!$N$22*'Equation Sheet'!$N$25*'Equation Sheet'!$N$28*'Equation Sheet'!$N$31*'Equation Sheet'!$N$34*'Equation Sheet'!$N$37</f>
        <v>8023.3112960000017</v>
      </c>
      <c r="D159" s="1">
        <f t="shared" si="25"/>
        <v>11166.851235825077</v>
      </c>
      <c r="E159">
        <f t="shared" si="26"/>
        <v>2.6865227597691206</v>
      </c>
      <c r="F159">
        <f t="shared" si="27"/>
        <v>1.6865227597691206</v>
      </c>
      <c r="G159" s="1">
        <f t="shared" si="28"/>
        <v>0.52266887039999987</v>
      </c>
      <c r="H159" s="1">
        <f t="shared" si="29"/>
        <v>-5226.6887039999983</v>
      </c>
      <c r="K159"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DE707-F541-419D-AA92-6C2B8FD8D098}">
  <dimension ref="A2:CI116"/>
  <sheetViews>
    <sheetView topLeftCell="AD1" zoomScaleNormal="125" workbookViewId="0">
      <selection activeCell="AR17" sqref="AR17"/>
    </sheetView>
  </sheetViews>
  <sheetFormatPr defaultColWidth="8.85546875" defaultRowHeight="15" x14ac:dyDescent="0.25"/>
  <cols>
    <col min="1" max="1" width="16.85546875" bestFit="1" customWidth="1"/>
    <col min="2" max="2" width="12.140625" customWidth="1"/>
    <col min="3" max="3" width="11.42578125" customWidth="1"/>
    <col min="4" max="4" width="13" customWidth="1"/>
    <col min="5" max="5" width="12.28515625" bestFit="1" customWidth="1"/>
    <col min="6" max="6" width="16.28515625" customWidth="1"/>
    <col min="9" max="9" width="10.85546875" bestFit="1" customWidth="1"/>
    <col min="10" max="12" width="17.140625" bestFit="1" customWidth="1"/>
    <col min="14" max="14" width="11.140625" bestFit="1" customWidth="1"/>
    <col min="17" max="17" width="11.140625" bestFit="1" customWidth="1"/>
    <col min="20" max="20" width="11.140625" bestFit="1" customWidth="1"/>
    <col min="23" max="23" width="11.140625" bestFit="1" customWidth="1"/>
    <col min="26" max="26" width="11.28515625" bestFit="1" customWidth="1"/>
    <col min="27" max="27" width="9" bestFit="1" customWidth="1"/>
    <col min="28" max="28" width="9" customWidth="1"/>
    <col min="29" max="29" width="10.140625" bestFit="1" customWidth="1"/>
    <col min="30" max="42" width="9" customWidth="1"/>
    <col min="44" max="44" width="15.85546875" bestFit="1" customWidth="1"/>
    <col min="45" max="45" width="9" bestFit="1" customWidth="1"/>
    <col min="47" max="47" width="9" bestFit="1" customWidth="1"/>
    <col min="48" max="48" width="11.7109375" bestFit="1" customWidth="1"/>
    <col min="49" max="50" width="11.140625" bestFit="1" customWidth="1"/>
    <col min="51" max="51" width="12.7109375" bestFit="1" customWidth="1"/>
    <col min="52" max="53" width="11.140625" bestFit="1" customWidth="1"/>
    <col min="54" max="54" width="13" bestFit="1" customWidth="1"/>
    <col min="55" max="73" width="11.140625" bestFit="1" customWidth="1"/>
    <col min="74" max="75" width="10.7109375" bestFit="1" customWidth="1"/>
    <col min="76" max="87" width="9" bestFit="1" customWidth="1"/>
  </cols>
  <sheetData>
    <row r="2" spans="1:87" x14ac:dyDescent="0.25">
      <c r="A2" t="s">
        <v>47</v>
      </c>
      <c r="B2" t="s">
        <v>48</v>
      </c>
      <c r="C2" t="s">
        <v>49</v>
      </c>
      <c r="D2" t="s">
        <v>50</v>
      </c>
      <c r="E2" t="s">
        <v>63</v>
      </c>
      <c r="F2" t="s">
        <v>64</v>
      </c>
      <c r="I2" t="s">
        <v>49</v>
      </c>
      <c r="J2" t="s">
        <v>50</v>
      </c>
      <c r="K2" t="s">
        <v>63</v>
      </c>
      <c r="N2" t="s">
        <v>65</v>
      </c>
      <c r="Q2" t="s">
        <v>66</v>
      </c>
      <c r="T2" t="s">
        <v>67</v>
      </c>
      <c r="W2" t="s">
        <v>68</v>
      </c>
      <c r="Z2" t="s">
        <v>69</v>
      </c>
      <c r="AC2" t="s">
        <v>79</v>
      </c>
      <c r="AF2" t="s">
        <v>80</v>
      </c>
      <c r="AI2" t="s">
        <v>81</v>
      </c>
      <c r="AL2" t="s">
        <v>82</v>
      </c>
      <c r="AO2" t="s">
        <v>83</v>
      </c>
      <c r="AR2" t="s">
        <v>70</v>
      </c>
      <c r="AU2" s="24" t="e">
        <f>AR17+AR20</f>
        <v>#N/A</v>
      </c>
    </row>
    <row r="3" spans="1:87" ht="15.75" x14ac:dyDescent="0.25">
      <c r="A3" s="25">
        <f>'Input Sheet'!B3</f>
        <v>2550000</v>
      </c>
      <c r="B3" s="1">
        <f>A3*0.9</f>
        <v>2295000</v>
      </c>
      <c r="C3" s="21">
        <f>B10</f>
        <v>43465</v>
      </c>
      <c r="D3" s="3">
        <v>36009.450000000004</v>
      </c>
      <c r="E3" s="3">
        <v>23076.923076923078</v>
      </c>
      <c r="F3" s="3">
        <v>215172</v>
      </c>
      <c r="G3" s="22"/>
      <c r="H3" s="22"/>
      <c r="I3" s="26">
        <f>Table134[[#This Row],[Year]]</f>
        <v>43465</v>
      </c>
      <c r="J3" s="27">
        <f>Table134[[#This Row],[Estimate]]</f>
        <v>36009.450000000004</v>
      </c>
      <c r="K3" s="27">
        <f>Table134[[#This Row],[Without CS]]</f>
        <v>23076.923076923078</v>
      </c>
      <c r="L3" s="27">
        <f>J3-K3</f>
        <v>12932.526923076926</v>
      </c>
      <c r="M3" s="29"/>
      <c r="N3" s="28">
        <v>0.12790887692307693</v>
      </c>
      <c r="O3">
        <v>2.3076923076923078E-2</v>
      </c>
      <c r="Q3" s="28">
        <v>0.17279185384615386</v>
      </c>
      <c r="R3">
        <v>2.3076923076923078E-2</v>
      </c>
      <c r="T3" s="28">
        <v>0.2022650307692308</v>
      </c>
      <c r="U3">
        <v>2.3076923076923078E-2</v>
      </c>
      <c r="W3" s="28">
        <v>0.22733000769230771</v>
      </c>
      <c r="X3">
        <v>2.3076923076923078E-2</v>
      </c>
      <c r="Z3" s="28">
        <v>0.24374328461538464</v>
      </c>
      <c r="AA3">
        <v>2.3076923076923078E-2</v>
      </c>
      <c r="AC3">
        <v>0.25225366153846229</v>
      </c>
      <c r="AD3">
        <v>2.3076923076923078E-2</v>
      </c>
      <c r="AF3">
        <v>0.25714333846153914</v>
      </c>
      <c r="AG3">
        <v>2.3076923076923078E-2</v>
      </c>
      <c r="AI3">
        <v>0.25844021538461603</v>
      </c>
      <c r="AJ3">
        <v>2.3076923076923078E-2</v>
      </c>
      <c r="AL3">
        <v>0.25971729230769292</v>
      </c>
      <c r="AM3">
        <v>2.3076923076923078E-2</v>
      </c>
      <c r="AO3">
        <v>0.26101416923076981</v>
      </c>
      <c r="AP3">
        <v>2.3076923076923078E-2</v>
      </c>
      <c r="AR3">
        <v>2024</v>
      </c>
      <c r="AS3">
        <v>0</v>
      </c>
      <c r="AU3">
        <v>0.1</v>
      </c>
      <c r="AV3">
        <v>5.9346900000000001E-2</v>
      </c>
      <c r="AW3">
        <v>9.1638900000000009E-2</v>
      </c>
      <c r="AX3">
        <v>6.7959900000000004E-2</v>
      </c>
      <c r="AY3">
        <v>5.2550099999999995E-2</v>
      </c>
      <c r="AZ3">
        <v>4.8141900000000001E-2</v>
      </c>
      <c r="BA3">
        <v>3.9490199999999996E-2</v>
      </c>
      <c r="BB3">
        <v>3.1587300000000006E-2</v>
      </c>
      <c r="BC3">
        <v>2.7966600000000001E-2</v>
      </c>
      <c r="BD3">
        <v>2.4373800000000004E-2</v>
      </c>
      <c r="BE3">
        <v>2.4354000000000001E-2</v>
      </c>
      <c r="BF3">
        <v>2.4373800000000004E-2</v>
      </c>
      <c r="BG3">
        <v>2.4354000000000001E-2</v>
      </c>
      <c r="BH3">
        <v>2.4373800000000004E-2</v>
      </c>
      <c r="BI3">
        <v>2.4354000000000001E-2</v>
      </c>
      <c r="BJ3">
        <v>2.4373800000000004E-2</v>
      </c>
      <c r="BK3">
        <v>1.8513000000000002E-2</v>
      </c>
      <c r="BL3">
        <v>1.2672000000000001E-2</v>
      </c>
      <c r="BM3">
        <v>1.2672000000000001E-2</v>
      </c>
      <c r="BN3">
        <v>1.2672000000000001E-2</v>
      </c>
      <c r="BO3">
        <v>1.2672000000000001E-2</v>
      </c>
      <c r="BP3">
        <v>1.2672000000000001E-2</v>
      </c>
      <c r="BQ3">
        <v>1.2672000000000001E-2</v>
      </c>
      <c r="BR3">
        <v>1.2672000000000001E-2</v>
      </c>
      <c r="BS3">
        <v>1.2672000000000001E-2</v>
      </c>
      <c r="BT3">
        <v>1.2672000000000001E-2</v>
      </c>
      <c r="BU3">
        <v>1.2672000000000001E-2</v>
      </c>
      <c r="BV3">
        <v>1.2672000000000001E-2</v>
      </c>
      <c r="BW3">
        <v>1.2672000000000001E-2</v>
      </c>
      <c r="BX3">
        <v>1.2672000000000001E-2</v>
      </c>
      <c r="BY3">
        <v>1.2672000000000001E-2</v>
      </c>
      <c r="BZ3">
        <v>1.2672000000000001E-2</v>
      </c>
      <c r="CA3">
        <v>1.2672000000000001E-2</v>
      </c>
      <c r="CB3">
        <v>1.2672000000000001E-2</v>
      </c>
      <c r="CC3">
        <v>1.2672000000000001E-2</v>
      </c>
      <c r="CD3">
        <v>1.2672000000000001E-2</v>
      </c>
      <c r="CE3">
        <v>1.2672000000000001E-2</v>
      </c>
      <c r="CF3">
        <v>1.2672000000000001E-2</v>
      </c>
      <c r="CG3">
        <v>1.2672000000000001E-2</v>
      </c>
      <c r="CH3">
        <v>1.2672000000000001E-2</v>
      </c>
      <c r="CI3">
        <v>7.920000000000546E-4</v>
      </c>
    </row>
    <row r="4" spans="1:87" x14ac:dyDescent="0.25">
      <c r="B4" t="s">
        <v>53</v>
      </c>
      <c r="C4" s="21">
        <f>C3+365.25</f>
        <v>43830.25</v>
      </c>
      <c r="D4" s="3">
        <v>52155.450000000004</v>
      </c>
      <c r="E4" s="3">
        <v>23076.923076923078</v>
      </c>
      <c r="F4" s="3">
        <v>12672.000000000002</v>
      </c>
      <c r="G4" s="22"/>
      <c r="H4" s="22"/>
      <c r="I4" s="26">
        <f>Table134[[#This Row],[Year]]</f>
        <v>43830.25</v>
      </c>
      <c r="J4" s="27">
        <f>Table134[[#This Row],[Estimate]]+J3</f>
        <v>88164.900000000009</v>
      </c>
      <c r="K4" s="27">
        <f>Table134[[#This Row],[Without CS]]+K3</f>
        <v>46153.846153846156</v>
      </c>
      <c r="L4" s="27">
        <f t="shared" ref="L4:L42" si="0">J4-K4</f>
        <v>42011.053846153853</v>
      </c>
      <c r="N4">
        <v>6.7959900000000004E-2</v>
      </c>
      <c r="O4">
        <v>2.3076923076923078E-2</v>
      </c>
      <c r="Q4">
        <v>5.2550100000000009E-2</v>
      </c>
      <c r="R4">
        <v>2.3076923076923078E-2</v>
      </c>
      <c r="T4">
        <v>4.8141900000000008E-2</v>
      </c>
      <c r="U4">
        <v>2.3076923076923078E-2</v>
      </c>
      <c r="W4">
        <v>3.9490200000000003E-2</v>
      </c>
      <c r="X4">
        <v>2.3076923076923078E-2</v>
      </c>
      <c r="Z4">
        <v>3.1587299999999999E-2</v>
      </c>
      <c r="AA4">
        <v>2.3076923076923078E-2</v>
      </c>
      <c r="AC4">
        <v>2.7966600000000001E-2</v>
      </c>
      <c r="AD4">
        <v>2.3076923076923078E-2</v>
      </c>
      <c r="AF4">
        <v>2.4373800000000001E-2</v>
      </c>
      <c r="AG4">
        <v>2.3076923076923078E-2</v>
      </c>
      <c r="AI4">
        <v>2.4354000000000001E-2</v>
      </c>
      <c r="AJ4">
        <v>2.3076923076923078E-2</v>
      </c>
      <c r="AL4">
        <v>2.4373800000000001E-2</v>
      </c>
      <c r="AM4">
        <v>2.3076923076923078E-2</v>
      </c>
      <c r="AO4">
        <v>2.4354000000000001E-2</v>
      </c>
      <c r="AP4">
        <v>2.3076923076923078E-2</v>
      </c>
      <c r="AR4">
        <v>2023</v>
      </c>
      <c r="AS4">
        <v>0</v>
      </c>
      <c r="AU4">
        <v>0.2</v>
      </c>
      <c r="AV4" s="32">
        <v>5.5885499999999998E-2</v>
      </c>
      <c r="AW4" s="32">
        <v>7.9510499999999998E-2</v>
      </c>
      <c r="AX4" s="32">
        <v>6.158700000000001E-2</v>
      </c>
      <c r="AY4" s="32">
        <v>5.03037E-2</v>
      </c>
      <c r="AZ4" s="32">
        <v>4.88484E-2</v>
      </c>
      <c r="BA4" s="32">
        <v>4.0267800000000006E-2</v>
      </c>
      <c r="BB4" s="32">
        <v>3.2386499999999999E-2</v>
      </c>
      <c r="BC4" s="32">
        <v>3.2386499999999999E-2</v>
      </c>
      <c r="BD4" s="32">
        <v>3.2405400000000001E-2</v>
      </c>
      <c r="BE4" s="32">
        <v>3.2386499999999999E-2</v>
      </c>
      <c r="BF4" s="32">
        <v>3.2405400000000001E-2</v>
      </c>
      <c r="BG4" s="32">
        <v>3.2386499999999999E-2</v>
      </c>
      <c r="BH4" s="32">
        <v>3.2405400000000001E-2</v>
      </c>
      <c r="BI4" s="32">
        <v>3.2386499999999999E-2</v>
      </c>
      <c r="BJ4" s="32">
        <v>3.2405400000000001E-2</v>
      </c>
      <c r="BK4" s="32">
        <v>2.6811000000000001E-2</v>
      </c>
      <c r="BL4" s="32">
        <v>2.1235500000000001E-2</v>
      </c>
      <c r="BM4" s="32">
        <v>2.1235500000000001E-2</v>
      </c>
      <c r="BN4" s="32">
        <v>2.1235500000000001E-2</v>
      </c>
      <c r="BO4" s="32">
        <v>2.1235500000000001E-2</v>
      </c>
      <c r="BP4" s="32">
        <v>2.1235500000000001E-2</v>
      </c>
      <c r="BQ4" s="32">
        <v>2.1235500000000001E-2</v>
      </c>
      <c r="BR4" s="32">
        <v>2.1235500000000001E-2</v>
      </c>
      <c r="BS4" s="32">
        <v>2.1235500000000001E-2</v>
      </c>
      <c r="BT4" s="32">
        <v>2.1235500000000001E-2</v>
      </c>
      <c r="BU4" s="32">
        <v>2.1235500000000001E-2</v>
      </c>
      <c r="BV4" s="32">
        <v>2.1235500000000001E-2</v>
      </c>
      <c r="BW4" s="32">
        <v>1.1641500000000001E-2</v>
      </c>
    </row>
    <row r="5" spans="1:87" x14ac:dyDescent="0.25">
      <c r="B5" s="3">
        <f>A3*0.1</f>
        <v>255000</v>
      </c>
      <c r="C5" s="21">
        <f t="shared" ref="C5:C42" si="1">C4+365.25</f>
        <v>44195.5</v>
      </c>
      <c r="D5" s="3">
        <v>40315.950000000004</v>
      </c>
      <c r="E5" s="3">
        <v>23076.923076923078</v>
      </c>
      <c r="F5" s="3">
        <v>12672.000000000002</v>
      </c>
      <c r="G5" s="22"/>
      <c r="H5" s="22"/>
      <c r="I5" s="26">
        <f>Table134[[#This Row],[Year]]</f>
        <v>44195.5</v>
      </c>
      <c r="J5" s="27">
        <f>Table134[[#This Row],[Estimate]]+J4</f>
        <v>128480.85</v>
      </c>
      <c r="K5" s="27">
        <f>Table134[[#This Row],[Without CS]]+K4</f>
        <v>69230.769230769234</v>
      </c>
      <c r="L5" s="27">
        <f t="shared" si="0"/>
        <v>59250.080769230772</v>
      </c>
      <c r="N5">
        <v>5.2550100000000009E-2</v>
      </c>
      <c r="O5">
        <v>2.3076923076923078E-2</v>
      </c>
      <c r="Q5">
        <v>4.8141900000000008E-2</v>
      </c>
      <c r="R5">
        <v>2.3076923076923078E-2</v>
      </c>
      <c r="T5">
        <v>3.9490200000000003E-2</v>
      </c>
      <c r="U5">
        <v>2.3076923076923078E-2</v>
      </c>
      <c r="W5">
        <v>3.1587299999999999E-2</v>
      </c>
      <c r="X5">
        <v>2.3076923076923078E-2</v>
      </c>
      <c r="Z5">
        <v>2.7966600000000001E-2</v>
      </c>
      <c r="AA5">
        <v>2.3076923076923078E-2</v>
      </c>
      <c r="AC5">
        <v>2.4373800000000001E-2</v>
      </c>
      <c r="AD5">
        <v>2.3076923076923078E-2</v>
      </c>
      <c r="AF5">
        <v>2.4354000000000001E-2</v>
      </c>
      <c r="AG5">
        <v>2.3076923076923078E-2</v>
      </c>
      <c r="AI5">
        <v>2.4373800000000001E-2</v>
      </c>
      <c r="AJ5">
        <v>2.3076923076923078E-2</v>
      </c>
      <c r="AL5">
        <v>2.4354000000000001E-2</v>
      </c>
      <c r="AM5">
        <v>2.3076923076923078E-2</v>
      </c>
      <c r="AO5">
        <v>2.4373800000000001E-2</v>
      </c>
      <c r="AP5">
        <v>2.3076923076923078E-2</v>
      </c>
      <c r="AR5">
        <v>2022</v>
      </c>
      <c r="AS5">
        <v>1</v>
      </c>
      <c r="AU5">
        <v>1.1000000000000001</v>
      </c>
      <c r="AV5" s="28">
        <v>0.12790887692307693</v>
      </c>
      <c r="AW5">
        <v>6.7959900000000004E-2</v>
      </c>
      <c r="AX5">
        <v>5.2550100000000009E-2</v>
      </c>
      <c r="AY5">
        <v>4.8141900000000008E-2</v>
      </c>
      <c r="AZ5">
        <v>3.9490200000000003E-2</v>
      </c>
      <c r="BA5">
        <v>3.1587299999999999E-2</v>
      </c>
      <c r="BB5">
        <v>2.7966600000000001E-2</v>
      </c>
      <c r="BC5">
        <v>2.4373800000000001E-2</v>
      </c>
      <c r="BD5">
        <v>2.4354000000000001E-2</v>
      </c>
      <c r="BE5">
        <v>2.4373800000000001E-2</v>
      </c>
      <c r="BF5">
        <v>2.4354000000000001E-2</v>
      </c>
      <c r="BG5">
        <v>2.4373800000000001E-2</v>
      </c>
      <c r="BH5">
        <v>2.4354000000000001E-2</v>
      </c>
      <c r="BI5">
        <v>2.4373800000000001E-2</v>
      </c>
      <c r="BJ5">
        <v>1.8513000000000002E-2</v>
      </c>
      <c r="BK5">
        <v>1.2672000000000003E-2</v>
      </c>
      <c r="BL5">
        <v>1.2672000000000003E-2</v>
      </c>
      <c r="BM5">
        <v>1.2672000000000003E-2</v>
      </c>
      <c r="BN5">
        <v>1.2672000000000003E-2</v>
      </c>
      <c r="BO5">
        <v>1.2672000000000003E-2</v>
      </c>
      <c r="BP5">
        <v>1.2672000000000003E-2</v>
      </c>
      <c r="BQ5">
        <v>1.2672000000000003E-2</v>
      </c>
      <c r="BR5">
        <v>1.2672000000000003E-2</v>
      </c>
      <c r="BS5">
        <v>1.2672000000000003E-2</v>
      </c>
      <c r="BT5">
        <v>1.2672000000000003E-2</v>
      </c>
      <c r="BU5">
        <v>1.2672000000000003E-2</v>
      </c>
      <c r="BV5">
        <v>1.2672000000000003E-2</v>
      </c>
      <c r="BW5">
        <v>1.2672000000000003E-2</v>
      </c>
      <c r="BX5">
        <v>1.2672000000000003E-2</v>
      </c>
      <c r="BY5">
        <v>1.2672000000000003E-2</v>
      </c>
      <c r="BZ5">
        <v>1.2672000000000003E-2</v>
      </c>
      <c r="CA5">
        <v>1.2672000000000003E-2</v>
      </c>
      <c r="CB5">
        <v>1.2672000000000003E-2</v>
      </c>
      <c r="CC5">
        <v>1.2672000000000003E-2</v>
      </c>
      <c r="CD5">
        <v>1.2672000000000003E-2</v>
      </c>
      <c r="CE5">
        <v>1.2672000000000003E-2</v>
      </c>
      <c r="CF5">
        <v>1.2672000000000003E-2</v>
      </c>
      <c r="CG5">
        <v>1.2672000000000003E-2</v>
      </c>
      <c r="CH5">
        <v>7.9199999999954307E-4</v>
      </c>
    </row>
    <row r="6" spans="1:87" x14ac:dyDescent="0.25">
      <c r="C6" s="21">
        <f t="shared" si="1"/>
        <v>44560.75</v>
      </c>
      <c r="D6" s="3">
        <v>32611.050000000003</v>
      </c>
      <c r="E6" s="3">
        <v>23076.923076923078</v>
      </c>
      <c r="F6" s="3">
        <v>12672.000000000002</v>
      </c>
      <c r="G6" s="22"/>
      <c r="H6" s="22"/>
      <c r="I6" s="26">
        <f>Table134[[#This Row],[Year]]</f>
        <v>44560.75</v>
      </c>
      <c r="J6" s="27">
        <f>Table134[[#This Row],[Estimate]]+J5</f>
        <v>161091.90000000002</v>
      </c>
      <c r="K6" s="27">
        <f>Table134[[#This Row],[Without CS]]+K5</f>
        <v>92307.692307692312</v>
      </c>
      <c r="L6" s="27">
        <f t="shared" si="0"/>
        <v>68784.207692307711</v>
      </c>
      <c r="N6">
        <v>4.8141900000000008E-2</v>
      </c>
      <c r="O6">
        <v>2.3076923076923078E-2</v>
      </c>
      <c r="Q6">
        <v>3.9490200000000003E-2</v>
      </c>
      <c r="R6">
        <v>2.3076923076923078E-2</v>
      </c>
      <c r="T6">
        <v>3.1587299999999999E-2</v>
      </c>
      <c r="U6">
        <v>2.3076923076923078E-2</v>
      </c>
      <c r="W6">
        <v>2.7966600000000001E-2</v>
      </c>
      <c r="X6">
        <v>2.3076923076923078E-2</v>
      </c>
      <c r="Z6">
        <v>2.4373800000000001E-2</v>
      </c>
      <c r="AA6">
        <v>2.3076923076923078E-2</v>
      </c>
      <c r="AC6">
        <v>2.4354000000000001E-2</v>
      </c>
      <c r="AD6">
        <v>2.3076923076923078E-2</v>
      </c>
      <c r="AF6">
        <v>2.4373800000000001E-2</v>
      </c>
      <c r="AG6">
        <v>2.3076923076923078E-2</v>
      </c>
      <c r="AI6">
        <v>2.4354000000000001E-2</v>
      </c>
      <c r="AJ6">
        <v>2.3076923076923078E-2</v>
      </c>
      <c r="AL6">
        <v>2.4373800000000001E-2</v>
      </c>
      <c r="AM6">
        <v>2.3076923076923078E-2</v>
      </c>
      <c r="AO6">
        <v>2.4354000000000001E-2</v>
      </c>
      <c r="AP6">
        <v>2.3076923076923078E-2</v>
      </c>
      <c r="AR6">
        <v>2021</v>
      </c>
      <c r="AS6">
        <v>2</v>
      </c>
      <c r="AU6">
        <v>1.2</v>
      </c>
      <c r="AV6">
        <v>0.10266872727272726</v>
      </c>
      <c r="AW6" s="32">
        <v>6.158700000000001E-2</v>
      </c>
      <c r="AX6" s="32">
        <v>5.03037E-2</v>
      </c>
      <c r="AY6" s="32">
        <v>4.88484E-2</v>
      </c>
      <c r="AZ6" s="32">
        <v>4.0267800000000006E-2</v>
      </c>
      <c r="BA6" s="32">
        <v>3.2386499999999999E-2</v>
      </c>
      <c r="BB6" s="32">
        <v>3.2386499999999999E-2</v>
      </c>
      <c r="BC6" s="32">
        <v>3.2405400000000001E-2</v>
      </c>
      <c r="BD6" s="32">
        <v>3.2386499999999999E-2</v>
      </c>
      <c r="BE6" s="32">
        <v>3.2405400000000001E-2</v>
      </c>
      <c r="BF6" s="32">
        <v>3.2386499999999999E-2</v>
      </c>
      <c r="BG6" s="32">
        <v>3.2405400000000001E-2</v>
      </c>
      <c r="BH6" s="32">
        <v>3.2386499999999999E-2</v>
      </c>
      <c r="BI6" s="32">
        <v>3.2405400000000001E-2</v>
      </c>
      <c r="BJ6" s="32">
        <v>2.6811000000000001E-2</v>
      </c>
      <c r="BK6" s="32">
        <v>2.1235500000000001E-2</v>
      </c>
      <c r="BL6" s="32">
        <v>2.1235500000000001E-2</v>
      </c>
      <c r="BM6" s="32">
        <v>2.1235500000000001E-2</v>
      </c>
      <c r="BN6" s="32">
        <v>2.1235500000000001E-2</v>
      </c>
      <c r="BO6" s="32">
        <v>2.1235500000000001E-2</v>
      </c>
      <c r="BP6" s="32">
        <v>2.1235500000000001E-2</v>
      </c>
      <c r="BQ6" s="32">
        <v>2.1235500000000001E-2</v>
      </c>
      <c r="BR6" s="32">
        <v>2.1235500000000001E-2</v>
      </c>
      <c r="BS6" s="32">
        <v>2.1235500000000001E-2</v>
      </c>
      <c r="BT6" s="32">
        <v>2.1235500000000001E-2</v>
      </c>
      <c r="BU6" s="32">
        <v>2.1235500000000001E-2</v>
      </c>
      <c r="BV6" s="32">
        <v>1.1641500000000001E-2</v>
      </c>
    </row>
    <row r="7" spans="1:87" x14ac:dyDescent="0.25">
      <c r="C7" s="21">
        <f t="shared" si="1"/>
        <v>44926</v>
      </c>
      <c r="D7" s="3">
        <v>30406.950000000004</v>
      </c>
      <c r="E7" s="3">
        <v>23076.923076923078</v>
      </c>
      <c r="F7" s="3">
        <v>12672.000000000002</v>
      </c>
      <c r="G7" s="22"/>
      <c r="H7" s="22"/>
      <c r="I7" s="26">
        <f>Table134[[#This Row],[Year]]</f>
        <v>44926</v>
      </c>
      <c r="J7" s="27">
        <f>Table134[[#This Row],[Estimate]]+J6</f>
        <v>191498.85000000003</v>
      </c>
      <c r="K7" s="27">
        <f>Table134[[#This Row],[Without CS]]+K6</f>
        <v>115384.61538461539</v>
      </c>
      <c r="L7" s="27">
        <f t="shared" si="0"/>
        <v>76114.234615384645</v>
      </c>
      <c r="N7">
        <v>3.9490200000000003E-2</v>
      </c>
      <c r="O7">
        <v>2.3076923076923078E-2</v>
      </c>
      <c r="Q7">
        <v>3.1587299999999999E-2</v>
      </c>
      <c r="R7">
        <v>2.3076923076923078E-2</v>
      </c>
      <c r="T7">
        <v>2.7966600000000001E-2</v>
      </c>
      <c r="U7">
        <v>2.3076923076923078E-2</v>
      </c>
      <c r="W7">
        <v>2.4373800000000001E-2</v>
      </c>
      <c r="X7">
        <v>2.3076923076923078E-2</v>
      </c>
      <c r="Z7">
        <v>2.4354000000000001E-2</v>
      </c>
      <c r="AA7">
        <v>2.3076923076923078E-2</v>
      </c>
      <c r="AC7">
        <v>2.4373800000000001E-2</v>
      </c>
      <c r="AD7">
        <v>2.3076923076923078E-2</v>
      </c>
      <c r="AF7">
        <v>2.4354000000000001E-2</v>
      </c>
      <c r="AG7">
        <v>2.3076923076923078E-2</v>
      </c>
      <c r="AI7">
        <v>2.4373800000000001E-2</v>
      </c>
      <c r="AJ7">
        <v>2.3076923076923078E-2</v>
      </c>
      <c r="AL7">
        <v>2.4354000000000001E-2</v>
      </c>
      <c r="AM7">
        <v>2.3076923076923078E-2</v>
      </c>
      <c r="AO7">
        <v>2.4373800000000001E-2</v>
      </c>
      <c r="AP7">
        <v>2.3076923076923078E-2</v>
      </c>
      <c r="AR7">
        <v>2020</v>
      </c>
      <c r="AS7">
        <v>3</v>
      </c>
      <c r="AU7">
        <v>2.1</v>
      </c>
      <c r="AV7" s="28">
        <v>0.17279185384615386</v>
      </c>
      <c r="AW7">
        <v>5.2550100000000009E-2</v>
      </c>
      <c r="AX7">
        <v>4.8141900000000008E-2</v>
      </c>
      <c r="AY7">
        <v>3.9490200000000003E-2</v>
      </c>
      <c r="AZ7">
        <v>3.1587299999999999E-2</v>
      </c>
      <c r="BA7">
        <v>2.7966600000000001E-2</v>
      </c>
      <c r="BB7">
        <v>2.4373800000000001E-2</v>
      </c>
      <c r="BC7">
        <v>2.4354000000000001E-2</v>
      </c>
      <c r="BD7">
        <v>2.4373800000000001E-2</v>
      </c>
      <c r="BE7">
        <v>2.4354000000000001E-2</v>
      </c>
      <c r="BF7">
        <v>2.4373800000000001E-2</v>
      </c>
      <c r="BG7">
        <v>2.4354000000000001E-2</v>
      </c>
      <c r="BH7">
        <v>2.4373800000000001E-2</v>
      </c>
      <c r="BI7">
        <v>1.8513000000000002E-2</v>
      </c>
      <c r="BJ7">
        <v>1.2672000000000003E-2</v>
      </c>
      <c r="BK7">
        <v>1.2672000000000003E-2</v>
      </c>
      <c r="BL7">
        <v>1.2672000000000003E-2</v>
      </c>
      <c r="BM7">
        <v>1.2672000000000003E-2</v>
      </c>
      <c r="BN7">
        <v>1.2672000000000003E-2</v>
      </c>
      <c r="BO7">
        <v>1.2672000000000003E-2</v>
      </c>
      <c r="BP7">
        <v>1.2672000000000003E-2</v>
      </c>
      <c r="BQ7">
        <v>1.2672000000000003E-2</v>
      </c>
      <c r="BR7">
        <v>1.2672000000000003E-2</v>
      </c>
      <c r="BS7">
        <v>1.2672000000000003E-2</v>
      </c>
      <c r="BT7">
        <v>1.2672000000000003E-2</v>
      </c>
      <c r="BU7">
        <v>1.2672000000000003E-2</v>
      </c>
      <c r="BV7">
        <v>1.2672000000000003E-2</v>
      </c>
      <c r="BW7">
        <v>1.2672000000000003E-2</v>
      </c>
      <c r="BX7">
        <v>1.2672000000000003E-2</v>
      </c>
      <c r="BY7">
        <v>1.2672000000000003E-2</v>
      </c>
      <c r="BZ7">
        <v>1.2672000000000003E-2</v>
      </c>
      <c r="CA7">
        <v>1.2672000000000003E-2</v>
      </c>
      <c r="CB7">
        <v>1.2672000000000003E-2</v>
      </c>
      <c r="CC7">
        <v>1.2672000000000003E-2</v>
      </c>
      <c r="CD7">
        <v>1.2672000000000003E-2</v>
      </c>
      <c r="CE7">
        <v>1.2672000000000003E-2</v>
      </c>
      <c r="CF7">
        <v>1.2672000000000003E-2</v>
      </c>
      <c r="CG7">
        <v>7.9199999999954307E-4</v>
      </c>
    </row>
    <row r="8" spans="1:87" x14ac:dyDescent="0.25">
      <c r="C8" s="21">
        <f t="shared" si="1"/>
        <v>45291.25</v>
      </c>
      <c r="D8" s="3">
        <v>26081.1</v>
      </c>
      <c r="E8" s="3">
        <v>23076.923076923078</v>
      </c>
      <c r="F8" s="3">
        <v>12672.000000000002</v>
      </c>
      <c r="G8" s="22"/>
      <c r="H8" s="22"/>
      <c r="I8" s="26">
        <f>Table134[[#This Row],[Year]]</f>
        <v>45291.25</v>
      </c>
      <c r="J8" s="27">
        <f>Table134[[#This Row],[Estimate]]+J7</f>
        <v>217579.95000000004</v>
      </c>
      <c r="K8" s="27">
        <f>Table134[[#This Row],[Without CS]]+K7</f>
        <v>138461.53846153847</v>
      </c>
      <c r="L8" s="27">
        <f t="shared" si="0"/>
        <v>79118.411538461572</v>
      </c>
      <c r="N8">
        <v>3.1587299999999999E-2</v>
      </c>
      <c r="O8">
        <v>2.3076923076923078E-2</v>
      </c>
      <c r="Q8">
        <v>2.7966600000000001E-2</v>
      </c>
      <c r="R8">
        <v>2.3076923076923078E-2</v>
      </c>
      <c r="T8">
        <v>2.4373800000000001E-2</v>
      </c>
      <c r="U8">
        <v>2.3076923076923078E-2</v>
      </c>
      <c r="W8">
        <v>2.4354000000000001E-2</v>
      </c>
      <c r="X8">
        <v>2.3076923076923078E-2</v>
      </c>
      <c r="Z8">
        <v>2.4373800000000001E-2</v>
      </c>
      <c r="AA8">
        <v>2.3076923076923078E-2</v>
      </c>
      <c r="AC8">
        <v>2.4354000000000001E-2</v>
      </c>
      <c r="AD8">
        <v>2.3076923076923078E-2</v>
      </c>
      <c r="AF8">
        <v>2.4373800000000001E-2</v>
      </c>
      <c r="AG8">
        <v>2.3076923076923078E-2</v>
      </c>
      <c r="AI8">
        <v>2.4354000000000001E-2</v>
      </c>
      <c r="AJ8">
        <v>2.3076923076923078E-2</v>
      </c>
      <c r="AL8">
        <v>2.4373800000000001E-2</v>
      </c>
      <c r="AM8">
        <v>2.3076923076923078E-2</v>
      </c>
      <c r="AO8">
        <v>1.8513000000000002E-2</v>
      </c>
      <c r="AP8">
        <v>2.3076923076923078E-2</v>
      </c>
      <c r="AR8">
        <v>2019</v>
      </c>
      <c r="AS8">
        <v>4</v>
      </c>
      <c r="AU8">
        <v>2.2000000000000002</v>
      </c>
      <c r="AV8">
        <v>0.13152845454545456</v>
      </c>
      <c r="AW8" s="32">
        <v>5.03037E-2</v>
      </c>
      <c r="AX8" s="32">
        <v>4.88484E-2</v>
      </c>
      <c r="AY8" s="32">
        <v>4.0267800000000006E-2</v>
      </c>
      <c r="AZ8" s="32">
        <v>3.2386499999999999E-2</v>
      </c>
      <c r="BA8" s="32">
        <v>3.2386499999999999E-2</v>
      </c>
      <c r="BB8" s="32">
        <v>3.2405400000000001E-2</v>
      </c>
      <c r="BC8" s="32">
        <v>3.2386499999999999E-2</v>
      </c>
      <c r="BD8" s="32">
        <v>3.2405400000000001E-2</v>
      </c>
      <c r="BE8" s="32">
        <v>3.2386499999999999E-2</v>
      </c>
      <c r="BF8" s="32">
        <v>3.2405400000000001E-2</v>
      </c>
      <c r="BG8" s="32">
        <v>3.2386499999999999E-2</v>
      </c>
      <c r="BH8" s="32">
        <v>3.2405400000000001E-2</v>
      </c>
      <c r="BI8" s="32">
        <v>2.6811000000000001E-2</v>
      </c>
      <c r="BJ8" s="32">
        <v>2.1235500000000001E-2</v>
      </c>
      <c r="BK8" s="32">
        <v>2.1235500000000001E-2</v>
      </c>
      <c r="BL8" s="32">
        <v>2.1235500000000001E-2</v>
      </c>
      <c r="BM8" s="32">
        <v>2.1235500000000001E-2</v>
      </c>
      <c r="BN8" s="32">
        <v>2.1235500000000001E-2</v>
      </c>
      <c r="BO8" s="32">
        <v>2.1235500000000001E-2</v>
      </c>
      <c r="BP8" s="32">
        <v>2.1235500000000001E-2</v>
      </c>
      <c r="BQ8" s="32">
        <v>2.1235500000000001E-2</v>
      </c>
      <c r="BR8" s="32">
        <v>2.1235500000000001E-2</v>
      </c>
      <c r="BS8" s="32">
        <v>2.1235500000000001E-2</v>
      </c>
      <c r="BT8" s="32">
        <v>2.1235500000000001E-2</v>
      </c>
      <c r="BU8" s="32">
        <v>1.1641500000000001E-2</v>
      </c>
    </row>
    <row r="9" spans="1:87" x14ac:dyDescent="0.25">
      <c r="B9" t="s">
        <v>54</v>
      </c>
      <c r="C9" s="21">
        <f t="shared" si="1"/>
        <v>45656.5</v>
      </c>
      <c r="D9" s="3">
        <v>22129.65</v>
      </c>
      <c r="E9" s="3">
        <v>23076.923076923078</v>
      </c>
      <c r="F9" s="3">
        <v>12672.000000000002</v>
      </c>
      <c r="G9" s="22"/>
      <c r="H9" s="22"/>
      <c r="I9" s="26">
        <f>Table134[[#This Row],[Year]]</f>
        <v>45656.5</v>
      </c>
      <c r="J9" s="27">
        <f>Table134[[#This Row],[Estimate]]+J8</f>
        <v>239709.60000000003</v>
      </c>
      <c r="K9" s="27">
        <f>Table134[[#This Row],[Without CS]]+K8</f>
        <v>161538.46153846156</v>
      </c>
      <c r="L9" s="27">
        <f t="shared" si="0"/>
        <v>78171.138461538474</v>
      </c>
      <c r="N9">
        <v>2.7966600000000001E-2</v>
      </c>
      <c r="O9">
        <v>2.3076923076923078E-2</v>
      </c>
      <c r="Q9">
        <v>2.4373800000000001E-2</v>
      </c>
      <c r="R9">
        <v>2.3076923076923078E-2</v>
      </c>
      <c r="T9">
        <v>2.4354000000000001E-2</v>
      </c>
      <c r="U9">
        <v>2.3076923076923078E-2</v>
      </c>
      <c r="W9">
        <v>2.4373800000000001E-2</v>
      </c>
      <c r="X9">
        <v>2.3076923076923078E-2</v>
      </c>
      <c r="Z9">
        <v>2.4354000000000001E-2</v>
      </c>
      <c r="AA9">
        <v>2.3076923076923078E-2</v>
      </c>
      <c r="AC9">
        <v>2.4373800000000001E-2</v>
      </c>
      <c r="AD9">
        <v>2.3076923076923078E-2</v>
      </c>
      <c r="AF9">
        <v>2.4354000000000001E-2</v>
      </c>
      <c r="AG9">
        <v>2.3076923076923078E-2</v>
      </c>
      <c r="AI9">
        <v>2.4373800000000001E-2</v>
      </c>
      <c r="AJ9">
        <v>2.3076923076923078E-2</v>
      </c>
      <c r="AL9">
        <v>1.8513000000000002E-2</v>
      </c>
      <c r="AM9">
        <v>2.3076923076923078E-2</v>
      </c>
      <c r="AO9">
        <v>1.2672000000000003E-2</v>
      </c>
      <c r="AP9">
        <v>2.3076923076923078E-2</v>
      </c>
      <c r="AR9">
        <v>2018</v>
      </c>
      <c r="AS9">
        <v>5</v>
      </c>
      <c r="AU9">
        <v>3.1</v>
      </c>
      <c r="AV9" s="28">
        <v>0.2022650307692308</v>
      </c>
      <c r="AW9">
        <v>4.8141900000000008E-2</v>
      </c>
      <c r="AX9">
        <v>3.9490200000000003E-2</v>
      </c>
      <c r="AY9">
        <v>3.1587299999999999E-2</v>
      </c>
      <c r="AZ9">
        <v>2.7966600000000001E-2</v>
      </c>
      <c r="BA9">
        <v>2.4373800000000001E-2</v>
      </c>
      <c r="BB9">
        <v>2.4354000000000001E-2</v>
      </c>
      <c r="BC9">
        <v>2.4373800000000001E-2</v>
      </c>
      <c r="BD9">
        <v>2.4354000000000001E-2</v>
      </c>
      <c r="BE9">
        <v>2.4373800000000001E-2</v>
      </c>
      <c r="BF9">
        <v>2.4354000000000001E-2</v>
      </c>
      <c r="BG9">
        <v>2.4373800000000001E-2</v>
      </c>
      <c r="BH9">
        <v>1.8513000000000002E-2</v>
      </c>
      <c r="BI9">
        <v>1.2672000000000003E-2</v>
      </c>
      <c r="BJ9">
        <v>1.2672000000000003E-2</v>
      </c>
      <c r="BK9">
        <v>1.2672000000000003E-2</v>
      </c>
      <c r="BL9">
        <v>1.2672000000000003E-2</v>
      </c>
      <c r="BM9">
        <v>1.2672000000000003E-2</v>
      </c>
      <c r="BN9">
        <v>1.2672000000000003E-2</v>
      </c>
      <c r="BO9">
        <v>1.2672000000000003E-2</v>
      </c>
      <c r="BP9">
        <v>1.2672000000000003E-2</v>
      </c>
      <c r="BQ9">
        <v>1.2672000000000003E-2</v>
      </c>
      <c r="BR9">
        <v>1.2672000000000003E-2</v>
      </c>
      <c r="BS9">
        <v>1.2672000000000003E-2</v>
      </c>
      <c r="BT9">
        <v>1.2672000000000003E-2</v>
      </c>
      <c r="BU9">
        <v>1.2672000000000003E-2</v>
      </c>
      <c r="BV9">
        <v>1.2672000000000003E-2</v>
      </c>
      <c r="BW9">
        <v>1.2672000000000003E-2</v>
      </c>
      <c r="BX9">
        <v>1.2672000000000003E-2</v>
      </c>
      <c r="BY9">
        <v>1.2672000000000003E-2</v>
      </c>
      <c r="BZ9">
        <v>1.2672000000000003E-2</v>
      </c>
      <c r="CA9">
        <v>1.2672000000000003E-2</v>
      </c>
      <c r="CB9">
        <v>1.2672000000000003E-2</v>
      </c>
      <c r="CC9">
        <v>1.2672000000000003E-2</v>
      </c>
      <c r="CD9">
        <v>1.2672000000000003E-2</v>
      </c>
      <c r="CE9">
        <v>1.2672000000000003E-2</v>
      </c>
      <c r="CF9">
        <v>7.9199999999954307E-4</v>
      </c>
    </row>
    <row r="10" spans="1:87" x14ac:dyDescent="0.25">
      <c r="B10" s="21">
        <v>43465</v>
      </c>
      <c r="C10" s="21">
        <f t="shared" si="1"/>
        <v>46021.75</v>
      </c>
      <c r="D10" s="3">
        <v>20319.300000000003</v>
      </c>
      <c r="E10" s="3">
        <v>23076.923076923078</v>
      </c>
      <c r="F10" s="3">
        <v>12672.000000000002</v>
      </c>
      <c r="G10" s="22"/>
      <c r="H10" s="22"/>
      <c r="I10" s="26">
        <f>Table134[[#This Row],[Year]]</f>
        <v>46021.75</v>
      </c>
      <c r="J10" s="27">
        <f>Table134[[#This Row],[Estimate]]+J9</f>
        <v>260028.90000000002</v>
      </c>
      <c r="K10" s="27">
        <f>Table134[[#This Row],[Without CS]]+K9</f>
        <v>184615.38461538462</v>
      </c>
      <c r="L10" s="27">
        <f t="shared" si="0"/>
        <v>75413.515384615399</v>
      </c>
      <c r="N10">
        <v>2.4373800000000001E-2</v>
      </c>
      <c r="O10">
        <v>2.3076923076923078E-2</v>
      </c>
      <c r="Q10">
        <v>2.4354000000000001E-2</v>
      </c>
      <c r="R10">
        <v>2.3076923076923078E-2</v>
      </c>
      <c r="T10">
        <v>2.4373800000000001E-2</v>
      </c>
      <c r="U10">
        <v>2.3076923076923078E-2</v>
      </c>
      <c r="W10">
        <v>2.4354000000000001E-2</v>
      </c>
      <c r="X10">
        <v>2.3076923076923078E-2</v>
      </c>
      <c r="Z10">
        <v>2.4373800000000001E-2</v>
      </c>
      <c r="AA10">
        <v>2.3076923076923078E-2</v>
      </c>
      <c r="AC10">
        <v>2.4354000000000001E-2</v>
      </c>
      <c r="AD10">
        <v>2.3076923076923078E-2</v>
      </c>
      <c r="AF10">
        <v>2.4373800000000001E-2</v>
      </c>
      <c r="AG10">
        <v>2.3076923076923078E-2</v>
      </c>
      <c r="AI10">
        <v>1.8513000000000002E-2</v>
      </c>
      <c r="AJ10">
        <v>2.3076923076923078E-2</v>
      </c>
      <c r="AL10">
        <v>1.2672000000000003E-2</v>
      </c>
      <c r="AM10">
        <v>2.3076923076923078E-2</v>
      </c>
      <c r="AO10">
        <v>1.2672000000000003E-2</v>
      </c>
      <c r="AP10">
        <v>2.3076923076923078E-2</v>
      </c>
      <c r="AR10">
        <v>2017</v>
      </c>
      <c r="AS10">
        <v>6</v>
      </c>
      <c r="AU10">
        <v>3.2</v>
      </c>
      <c r="AV10">
        <v>0.14910488181818182</v>
      </c>
      <c r="AW10" s="32">
        <v>4.88484E-2</v>
      </c>
      <c r="AX10" s="32">
        <v>4.0267800000000006E-2</v>
      </c>
      <c r="AY10" s="32">
        <v>3.2386499999999999E-2</v>
      </c>
      <c r="AZ10" s="32">
        <v>3.2386499999999999E-2</v>
      </c>
      <c r="BA10" s="32">
        <v>3.2405400000000001E-2</v>
      </c>
      <c r="BB10" s="32">
        <v>3.2386499999999999E-2</v>
      </c>
      <c r="BC10" s="32">
        <v>3.2405400000000001E-2</v>
      </c>
      <c r="BD10" s="32">
        <v>3.2386499999999999E-2</v>
      </c>
      <c r="BE10" s="32">
        <v>3.2405400000000001E-2</v>
      </c>
      <c r="BF10" s="32">
        <v>3.2386499999999999E-2</v>
      </c>
      <c r="BG10" s="32">
        <v>3.2405400000000001E-2</v>
      </c>
      <c r="BH10" s="32">
        <v>2.6811000000000001E-2</v>
      </c>
      <c r="BI10" s="32">
        <v>2.1235500000000001E-2</v>
      </c>
      <c r="BJ10" s="32">
        <v>2.1235500000000001E-2</v>
      </c>
      <c r="BK10" s="32">
        <v>2.1235500000000001E-2</v>
      </c>
      <c r="BL10" s="32">
        <v>2.1235500000000001E-2</v>
      </c>
      <c r="BM10" s="32">
        <v>2.1235500000000001E-2</v>
      </c>
      <c r="BN10" s="32">
        <v>2.1235500000000001E-2</v>
      </c>
      <c r="BO10" s="32">
        <v>2.1235500000000001E-2</v>
      </c>
      <c r="BP10" s="32">
        <v>2.1235500000000001E-2</v>
      </c>
      <c r="BQ10" s="32">
        <v>2.1235500000000001E-2</v>
      </c>
      <c r="BR10" s="32">
        <v>2.1235500000000001E-2</v>
      </c>
      <c r="BS10" s="32">
        <v>2.1235500000000001E-2</v>
      </c>
      <c r="BT10" s="32">
        <v>1.1641500000000001E-2</v>
      </c>
    </row>
    <row r="11" spans="1:87" x14ac:dyDescent="0.25">
      <c r="C11" s="21">
        <f t="shared" si="1"/>
        <v>46387</v>
      </c>
      <c r="D11" s="3">
        <v>18522.900000000001</v>
      </c>
      <c r="E11" s="3">
        <v>23076.923076923078</v>
      </c>
      <c r="F11" s="3">
        <v>12672.000000000002</v>
      </c>
      <c r="G11" s="22"/>
      <c r="H11" s="22"/>
      <c r="I11" s="26">
        <f>Table134[[#This Row],[Year]]</f>
        <v>46387</v>
      </c>
      <c r="J11" s="27">
        <f>Table134[[#This Row],[Estimate]]+J10</f>
        <v>278551.80000000005</v>
      </c>
      <c r="K11" s="27">
        <f>Table134[[#This Row],[Without CS]]+K10</f>
        <v>207692.30769230769</v>
      </c>
      <c r="L11" s="27">
        <f t="shared" si="0"/>
        <v>70859.492307692359</v>
      </c>
      <c r="N11">
        <v>2.4354000000000001E-2</v>
      </c>
      <c r="O11">
        <v>2.3076923076923078E-2</v>
      </c>
      <c r="Q11">
        <v>2.4373800000000001E-2</v>
      </c>
      <c r="R11">
        <v>2.3076923076923078E-2</v>
      </c>
      <c r="T11">
        <v>2.4354000000000001E-2</v>
      </c>
      <c r="U11">
        <v>2.3076923076923078E-2</v>
      </c>
      <c r="W11">
        <v>2.4373800000000001E-2</v>
      </c>
      <c r="X11">
        <v>2.3076923076923078E-2</v>
      </c>
      <c r="Z11">
        <v>2.4354000000000001E-2</v>
      </c>
      <c r="AA11">
        <v>2.3076923076923078E-2</v>
      </c>
      <c r="AC11">
        <v>2.4373800000000001E-2</v>
      </c>
      <c r="AD11">
        <v>2.3076923076923078E-2</v>
      </c>
      <c r="AF11">
        <v>1.8513000000000002E-2</v>
      </c>
      <c r="AG11">
        <v>2.3076923076923078E-2</v>
      </c>
      <c r="AI11">
        <v>1.2672000000000003E-2</v>
      </c>
      <c r="AJ11">
        <v>2.3076923076923078E-2</v>
      </c>
      <c r="AL11">
        <v>1.2672000000000003E-2</v>
      </c>
      <c r="AM11">
        <v>2.3076923076923078E-2</v>
      </c>
      <c r="AO11">
        <v>1.2672000000000003E-2</v>
      </c>
      <c r="AP11">
        <v>2.3076923076923078E-2</v>
      </c>
      <c r="AR11">
        <v>2016</v>
      </c>
      <c r="AS11">
        <v>7</v>
      </c>
      <c r="AU11">
        <v>4.0999999999999996</v>
      </c>
      <c r="AV11" s="28">
        <v>0.22733000769230771</v>
      </c>
      <c r="AW11">
        <v>3.9490200000000003E-2</v>
      </c>
      <c r="AX11">
        <v>3.1587299999999999E-2</v>
      </c>
      <c r="AY11">
        <v>2.7966600000000001E-2</v>
      </c>
      <c r="AZ11">
        <v>2.4373800000000001E-2</v>
      </c>
      <c r="BA11">
        <v>2.4354000000000001E-2</v>
      </c>
      <c r="BB11">
        <v>2.4373800000000001E-2</v>
      </c>
      <c r="BC11">
        <v>2.4354000000000001E-2</v>
      </c>
      <c r="BD11">
        <v>2.4373800000000001E-2</v>
      </c>
      <c r="BE11">
        <v>2.4354000000000001E-2</v>
      </c>
      <c r="BF11">
        <v>2.4373800000000001E-2</v>
      </c>
      <c r="BG11">
        <v>1.8513000000000002E-2</v>
      </c>
      <c r="BH11">
        <v>1.2672000000000003E-2</v>
      </c>
      <c r="BI11">
        <v>1.2672000000000003E-2</v>
      </c>
      <c r="BJ11">
        <v>1.2672000000000003E-2</v>
      </c>
      <c r="BK11">
        <v>1.2672000000000003E-2</v>
      </c>
      <c r="BL11">
        <v>1.2672000000000003E-2</v>
      </c>
      <c r="BM11">
        <v>1.2672000000000003E-2</v>
      </c>
      <c r="BN11">
        <v>1.2672000000000003E-2</v>
      </c>
      <c r="BO11">
        <v>1.2672000000000003E-2</v>
      </c>
      <c r="BP11">
        <v>1.2672000000000003E-2</v>
      </c>
      <c r="BQ11">
        <v>1.2672000000000003E-2</v>
      </c>
      <c r="BR11">
        <v>1.2672000000000003E-2</v>
      </c>
      <c r="BS11">
        <v>1.2672000000000003E-2</v>
      </c>
      <c r="BT11">
        <v>1.2672000000000003E-2</v>
      </c>
      <c r="BU11">
        <v>1.2672000000000003E-2</v>
      </c>
      <c r="BV11">
        <v>1.2672000000000003E-2</v>
      </c>
      <c r="BW11">
        <v>1.2672000000000003E-2</v>
      </c>
      <c r="BX11">
        <v>1.2672000000000003E-2</v>
      </c>
      <c r="BY11">
        <v>1.2672000000000003E-2</v>
      </c>
      <c r="BZ11">
        <v>1.2672000000000003E-2</v>
      </c>
      <c r="CA11">
        <v>1.2672000000000003E-2</v>
      </c>
      <c r="CB11">
        <v>1.2672000000000003E-2</v>
      </c>
      <c r="CC11">
        <v>1.2672000000000003E-2</v>
      </c>
      <c r="CD11">
        <v>1.2672000000000003E-2</v>
      </c>
      <c r="CE11">
        <v>7.9199999999954307E-4</v>
      </c>
    </row>
    <row r="12" spans="1:87" x14ac:dyDescent="0.25">
      <c r="B12" t="s">
        <v>55</v>
      </c>
      <c r="C12" s="21">
        <f t="shared" si="1"/>
        <v>46752.25</v>
      </c>
      <c r="D12" s="3">
        <v>18513</v>
      </c>
      <c r="E12" s="3">
        <v>23076.923076923078</v>
      </c>
      <c r="F12" s="3">
        <v>12672.000000000002</v>
      </c>
      <c r="G12" s="22"/>
      <c r="H12" s="22"/>
      <c r="I12" s="26">
        <f>Table134[[#This Row],[Year]]</f>
        <v>46752.25</v>
      </c>
      <c r="J12" s="27">
        <f>Table134[[#This Row],[Estimate]]+J11</f>
        <v>297064.80000000005</v>
      </c>
      <c r="K12" s="27">
        <f>Table134[[#This Row],[Without CS]]+K11</f>
        <v>230769.23076923075</v>
      </c>
      <c r="L12" s="27">
        <f t="shared" si="0"/>
        <v>66295.569230769295</v>
      </c>
      <c r="N12">
        <v>2.4373800000000001E-2</v>
      </c>
      <c r="O12">
        <v>2.3076923076923078E-2</v>
      </c>
      <c r="Q12">
        <v>2.4354000000000001E-2</v>
      </c>
      <c r="R12">
        <v>2.3076923076923078E-2</v>
      </c>
      <c r="T12">
        <v>2.4373800000000001E-2</v>
      </c>
      <c r="U12">
        <v>2.3076923076923078E-2</v>
      </c>
      <c r="W12">
        <v>2.4354000000000001E-2</v>
      </c>
      <c r="X12">
        <v>2.3076923076923078E-2</v>
      </c>
      <c r="Z12">
        <v>2.4373800000000001E-2</v>
      </c>
      <c r="AA12">
        <v>2.3076923076923078E-2</v>
      </c>
      <c r="AC12">
        <v>1.8513000000000002E-2</v>
      </c>
      <c r="AD12">
        <v>2.3076923076923078E-2</v>
      </c>
      <c r="AF12">
        <v>1.2672000000000003E-2</v>
      </c>
      <c r="AG12">
        <v>2.3076923076923078E-2</v>
      </c>
      <c r="AI12">
        <v>1.2672000000000003E-2</v>
      </c>
      <c r="AJ12">
        <v>2.3076923076923078E-2</v>
      </c>
      <c r="AL12">
        <v>1.2672000000000003E-2</v>
      </c>
      <c r="AM12">
        <v>2.3076923076923078E-2</v>
      </c>
      <c r="AO12">
        <v>1.2672000000000003E-2</v>
      </c>
      <c r="AP12">
        <v>2.3076923076923078E-2</v>
      </c>
      <c r="AR12">
        <v>2015</v>
      </c>
      <c r="AS12">
        <v>8</v>
      </c>
      <c r="AU12">
        <v>4.2</v>
      </c>
      <c r="AV12">
        <v>0.16522600909090909</v>
      </c>
      <c r="AW12" s="32">
        <v>4.0267800000000006E-2</v>
      </c>
      <c r="AX12" s="32">
        <v>3.2386499999999999E-2</v>
      </c>
      <c r="AY12" s="32">
        <v>3.2386499999999999E-2</v>
      </c>
      <c r="AZ12" s="32">
        <v>3.2405400000000001E-2</v>
      </c>
      <c r="BA12" s="32">
        <v>3.2386499999999999E-2</v>
      </c>
      <c r="BB12" s="32">
        <v>3.2405400000000001E-2</v>
      </c>
      <c r="BC12" s="32">
        <v>3.2386499999999999E-2</v>
      </c>
      <c r="BD12" s="32">
        <v>3.2405400000000001E-2</v>
      </c>
      <c r="BE12" s="32">
        <v>3.2386499999999999E-2</v>
      </c>
      <c r="BF12" s="32">
        <v>3.2405400000000001E-2</v>
      </c>
      <c r="BG12" s="32">
        <v>2.6811000000000001E-2</v>
      </c>
      <c r="BH12" s="32">
        <v>2.1235500000000001E-2</v>
      </c>
      <c r="BI12" s="32">
        <v>2.1235500000000001E-2</v>
      </c>
      <c r="BJ12" s="32">
        <v>2.1235500000000001E-2</v>
      </c>
      <c r="BK12" s="32">
        <v>2.1235500000000001E-2</v>
      </c>
      <c r="BL12" s="32">
        <v>2.1235500000000001E-2</v>
      </c>
      <c r="BM12" s="32">
        <v>2.1235500000000001E-2</v>
      </c>
      <c r="BN12" s="32">
        <v>2.1235500000000001E-2</v>
      </c>
      <c r="BO12" s="32">
        <v>2.1235500000000001E-2</v>
      </c>
      <c r="BP12" s="32">
        <v>2.1235500000000001E-2</v>
      </c>
      <c r="BQ12" s="32">
        <v>2.1235500000000001E-2</v>
      </c>
      <c r="BR12" s="32">
        <v>2.1235500000000001E-2</v>
      </c>
      <c r="BS12" s="32">
        <v>1.1641500000000001E-2</v>
      </c>
    </row>
    <row r="13" spans="1:87" x14ac:dyDescent="0.25">
      <c r="B13" s="21">
        <v>43830</v>
      </c>
      <c r="C13" s="21">
        <f t="shared" si="1"/>
        <v>47117.5</v>
      </c>
      <c r="D13" s="3">
        <v>18522.900000000001</v>
      </c>
      <c r="E13" s="3">
        <v>23076.923076923078</v>
      </c>
      <c r="F13" s="3">
        <v>12672.000000000002</v>
      </c>
      <c r="G13" s="22"/>
      <c r="H13" s="22"/>
      <c r="I13" s="26">
        <f>Table134[[#This Row],[Year]]</f>
        <v>47117.5</v>
      </c>
      <c r="J13" s="27">
        <f>Table134[[#This Row],[Estimate]]+J12</f>
        <v>315587.70000000007</v>
      </c>
      <c r="K13" s="27">
        <f>Table134[[#This Row],[Without CS]]+K12</f>
        <v>253846.15384615381</v>
      </c>
      <c r="L13" s="27">
        <f t="shared" si="0"/>
        <v>61741.546153846255</v>
      </c>
      <c r="N13">
        <v>2.4354000000000001E-2</v>
      </c>
      <c r="O13">
        <v>2.3076923076923078E-2</v>
      </c>
      <c r="Q13">
        <v>2.4373800000000001E-2</v>
      </c>
      <c r="R13">
        <v>2.3076923076923078E-2</v>
      </c>
      <c r="T13">
        <v>2.4354000000000001E-2</v>
      </c>
      <c r="U13">
        <v>2.3076923076923078E-2</v>
      </c>
      <c r="W13">
        <v>2.4373800000000001E-2</v>
      </c>
      <c r="X13">
        <v>2.3076923076923078E-2</v>
      </c>
      <c r="Z13">
        <v>1.8513000000000002E-2</v>
      </c>
      <c r="AA13">
        <v>2.3076923076923078E-2</v>
      </c>
      <c r="AC13">
        <v>1.2672000000000003E-2</v>
      </c>
      <c r="AD13">
        <v>2.3076923076923078E-2</v>
      </c>
      <c r="AF13">
        <v>1.2672000000000003E-2</v>
      </c>
      <c r="AG13">
        <v>2.3076923076923078E-2</v>
      </c>
      <c r="AI13">
        <v>1.2672000000000003E-2</v>
      </c>
      <c r="AJ13">
        <v>2.3076923076923078E-2</v>
      </c>
      <c r="AL13">
        <v>1.2672000000000003E-2</v>
      </c>
      <c r="AM13">
        <v>2.3076923076923078E-2</v>
      </c>
      <c r="AO13">
        <v>1.2672000000000003E-2</v>
      </c>
      <c r="AP13">
        <v>2.3076923076923078E-2</v>
      </c>
      <c r="AR13">
        <v>2014</v>
      </c>
      <c r="AS13">
        <v>9</v>
      </c>
      <c r="AU13">
        <v>5.0999999999999996</v>
      </c>
      <c r="AV13" s="28">
        <v>0.24374328461538464</v>
      </c>
      <c r="AW13">
        <v>3.1587299999999999E-2</v>
      </c>
      <c r="AX13">
        <v>2.7966600000000001E-2</v>
      </c>
      <c r="AY13">
        <v>2.4373800000000001E-2</v>
      </c>
      <c r="AZ13">
        <v>2.4354000000000001E-2</v>
      </c>
      <c r="BA13">
        <v>2.4373800000000001E-2</v>
      </c>
      <c r="BB13">
        <v>2.4354000000000001E-2</v>
      </c>
      <c r="BC13">
        <v>2.4373800000000001E-2</v>
      </c>
      <c r="BD13">
        <v>2.4354000000000001E-2</v>
      </c>
      <c r="BE13">
        <v>2.4373800000000001E-2</v>
      </c>
      <c r="BF13">
        <v>1.8513000000000002E-2</v>
      </c>
      <c r="BG13">
        <v>1.2672000000000003E-2</v>
      </c>
      <c r="BH13">
        <v>1.2672000000000003E-2</v>
      </c>
      <c r="BI13">
        <v>1.2672000000000003E-2</v>
      </c>
      <c r="BJ13">
        <v>1.2672000000000003E-2</v>
      </c>
      <c r="BK13">
        <v>1.2672000000000003E-2</v>
      </c>
      <c r="BL13">
        <v>1.2672000000000003E-2</v>
      </c>
      <c r="BM13">
        <v>1.2672000000000003E-2</v>
      </c>
      <c r="BN13">
        <v>1.2672000000000003E-2</v>
      </c>
      <c r="BO13">
        <v>1.2672000000000003E-2</v>
      </c>
      <c r="BP13">
        <v>1.2672000000000003E-2</v>
      </c>
      <c r="BQ13">
        <v>1.2672000000000003E-2</v>
      </c>
      <c r="BR13">
        <v>1.2672000000000003E-2</v>
      </c>
      <c r="BS13">
        <v>1.2672000000000003E-2</v>
      </c>
      <c r="BT13">
        <v>1.2672000000000003E-2</v>
      </c>
      <c r="BU13">
        <v>1.2672000000000003E-2</v>
      </c>
      <c r="BV13">
        <v>1.2672000000000003E-2</v>
      </c>
      <c r="BW13">
        <v>1.2672000000000003E-2</v>
      </c>
      <c r="BX13">
        <v>1.2672000000000003E-2</v>
      </c>
      <c r="BY13">
        <v>1.2672000000000003E-2</v>
      </c>
      <c r="BZ13">
        <v>1.2672000000000003E-2</v>
      </c>
      <c r="CA13">
        <v>1.2672000000000003E-2</v>
      </c>
      <c r="CB13">
        <v>1.2672000000000003E-2</v>
      </c>
      <c r="CC13">
        <v>1.2672000000000003E-2</v>
      </c>
      <c r="CD13">
        <v>7.9199999999954307E-4</v>
      </c>
    </row>
    <row r="14" spans="1:87" x14ac:dyDescent="0.25">
      <c r="C14" s="21">
        <f t="shared" si="1"/>
        <v>47482.75</v>
      </c>
      <c r="D14" s="3">
        <v>18513</v>
      </c>
      <c r="E14" s="3">
        <v>23076.923076923078</v>
      </c>
      <c r="F14" s="3">
        <v>12672.000000000002</v>
      </c>
      <c r="G14" s="22"/>
      <c r="H14" s="22"/>
      <c r="I14" s="26">
        <f>Table134[[#This Row],[Year]]</f>
        <v>47482.75</v>
      </c>
      <c r="J14" s="27">
        <f>Table134[[#This Row],[Estimate]]+J13</f>
        <v>334100.70000000007</v>
      </c>
      <c r="K14" s="27">
        <f>Table134[[#This Row],[Without CS]]+K13</f>
        <v>276923.07692307688</v>
      </c>
      <c r="L14" s="27">
        <f t="shared" si="0"/>
        <v>57177.623076923192</v>
      </c>
      <c r="N14">
        <v>2.4373800000000001E-2</v>
      </c>
      <c r="O14">
        <v>2.3076923076923078E-2</v>
      </c>
      <c r="Q14">
        <v>2.4354000000000001E-2</v>
      </c>
      <c r="R14">
        <v>2.3076923076923078E-2</v>
      </c>
      <c r="T14">
        <v>2.4373800000000001E-2</v>
      </c>
      <c r="U14">
        <v>2.3076923076923078E-2</v>
      </c>
      <c r="W14">
        <v>1.8513000000000002E-2</v>
      </c>
      <c r="X14">
        <v>2.3076923076923078E-2</v>
      </c>
      <c r="Z14">
        <v>1.2672000000000003E-2</v>
      </c>
      <c r="AA14">
        <v>2.3076923076923078E-2</v>
      </c>
      <c r="AC14">
        <v>1.2672000000000003E-2</v>
      </c>
      <c r="AD14">
        <v>2.3076923076923078E-2</v>
      </c>
      <c r="AF14">
        <v>1.2672000000000003E-2</v>
      </c>
      <c r="AG14">
        <v>2.3076923076923078E-2</v>
      </c>
      <c r="AI14">
        <v>1.2672000000000003E-2</v>
      </c>
      <c r="AJ14">
        <v>2.3076923076923078E-2</v>
      </c>
      <c r="AL14">
        <v>1.2672000000000003E-2</v>
      </c>
      <c r="AM14">
        <v>2.3076923076923078E-2</v>
      </c>
      <c r="AO14">
        <v>1.2672000000000003E-2</v>
      </c>
      <c r="AP14">
        <v>2.3076923076923078E-2</v>
      </c>
      <c r="AR14">
        <v>2013</v>
      </c>
      <c r="AS14">
        <v>10</v>
      </c>
      <c r="AU14">
        <v>5.2</v>
      </c>
      <c r="AV14">
        <v>0.17276653636363637</v>
      </c>
      <c r="AW14" s="32">
        <v>3.2386499999999999E-2</v>
      </c>
      <c r="AX14" s="32">
        <v>3.2386499999999999E-2</v>
      </c>
      <c r="AY14" s="32">
        <v>3.2405400000000001E-2</v>
      </c>
      <c r="AZ14" s="32">
        <v>3.2386499999999999E-2</v>
      </c>
      <c r="BA14" s="32">
        <v>3.2405400000000001E-2</v>
      </c>
      <c r="BB14" s="32">
        <v>3.2386499999999999E-2</v>
      </c>
      <c r="BC14" s="32">
        <v>3.2405400000000001E-2</v>
      </c>
      <c r="BD14" s="32">
        <v>3.2386499999999999E-2</v>
      </c>
      <c r="BE14" s="32">
        <v>3.2405400000000001E-2</v>
      </c>
      <c r="BF14" s="32">
        <v>2.6811000000000001E-2</v>
      </c>
      <c r="BG14" s="32">
        <v>2.1235500000000001E-2</v>
      </c>
      <c r="BH14" s="32">
        <v>2.1235500000000001E-2</v>
      </c>
      <c r="BI14" s="32">
        <v>2.1235500000000001E-2</v>
      </c>
      <c r="BJ14" s="32">
        <v>2.1235500000000001E-2</v>
      </c>
      <c r="BK14" s="32">
        <v>2.1235500000000001E-2</v>
      </c>
      <c r="BL14" s="32">
        <v>2.1235500000000001E-2</v>
      </c>
      <c r="BM14" s="32">
        <v>2.1235500000000001E-2</v>
      </c>
      <c r="BN14" s="32">
        <v>2.1235500000000001E-2</v>
      </c>
      <c r="BO14" s="32">
        <v>2.1235500000000001E-2</v>
      </c>
      <c r="BP14" s="32">
        <v>2.1235500000000001E-2</v>
      </c>
      <c r="BQ14" s="32">
        <v>2.1235500000000001E-2</v>
      </c>
      <c r="BR14" s="32">
        <v>1.1641500000000001E-2</v>
      </c>
    </row>
    <row r="15" spans="1:87" x14ac:dyDescent="0.25">
      <c r="C15" s="21">
        <f t="shared" si="1"/>
        <v>47848</v>
      </c>
      <c r="D15" s="3">
        <v>18522.900000000001</v>
      </c>
      <c r="E15" s="3">
        <v>23076.923076923078</v>
      </c>
      <c r="F15" s="3">
        <v>12672.000000000002</v>
      </c>
      <c r="G15" s="22"/>
      <c r="H15" s="22"/>
      <c r="I15" s="26">
        <f>Table134[[#This Row],[Year]]</f>
        <v>47848</v>
      </c>
      <c r="J15" s="27">
        <f>Table134[[#This Row],[Estimate]]+J14</f>
        <v>352623.60000000009</v>
      </c>
      <c r="K15" s="27">
        <f>Table134[[#This Row],[Without CS]]+K14</f>
        <v>299999.99999999994</v>
      </c>
      <c r="L15" s="27">
        <f t="shared" si="0"/>
        <v>52623.600000000151</v>
      </c>
      <c r="N15">
        <v>2.4354000000000001E-2</v>
      </c>
      <c r="O15">
        <v>2.3076923076923078E-2</v>
      </c>
      <c r="Q15">
        <v>2.4373800000000001E-2</v>
      </c>
      <c r="R15">
        <v>2.3076923076923078E-2</v>
      </c>
      <c r="T15">
        <v>1.8513000000000002E-2</v>
      </c>
      <c r="U15">
        <v>2.3076923076923078E-2</v>
      </c>
      <c r="W15">
        <v>1.2672000000000003E-2</v>
      </c>
      <c r="X15">
        <v>2.3076923076923078E-2</v>
      </c>
      <c r="Z15">
        <v>1.2672000000000003E-2</v>
      </c>
      <c r="AA15">
        <v>2.3076923076923078E-2</v>
      </c>
      <c r="AC15">
        <v>1.2672000000000003E-2</v>
      </c>
      <c r="AD15">
        <v>2.3076923076923078E-2</v>
      </c>
      <c r="AF15">
        <v>1.2672000000000003E-2</v>
      </c>
      <c r="AG15">
        <v>2.3076923076923078E-2</v>
      </c>
      <c r="AI15">
        <v>1.2672000000000003E-2</v>
      </c>
      <c r="AJ15">
        <v>2.3076923076923078E-2</v>
      </c>
      <c r="AL15">
        <v>1.2672000000000003E-2</v>
      </c>
      <c r="AM15">
        <v>2.3076923076923078E-2</v>
      </c>
      <c r="AO15">
        <v>1.2672000000000003E-2</v>
      </c>
      <c r="AP15">
        <v>2.3076923076923078E-2</v>
      </c>
      <c r="AU15">
        <v>6.1</v>
      </c>
      <c r="AV15">
        <v>0.25225366153846229</v>
      </c>
      <c r="AW15">
        <v>2.7966600000000001E-2</v>
      </c>
      <c r="AX15">
        <v>2.4373800000000001E-2</v>
      </c>
      <c r="AY15">
        <v>2.4354000000000001E-2</v>
      </c>
      <c r="AZ15">
        <v>2.4373800000000001E-2</v>
      </c>
      <c r="BA15">
        <v>2.4354000000000001E-2</v>
      </c>
      <c r="BB15">
        <v>2.4373800000000001E-2</v>
      </c>
      <c r="BC15">
        <v>2.4354000000000001E-2</v>
      </c>
      <c r="BD15">
        <v>2.4373800000000001E-2</v>
      </c>
      <c r="BE15">
        <v>1.8513000000000002E-2</v>
      </c>
      <c r="BF15">
        <v>1.2672000000000003E-2</v>
      </c>
      <c r="BG15">
        <v>1.2672000000000003E-2</v>
      </c>
      <c r="BH15">
        <v>1.2672000000000003E-2</v>
      </c>
      <c r="BI15">
        <v>1.2672000000000003E-2</v>
      </c>
      <c r="BJ15">
        <v>1.2672000000000003E-2</v>
      </c>
      <c r="BK15">
        <v>1.2672000000000003E-2</v>
      </c>
      <c r="BL15">
        <v>1.2672000000000003E-2</v>
      </c>
      <c r="BM15">
        <v>1.2672000000000003E-2</v>
      </c>
      <c r="BN15">
        <v>1.2672000000000003E-2</v>
      </c>
      <c r="BO15">
        <v>1.2672000000000003E-2</v>
      </c>
      <c r="BP15">
        <v>1.2672000000000003E-2</v>
      </c>
      <c r="BQ15">
        <v>1.2672000000000003E-2</v>
      </c>
      <c r="BR15">
        <v>1.2672000000000003E-2</v>
      </c>
      <c r="BS15">
        <v>1.2672000000000003E-2</v>
      </c>
      <c r="BT15">
        <v>1.2672000000000003E-2</v>
      </c>
      <c r="BU15">
        <v>1.2672000000000003E-2</v>
      </c>
      <c r="BV15">
        <v>1.2672000000000003E-2</v>
      </c>
      <c r="BW15">
        <v>1.2672000000000003E-2</v>
      </c>
      <c r="BX15">
        <v>1.2672000000000003E-2</v>
      </c>
      <c r="BY15">
        <v>1.2672000000000003E-2</v>
      </c>
      <c r="BZ15">
        <v>1.2672000000000003E-2</v>
      </c>
      <c r="CA15">
        <v>1.2672000000000003E-2</v>
      </c>
      <c r="CB15">
        <v>1.2672000000000003E-2</v>
      </c>
      <c r="CC15">
        <v>7.9199999999954307E-4</v>
      </c>
    </row>
    <row r="16" spans="1:87" x14ac:dyDescent="0.25">
      <c r="C16" s="21">
        <f t="shared" si="1"/>
        <v>48213.25</v>
      </c>
      <c r="D16" s="3">
        <v>18513</v>
      </c>
      <c r="E16" s="3">
        <v>23076.923076923078</v>
      </c>
      <c r="F16" s="3">
        <v>12672.000000000002</v>
      </c>
      <c r="G16" s="22"/>
      <c r="H16" s="22"/>
      <c r="I16" s="26">
        <f>Table134[[#This Row],[Year]]</f>
        <v>48213.25</v>
      </c>
      <c r="J16" s="27">
        <f>Table134[[#This Row],[Estimate]]+J15</f>
        <v>371136.60000000009</v>
      </c>
      <c r="K16" s="27">
        <f>Table134[[#This Row],[Without CS]]+K15</f>
        <v>323076.92307692301</v>
      </c>
      <c r="L16" s="27">
        <f t="shared" si="0"/>
        <v>48059.676923077088</v>
      </c>
      <c r="N16">
        <v>2.4373800000000001E-2</v>
      </c>
      <c r="O16">
        <v>2.3076923076923078E-2</v>
      </c>
      <c r="Q16">
        <v>1.8513000000000002E-2</v>
      </c>
      <c r="R16">
        <v>2.3076923076923078E-2</v>
      </c>
      <c r="T16">
        <v>1.2672000000000003E-2</v>
      </c>
      <c r="U16">
        <v>2.3076923076923078E-2</v>
      </c>
      <c r="W16">
        <v>1.2672000000000003E-2</v>
      </c>
      <c r="X16">
        <v>2.3076923076923078E-2</v>
      </c>
      <c r="Z16">
        <v>1.2672000000000003E-2</v>
      </c>
      <c r="AA16">
        <v>2.3076923076923078E-2</v>
      </c>
      <c r="AC16">
        <v>1.2672000000000003E-2</v>
      </c>
      <c r="AD16">
        <v>2.3076923076923078E-2</v>
      </c>
      <c r="AF16">
        <v>1.2672000000000003E-2</v>
      </c>
      <c r="AG16">
        <v>2.3076923076923078E-2</v>
      </c>
      <c r="AI16">
        <v>1.2672000000000003E-2</v>
      </c>
      <c r="AJ16">
        <v>2.3076923076923078E-2</v>
      </c>
      <c r="AL16">
        <v>1.2672000000000003E-2</v>
      </c>
      <c r="AM16">
        <v>2.3076923076923078E-2</v>
      </c>
      <c r="AO16">
        <v>1.2672000000000003E-2</v>
      </c>
      <c r="AP16">
        <v>2.3076923076923078E-2</v>
      </c>
      <c r="AR16" t="s">
        <v>71</v>
      </c>
      <c r="AU16">
        <v>6.2</v>
      </c>
      <c r="AV16">
        <v>0.17242576363636364</v>
      </c>
      <c r="AW16">
        <v>3.2386499999999999E-2</v>
      </c>
      <c r="AX16">
        <v>3.2405400000000001E-2</v>
      </c>
      <c r="AY16">
        <v>3.2386499999999999E-2</v>
      </c>
      <c r="AZ16">
        <v>3.2405400000000001E-2</v>
      </c>
      <c r="BA16">
        <v>3.2386499999999999E-2</v>
      </c>
      <c r="BB16">
        <v>3.2405400000000001E-2</v>
      </c>
      <c r="BC16">
        <v>3.2386499999999999E-2</v>
      </c>
      <c r="BD16">
        <v>3.2405400000000001E-2</v>
      </c>
      <c r="BE16">
        <v>2.6811000000000001E-2</v>
      </c>
      <c r="BF16">
        <v>2.1235500000000001E-2</v>
      </c>
      <c r="BG16">
        <v>2.1235500000000001E-2</v>
      </c>
      <c r="BH16">
        <v>2.1235500000000001E-2</v>
      </c>
      <c r="BI16">
        <v>2.1235500000000001E-2</v>
      </c>
      <c r="BJ16">
        <v>2.1235500000000001E-2</v>
      </c>
      <c r="BK16">
        <v>2.1235500000000001E-2</v>
      </c>
      <c r="BL16">
        <v>2.1235500000000001E-2</v>
      </c>
      <c r="BM16">
        <v>2.1235500000000001E-2</v>
      </c>
      <c r="BN16">
        <v>2.1235500000000001E-2</v>
      </c>
      <c r="BO16">
        <v>2.1235500000000001E-2</v>
      </c>
      <c r="BP16">
        <v>2.1235500000000001E-2</v>
      </c>
      <c r="BQ16">
        <v>1.1641500000000001E-2</v>
      </c>
      <c r="BR16" s="32"/>
    </row>
    <row r="17" spans="3:86" x14ac:dyDescent="0.25">
      <c r="C17" s="21">
        <f t="shared" si="1"/>
        <v>48578.5</v>
      </c>
      <c r="D17" s="3">
        <v>18522.900000000001</v>
      </c>
      <c r="E17" s="3">
        <v>23076.923076923078</v>
      </c>
      <c r="F17" s="3">
        <v>12672.000000000002</v>
      </c>
      <c r="G17" s="22"/>
      <c r="H17" s="22"/>
      <c r="I17" s="26">
        <f>Table134[[#This Row],[Year]]</f>
        <v>48578.5</v>
      </c>
      <c r="J17" s="27">
        <f>Table134[[#This Row],[Estimate]]+J16</f>
        <v>389659.50000000012</v>
      </c>
      <c r="K17" s="27">
        <f>Table134[[#This Row],[Without CS]]+K16</f>
        <v>346153.84615384607</v>
      </c>
      <c r="L17" s="27">
        <f t="shared" si="0"/>
        <v>43505.653846154048</v>
      </c>
      <c r="N17">
        <v>1.8513000000000002E-2</v>
      </c>
      <c r="O17">
        <v>2.3076923076923078E-2</v>
      </c>
      <c r="Q17">
        <v>1.2672000000000003E-2</v>
      </c>
      <c r="R17">
        <v>2.3076923076923078E-2</v>
      </c>
      <c r="T17">
        <v>1.2672000000000003E-2</v>
      </c>
      <c r="U17">
        <v>2.3076923076923078E-2</v>
      </c>
      <c r="W17">
        <v>1.2672000000000003E-2</v>
      </c>
      <c r="X17">
        <v>2.3076923076923078E-2</v>
      </c>
      <c r="Z17">
        <v>1.2672000000000003E-2</v>
      </c>
      <c r="AA17">
        <v>2.3076923076923078E-2</v>
      </c>
      <c r="AC17">
        <v>1.2672000000000003E-2</v>
      </c>
      <c r="AD17">
        <v>2.3076923076923078E-2</v>
      </c>
      <c r="AF17">
        <v>1.2672000000000003E-2</v>
      </c>
      <c r="AG17">
        <v>2.3076923076923078E-2</v>
      </c>
      <c r="AI17">
        <v>1.2672000000000003E-2</v>
      </c>
      <c r="AJ17">
        <v>2.3076923076923078E-2</v>
      </c>
      <c r="AL17">
        <v>1.2672000000000003E-2</v>
      </c>
      <c r="AM17">
        <v>2.3076923076923078E-2</v>
      </c>
      <c r="AO17">
        <v>1.2672000000000003E-2</v>
      </c>
      <c r="AP17">
        <v>2.3076923076923078E-2</v>
      </c>
      <c r="AR17" s="10" t="e">
        <f>VLOOKUP('Input Sheet'!$P$3, Catchup!AR3:AS14, 2, FALSE)</f>
        <v>#N/A</v>
      </c>
      <c r="AU17">
        <v>7.1</v>
      </c>
      <c r="AV17">
        <v>0.25714333846153914</v>
      </c>
      <c r="AW17">
        <v>2.4373800000000001E-2</v>
      </c>
      <c r="AX17">
        <v>2.4354000000000001E-2</v>
      </c>
      <c r="AY17">
        <v>2.4373800000000001E-2</v>
      </c>
      <c r="AZ17">
        <v>2.4354000000000001E-2</v>
      </c>
      <c r="BA17">
        <v>2.4373800000000001E-2</v>
      </c>
      <c r="BB17">
        <v>2.4354000000000001E-2</v>
      </c>
      <c r="BC17">
        <v>2.4373800000000001E-2</v>
      </c>
      <c r="BD17">
        <v>1.8513000000000002E-2</v>
      </c>
      <c r="BE17">
        <v>1.2672000000000003E-2</v>
      </c>
      <c r="BF17">
        <v>1.2672000000000003E-2</v>
      </c>
      <c r="BG17">
        <v>1.2672000000000003E-2</v>
      </c>
      <c r="BH17">
        <v>1.2672000000000003E-2</v>
      </c>
      <c r="BI17">
        <v>1.2672000000000003E-2</v>
      </c>
      <c r="BJ17">
        <v>1.2672000000000003E-2</v>
      </c>
      <c r="BK17">
        <v>1.2672000000000003E-2</v>
      </c>
      <c r="BL17">
        <v>1.2672000000000003E-2</v>
      </c>
      <c r="BM17">
        <v>1.2672000000000003E-2</v>
      </c>
      <c r="BN17">
        <v>1.2672000000000003E-2</v>
      </c>
      <c r="BO17">
        <v>1.2672000000000003E-2</v>
      </c>
      <c r="BP17">
        <v>1.2672000000000003E-2</v>
      </c>
      <c r="BQ17">
        <v>1.2672000000000003E-2</v>
      </c>
      <c r="BR17">
        <v>1.2672000000000003E-2</v>
      </c>
      <c r="BS17">
        <v>1.2672000000000003E-2</v>
      </c>
      <c r="BT17">
        <v>1.2672000000000003E-2</v>
      </c>
      <c r="BU17">
        <v>1.2672000000000003E-2</v>
      </c>
      <c r="BV17">
        <v>1.2672000000000003E-2</v>
      </c>
      <c r="BW17">
        <v>1.2672000000000003E-2</v>
      </c>
      <c r="BX17">
        <v>1.2672000000000003E-2</v>
      </c>
      <c r="BY17">
        <v>1.2672000000000003E-2</v>
      </c>
      <c r="BZ17">
        <v>1.2672000000000003E-2</v>
      </c>
      <c r="CA17">
        <v>1.2672000000000003E-2</v>
      </c>
      <c r="CB17">
        <v>7.9199999999954307E-4</v>
      </c>
    </row>
    <row r="18" spans="3:86" x14ac:dyDescent="0.25">
      <c r="C18" s="21">
        <f t="shared" si="1"/>
        <v>48943.75</v>
      </c>
      <c r="D18" s="3">
        <v>15592.500000000002</v>
      </c>
      <c r="E18" s="3">
        <v>23076.923076923078</v>
      </c>
      <c r="F18" s="3">
        <v>12672.000000000002</v>
      </c>
      <c r="G18" s="22"/>
      <c r="H18" s="22"/>
      <c r="I18" s="26">
        <f>Table134[[#This Row],[Year]]</f>
        <v>48943.75</v>
      </c>
      <c r="J18" s="27">
        <f>Table134[[#This Row],[Estimate]]+J17</f>
        <v>405252.00000000012</v>
      </c>
      <c r="K18" s="27">
        <f>Table134[[#This Row],[Without CS]]+K17</f>
        <v>369230.76923076913</v>
      </c>
      <c r="L18" s="27">
        <f t="shared" si="0"/>
        <v>36021.230769230984</v>
      </c>
      <c r="N18">
        <v>1.2672000000000003E-2</v>
      </c>
      <c r="O18">
        <v>2.3076923076923078E-2</v>
      </c>
      <c r="Q18">
        <v>1.2672000000000003E-2</v>
      </c>
      <c r="R18">
        <v>2.3076923076923078E-2</v>
      </c>
      <c r="T18">
        <v>1.2672000000000003E-2</v>
      </c>
      <c r="U18">
        <v>2.3076923076923078E-2</v>
      </c>
      <c r="W18">
        <v>1.2672000000000003E-2</v>
      </c>
      <c r="X18">
        <v>2.3076923076923078E-2</v>
      </c>
      <c r="Z18">
        <v>1.2672000000000003E-2</v>
      </c>
      <c r="AA18">
        <v>2.3076923076923078E-2</v>
      </c>
      <c r="AC18">
        <v>1.2672000000000003E-2</v>
      </c>
      <c r="AD18">
        <v>2.3076923076923078E-2</v>
      </c>
      <c r="AF18">
        <v>1.2672000000000003E-2</v>
      </c>
      <c r="AG18">
        <v>2.3076923076923078E-2</v>
      </c>
      <c r="AI18">
        <v>1.2672000000000003E-2</v>
      </c>
      <c r="AJ18">
        <v>2.3076923076923078E-2</v>
      </c>
      <c r="AL18">
        <v>1.2672000000000003E-2</v>
      </c>
      <c r="AM18">
        <v>2.3076923076923078E-2</v>
      </c>
      <c r="AO18">
        <v>1.2672000000000003E-2</v>
      </c>
      <c r="AP18">
        <v>2.3076923076923078E-2</v>
      </c>
      <c r="AU18">
        <v>7.2</v>
      </c>
      <c r="AV18">
        <v>0.17208499090909091</v>
      </c>
      <c r="AW18">
        <v>3.2405400000000001E-2</v>
      </c>
      <c r="AX18">
        <v>3.2386499999999999E-2</v>
      </c>
      <c r="AY18">
        <v>3.2405400000000001E-2</v>
      </c>
      <c r="AZ18">
        <v>3.2386499999999999E-2</v>
      </c>
      <c r="BA18">
        <v>3.2405400000000001E-2</v>
      </c>
      <c r="BB18">
        <v>3.2386499999999999E-2</v>
      </c>
      <c r="BC18">
        <v>3.2405400000000001E-2</v>
      </c>
      <c r="BD18">
        <v>2.6811000000000001E-2</v>
      </c>
      <c r="BE18">
        <v>2.1235500000000001E-2</v>
      </c>
      <c r="BF18">
        <v>2.1235500000000001E-2</v>
      </c>
      <c r="BG18">
        <v>2.1235500000000001E-2</v>
      </c>
      <c r="BH18">
        <v>2.1235500000000001E-2</v>
      </c>
      <c r="BI18">
        <v>2.1235500000000001E-2</v>
      </c>
      <c r="BJ18">
        <v>2.1235500000000001E-2</v>
      </c>
      <c r="BK18">
        <v>2.1235500000000001E-2</v>
      </c>
      <c r="BL18">
        <v>2.1235500000000001E-2</v>
      </c>
      <c r="BM18">
        <v>2.1235500000000001E-2</v>
      </c>
      <c r="BN18">
        <v>2.1235500000000001E-2</v>
      </c>
      <c r="BO18">
        <v>2.1235500000000001E-2</v>
      </c>
      <c r="BP18">
        <v>1.1641500000000001E-2</v>
      </c>
      <c r="BQ18" s="32"/>
      <c r="BR18" s="32"/>
    </row>
    <row r="19" spans="3:86" x14ac:dyDescent="0.25">
      <c r="C19" s="21">
        <f t="shared" si="1"/>
        <v>49309</v>
      </c>
      <c r="D19" s="3">
        <v>12672.000000000002</v>
      </c>
      <c r="E19" s="3">
        <v>23076.923076923078</v>
      </c>
      <c r="F19" s="3">
        <v>12672.000000000002</v>
      </c>
      <c r="G19" s="22"/>
      <c r="H19" s="22"/>
      <c r="I19" s="26">
        <f>Table134[[#This Row],[Year]]</f>
        <v>49309</v>
      </c>
      <c r="J19" s="27">
        <f>Table134[[#This Row],[Estimate]]+J18</f>
        <v>417924.00000000012</v>
      </c>
      <c r="K19" s="27">
        <f>Table134[[#This Row],[Without CS]]+K18</f>
        <v>392307.6923076922</v>
      </c>
      <c r="L19" s="27">
        <f t="shared" si="0"/>
        <v>25616.307692307921</v>
      </c>
      <c r="N19">
        <v>1.2672000000000003E-2</v>
      </c>
      <c r="O19">
        <v>2.3076923076923078E-2</v>
      </c>
      <c r="Q19">
        <v>1.2672000000000003E-2</v>
      </c>
      <c r="R19">
        <v>2.3076923076923078E-2</v>
      </c>
      <c r="T19">
        <v>1.2672000000000003E-2</v>
      </c>
      <c r="U19">
        <v>2.3076923076923078E-2</v>
      </c>
      <c r="W19">
        <v>1.2672000000000003E-2</v>
      </c>
      <c r="X19">
        <v>2.3076923076923078E-2</v>
      </c>
      <c r="Z19">
        <v>1.2672000000000003E-2</v>
      </c>
      <c r="AA19">
        <v>2.3076923076923078E-2</v>
      </c>
      <c r="AC19">
        <v>1.2672000000000003E-2</v>
      </c>
      <c r="AD19">
        <v>2.3076923076923078E-2</v>
      </c>
      <c r="AF19">
        <v>1.2672000000000003E-2</v>
      </c>
      <c r="AG19">
        <v>2.3076923076923078E-2</v>
      </c>
      <c r="AI19">
        <v>1.2672000000000003E-2</v>
      </c>
      <c r="AJ19">
        <v>2.3076923076923078E-2</v>
      </c>
      <c r="AL19">
        <v>1.2672000000000003E-2</v>
      </c>
      <c r="AM19">
        <v>2.3076923076923078E-2</v>
      </c>
      <c r="AO19">
        <v>1.2672000000000003E-2</v>
      </c>
      <c r="AP19">
        <v>2.3076923076923078E-2</v>
      </c>
      <c r="AR19" t="s">
        <v>75</v>
      </c>
      <c r="AU19">
        <v>8.1</v>
      </c>
      <c r="AV19">
        <v>0.25844021538461603</v>
      </c>
      <c r="AW19">
        <v>2.4354000000000001E-2</v>
      </c>
      <c r="AX19">
        <v>2.4373800000000001E-2</v>
      </c>
      <c r="AY19">
        <v>2.4354000000000001E-2</v>
      </c>
      <c r="AZ19">
        <v>2.4373800000000001E-2</v>
      </c>
      <c r="BA19">
        <v>2.4354000000000001E-2</v>
      </c>
      <c r="BB19">
        <v>2.4373800000000001E-2</v>
      </c>
      <c r="BC19">
        <v>1.8513000000000002E-2</v>
      </c>
      <c r="BD19">
        <v>1.2672000000000003E-2</v>
      </c>
      <c r="BE19">
        <v>1.2672000000000003E-2</v>
      </c>
      <c r="BF19">
        <v>1.2672000000000003E-2</v>
      </c>
      <c r="BG19">
        <v>1.2672000000000003E-2</v>
      </c>
      <c r="BH19">
        <v>1.2672000000000003E-2</v>
      </c>
      <c r="BI19">
        <v>1.2672000000000003E-2</v>
      </c>
      <c r="BJ19">
        <v>1.2672000000000003E-2</v>
      </c>
      <c r="BK19">
        <v>1.2672000000000003E-2</v>
      </c>
      <c r="BL19">
        <v>1.2672000000000003E-2</v>
      </c>
      <c r="BM19">
        <v>1.2672000000000003E-2</v>
      </c>
      <c r="BN19">
        <v>1.2672000000000003E-2</v>
      </c>
      <c r="BO19">
        <v>1.2672000000000003E-2</v>
      </c>
      <c r="BP19">
        <v>1.2672000000000003E-2</v>
      </c>
      <c r="BQ19">
        <v>1.2672000000000003E-2</v>
      </c>
      <c r="BR19">
        <v>1.2672000000000003E-2</v>
      </c>
      <c r="BS19">
        <v>1.2672000000000003E-2</v>
      </c>
      <c r="BT19">
        <v>1.2672000000000003E-2</v>
      </c>
      <c r="BU19">
        <v>1.2672000000000003E-2</v>
      </c>
      <c r="BV19">
        <v>1.2672000000000003E-2</v>
      </c>
      <c r="BW19">
        <v>1.2672000000000003E-2</v>
      </c>
      <c r="BX19">
        <v>1.2672000000000003E-2</v>
      </c>
      <c r="BY19">
        <v>1.2672000000000003E-2</v>
      </c>
      <c r="BZ19">
        <v>1.2672000000000003E-2</v>
      </c>
      <c r="CA19">
        <v>7.9199999999954307E-4</v>
      </c>
    </row>
    <row r="20" spans="3:86" x14ac:dyDescent="0.25">
      <c r="C20" s="21">
        <f t="shared" si="1"/>
        <v>49674.25</v>
      </c>
      <c r="D20" s="3">
        <v>12672.000000000002</v>
      </c>
      <c r="E20" s="3">
        <v>23076.923076923078</v>
      </c>
      <c r="F20" s="3">
        <v>12672.000000000002</v>
      </c>
      <c r="G20" s="22"/>
      <c r="H20" s="22"/>
      <c r="I20" s="26">
        <f>Table134[[#This Row],[Year]]</f>
        <v>49674.25</v>
      </c>
      <c r="J20" s="27">
        <f>Table134[[#This Row],[Estimate]]+J19</f>
        <v>430596.00000000012</v>
      </c>
      <c r="K20" s="27">
        <f>Table134[[#This Row],[Without CS]]+K19</f>
        <v>415384.61538461526</v>
      </c>
      <c r="L20" s="27">
        <f t="shared" si="0"/>
        <v>15211.384615384857</v>
      </c>
      <c r="N20">
        <v>1.2672000000000003E-2</v>
      </c>
      <c r="O20">
        <v>2.3076923076923078E-2</v>
      </c>
      <c r="Q20">
        <v>1.2672000000000003E-2</v>
      </c>
      <c r="R20">
        <v>2.3076923076923078E-2</v>
      </c>
      <c r="T20">
        <v>1.2672000000000003E-2</v>
      </c>
      <c r="U20">
        <v>2.3076923076923078E-2</v>
      </c>
      <c r="W20">
        <v>1.2672000000000003E-2</v>
      </c>
      <c r="X20">
        <v>2.3076923076923078E-2</v>
      </c>
      <c r="Z20">
        <v>1.2672000000000003E-2</v>
      </c>
      <c r="AA20">
        <v>2.3076923076923078E-2</v>
      </c>
      <c r="AC20">
        <v>1.2672000000000003E-2</v>
      </c>
      <c r="AD20">
        <v>2.3076923076923078E-2</v>
      </c>
      <c r="AF20">
        <v>1.2672000000000003E-2</v>
      </c>
      <c r="AG20">
        <v>2.3076923076923078E-2</v>
      </c>
      <c r="AI20">
        <v>1.2672000000000003E-2</v>
      </c>
      <c r="AJ20">
        <v>2.3076923076923078E-2</v>
      </c>
      <c r="AL20">
        <v>1.2672000000000003E-2</v>
      </c>
      <c r="AM20">
        <v>2.3076923076923078E-2</v>
      </c>
      <c r="AO20">
        <v>1.2672000000000003E-2</v>
      </c>
      <c r="AP20">
        <v>2.3076923076923078E-2</v>
      </c>
      <c r="AR20">
        <f>VLOOKUP('Input Sheet'!J3,Catchup!AR22:AS30,2,FALSE)</f>
        <v>0.2</v>
      </c>
      <c r="AU20">
        <v>8.1999999999999993</v>
      </c>
      <c r="AV20">
        <v>0.17176311818181816</v>
      </c>
      <c r="AW20">
        <v>3.2386499999999999E-2</v>
      </c>
      <c r="AX20">
        <v>3.2405400000000001E-2</v>
      </c>
      <c r="AY20">
        <v>3.2386499999999999E-2</v>
      </c>
      <c r="AZ20">
        <v>3.2405400000000001E-2</v>
      </c>
      <c r="BA20">
        <v>3.2386499999999999E-2</v>
      </c>
      <c r="BB20">
        <v>3.2405400000000001E-2</v>
      </c>
      <c r="BC20">
        <v>2.6811000000000001E-2</v>
      </c>
      <c r="BD20">
        <v>2.1235500000000001E-2</v>
      </c>
      <c r="BE20">
        <v>2.1235500000000001E-2</v>
      </c>
      <c r="BF20">
        <v>2.1235500000000001E-2</v>
      </c>
      <c r="BG20">
        <v>2.1235500000000001E-2</v>
      </c>
      <c r="BH20">
        <v>2.1235500000000001E-2</v>
      </c>
      <c r="BI20">
        <v>2.1235500000000001E-2</v>
      </c>
      <c r="BJ20">
        <v>2.1235500000000001E-2</v>
      </c>
      <c r="BK20">
        <v>2.1235500000000001E-2</v>
      </c>
      <c r="BL20">
        <v>2.1235500000000001E-2</v>
      </c>
      <c r="BM20">
        <v>2.1235500000000001E-2</v>
      </c>
      <c r="BN20">
        <v>2.1235500000000001E-2</v>
      </c>
      <c r="BO20">
        <v>1.1641500000000001E-2</v>
      </c>
      <c r="BP20" s="32"/>
      <c r="BQ20" s="32"/>
      <c r="BR20" s="32"/>
    </row>
    <row r="21" spans="3:86" x14ac:dyDescent="0.25">
      <c r="C21" s="21">
        <f t="shared" si="1"/>
        <v>50039.5</v>
      </c>
      <c r="D21" s="3">
        <v>12672.000000000002</v>
      </c>
      <c r="E21" s="3">
        <v>23076.923076923078</v>
      </c>
      <c r="F21" s="3">
        <v>12672.000000000002</v>
      </c>
      <c r="G21" s="22"/>
      <c r="H21" s="22"/>
      <c r="I21" s="26">
        <f>Table134[[#This Row],[Year]]</f>
        <v>50039.5</v>
      </c>
      <c r="J21" s="27">
        <f>Table134[[#This Row],[Estimate]]+J20</f>
        <v>443268.00000000012</v>
      </c>
      <c r="K21" s="27">
        <f>Table134[[#This Row],[Without CS]]+K20</f>
        <v>438461.53846153832</v>
      </c>
      <c r="L21" s="27">
        <f t="shared" si="0"/>
        <v>4806.4615384617937</v>
      </c>
      <c r="N21">
        <v>1.2672000000000003E-2</v>
      </c>
      <c r="O21">
        <v>2.3076923076923078E-2</v>
      </c>
      <c r="Q21">
        <v>1.2672000000000003E-2</v>
      </c>
      <c r="R21">
        <v>2.3076923076923078E-2</v>
      </c>
      <c r="T21">
        <v>1.2672000000000003E-2</v>
      </c>
      <c r="U21">
        <v>2.3076923076923078E-2</v>
      </c>
      <c r="W21">
        <v>1.2672000000000003E-2</v>
      </c>
      <c r="X21">
        <v>2.3076923076923078E-2</v>
      </c>
      <c r="Z21">
        <v>1.2672000000000003E-2</v>
      </c>
      <c r="AA21">
        <v>2.3076923076923078E-2</v>
      </c>
      <c r="AC21">
        <v>1.2672000000000003E-2</v>
      </c>
      <c r="AD21">
        <v>2.3076923076923078E-2</v>
      </c>
      <c r="AF21">
        <v>1.2672000000000003E-2</v>
      </c>
      <c r="AG21">
        <v>2.3076923076923078E-2</v>
      </c>
      <c r="AI21">
        <v>1.2672000000000003E-2</v>
      </c>
      <c r="AJ21">
        <v>2.3076923076923078E-2</v>
      </c>
      <c r="AL21">
        <v>1.2672000000000003E-2</v>
      </c>
      <c r="AM21">
        <v>2.3076923076923078E-2</v>
      </c>
      <c r="AO21">
        <v>1.2672000000000003E-2</v>
      </c>
      <c r="AP21">
        <v>2.3076923076923078E-2</v>
      </c>
      <c r="AU21">
        <v>9.1</v>
      </c>
      <c r="AV21">
        <v>0.25971729230769292</v>
      </c>
      <c r="AW21">
        <v>2.4373800000000001E-2</v>
      </c>
      <c r="AX21">
        <v>2.4354000000000001E-2</v>
      </c>
      <c r="AY21">
        <v>2.4373800000000001E-2</v>
      </c>
      <c r="AZ21">
        <v>2.4354000000000001E-2</v>
      </c>
      <c r="BA21">
        <v>2.4373800000000001E-2</v>
      </c>
      <c r="BB21">
        <v>1.8513000000000002E-2</v>
      </c>
      <c r="BC21">
        <v>1.2672000000000003E-2</v>
      </c>
      <c r="BD21">
        <v>1.2672000000000003E-2</v>
      </c>
      <c r="BE21">
        <v>1.2672000000000003E-2</v>
      </c>
      <c r="BF21">
        <v>1.2672000000000003E-2</v>
      </c>
      <c r="BG21">
        <v>1.2672000000000003E-2</v>
      </c>
      <c r="BH21">
        <v>1.2672000000000003E-2</v>
      </c>
      <c r="BI21">
        <v>1.2672000000000003E-2</v>
      </c>
      <c r="BJ21">
        <v>1.2672000000000003E-2</v>
      </c>
      <c r="BK21">
        <v>1.2672000000000003E-2</v>
      </c>
      <c r="BL21">
        <v>1.2672000000000003E-2</v>
      </c>
      <c r="BM21">
        <v>1.2672000000000003E-2</v>
      </c>
      <c r="BN21">
        <v>1.2672000000000003E-2</v>
      </c>
      <c r="BO21">
        <v>1.2672000000000003E-2</v>
      </c>
      <c r="BP21">
        <v>1.2672000000000003E-2</v>
      </c>
      <c r="BQ21">
        <v>1.2672000000000003E-2</v>
      </c>
      <c r="BR21">
        <v>1.2672000000000003E-2</v>
      </c>
      <c r="BS21">
        <v>1.2672000000000003E-2</v>
      </c>
      <c r="BT21">
        <v>1.2672000000000003E-2</v>
      </c>
      <c r="BU21">
        <v>1.2672000000000003E-2</v>
      </c>
      <c r="BV21">
        <v>1.2672000000000003E-2</v>
      </c>
      <c r="BW21">
        <v>1.2672000000000003E-2</v>
      </c>
      <c r="BX21">
        <v>1.2672000000000003E-2</v>
      </c>
      <c r="BY21">
        <v>1.2672000000000003E-2</v>
      </c>
      <c r="BZ21">
        <v>7.9199999999954307E-4</v>
      </c>
    </row>
    <row r="22" spans="3:86" x14ac:dyDescent="0.25">
      <c r="C22" s="21">
        <f t="shared" si="1"/>
        <v>50404.75</v>
      </c>
      <c r="D22" s="3">
        <v>12672.000000000002</v>
      </c>
      <c r="E22" s="3">
        <v>23076.923076923078</v>
      </c>
      <c r="F22" s="3">
        <v>12672.000000000002</v>
      </c>
      <c r="G22" s="22"/>
      <c r="H22" s="22"/>
      <c r="I22" s="26">
        <f>Table134[[#This Row],[Year]]</f>
        <v>50404.75</v>
      </c>
      <c r="J22" s="27">
        <f>Table134[[#This Row],[Estimate]]+J21</f>
        <v>455940.00000000012</v>
      </c>
      <c r="K22" s="27">
        <f>Table134[[#This Row],[Without CS]]+K21</f>
        <v>461538.46153846139</v>
      </c>
      <c r="L22" s="27">
        <f t="shared" si="0"/>
        <v>-5598.4615384612698</v>
      </c>
      <c r="N22">
        <v>1.2672000000000003E-2</v>
      </c>
      <c r="O22">
        <v>2.3076923076923078E-2</v>
      </c>
      <c r="Q22">
        <v>1.2672000000000003E-2</v>
      </c>
      <c r="R22">
        <v>2.3076923076923078E-2</v>
      </c>
      <c r="T22">
        <v>1.2672000000000003E-2</v>
      </c>
      <c r="U22">
        <v>2.3076923076923078E-2</v>
      </c>
      <c r="W22">
        <v>1.2672000000000003E-2</v>
      </c>
      <c r="X22">
        <v>2.3076923076923078E-2</v>
      </c>
      <c r="Z22">
        <v>1.2672000000000003E-2</v>
      </c>
      <c r="AA22">
        <v>2.3076923076923078E-2</v>
      </c>
      <c r="AC22">
        <v>1.2672000000000003E-2</v>
      </c>
      <c r="AD22">
        <v>2.3076923076923078E-2</v>
      </c>
      <c r="AF22">
        <v>1.2672000000000003E-2</v>
      </c>
      <c r="AG22">
        <v>2.3076923076923078E-2</v>
      </c>
      <c r="AI22">
        <v>1.2672000000000003E-2</v>
      </c>
      <c r="AJ22">
        <v>2.3076923076923078E-2</v>
      </c>
      <c r="AL22">
        <v>1.2672000000000003E-2</v>
      </c>
      <c r="AM22">
        <v>2.3076923076923078E-2</v>
      </c>
      <c r="AO22">
        <v>1.2672000000000003E-2</v>
      </c>
      <c r="AP22">
        <v>2.3076923076923078E-2</v>
      </c>
      <c r="AR22" t="s">
        <v>23</v>
      </c>
      <c r="AS22">
        <v>0.1</v>
      </c>
      <c r="AU22">
        <v>9.1999999999999993</v>
      </c>
      <c r="AV22" s="29">
        <v>0.17142234545454546</v>
      </c>
      <c r="AW22" s="29">
        <v>3.2405400000000001E-2</v>
      </c>
      <c r="AX22" s="29">
        <v>3.2386499999999999E-2</v>
      </c>
      <c r="AY22" s="29">
        <v>3.2405400000000001E-2</v>
      </c>
      <c r="AZ22" s="29">
        <v>3.2386499999999999E-2</v>
      </c>
      <c r="BA22" s="29">
        <v>3.2405400000000001E-2</v>
      </c>
      <c r="BB22" s="29">
        <v>2.6811000000000001E-2</v>
      </c>
      <c r="BC22" s="29">
        <v>2.1235500000000001E-2</v>
      </c>
      <c r="BD22" s="29">
        <v>2.1235500000000001E-2</v>
      </c>
      <c r="BE22" s="29">
        <v>2.1235500000000001E-2</v>
      </c>
      <c r="BF22" s="29">
        <v>2.1235500000000001E-2</v>
      </c>
      <c r="BG22" s="29">
        <v>2.1235500000000001E-2</v>
      </c>
      <c r="BH22" s="29">
        <v>2.1235500000000001E-2</v>
      </c>
      <c r="BI22" s="29">
        <v>2.1235500000000001E-2</v>
      </c>
      <c r="BJ22" s="29">
        <v>2.1235500000000001E-2</v>
      </c>
      <c r="BK22" s="29">
        <v>2.1235500000000001E-2</v>
      </c>
      <c r="BL22" s="29">
        <v>2.1235500000000001E-2</v>
      </c>
      <c r="BM22" s="29">
        <v>2.1235500000000001E-2</v>
      </c>
      <c r="BN22" s="29">
        <v>1.1641500000000001E-2</v>
      </c>
      <c r="BO22" s="32"/>
      <c r="BP22" s="32"/>
      <c r="BQ22" s="32"/>
      <c r="BR22" s="32"/>
    </row>
    <row r="23" spans="3:86" x14ac:dyDescent="0.25">
      <c r="C23" s="21">
        <f t="shared" si="1"/>
        <v>50770</v>
      </c>
      <c r="D23" s="3">
        <v>12672.000000000002</v>
      </c>
      <c r="E23" s="3">
        <v>23076.923076923078</v>
      </c>
      <c r="F23" s="3">
        <v>12672.000000000002</v>
      </c>
      <c r="G23" s="22"/>
      <c r="H23" s="22"/>
      <c r="I23" s="26">
        <f>Table134[[#This Row],[Year]]</f>
        <v>50770</v>
      </c>
      <c r="J23" s="27">
        <f>Table134[[#This Row],[Estimate]]+J22</f>
        <v>468612.00000000012</v>
      </c>
      <c r="K23" s="27">
        <f>Table134[[#This Row],[Without CS]]+K22</f>
        <v>484615.38461538445</v>
      </c>
      <c r="L23" s="27">
        <f t="shared" si="0"/>
        <v>-16003.384615384333</v>
      </c>
      <c r="N23">
        <v>1.2672000000000003E-2</v>
      </c>
      <c r="O23">
        <v>2.3076923076923078E-2</v>
      </c>
      <c r="Q23">
        <v>1.2672000000000003E-2</v>
      </c>
      <c r="R23">
        <v>2.3076923076923078E-2</v>
      </c>
      <c r="T23">
        <v>1.2672000000000003E-2</v>
      </c>
      <c r="U23">
        <v>2.3076923076923078E-2</v>
      </c>
      <c r="W23">
        <v>1.2672000000000003E-2</v>
      </c>
      <c r="X23">
        <v>2.3076923076923078E-2</v>
      </c>
      <c r="Z23">
        <v>1.2672000000000003E-2</v>
      </c>
      <c r="AA23">
        <v>2.3076923076923078E-2</v>
      </c>
      <c r="AC23">
        <v>1.2672000000000003E-2</v>
      </c>
      <c r="AD23">
        <v>2.3076923076923078E-2</v>
      </c>
      <c r="AF23">
        <v>1.2672000000000003E-2</v>
      </c>
      <c r="AG23">
        <v>2.3076923076923078E-2</v>
      </c>
      <c r="AI23">
        <v>1.2672000000000003E-2</v>
      </c>
      <c r="AJ23">
        <v>2.3076923076923078E-2</v>
      </c>
      <c r="AL23">
        <v>1.2672000000000003E-2</v>
      </c>
      <c r="AM23">
        <v>2.3076923076923078E-2</v>
      </c>
      <c r="AO23">
        <v>1.2672000000000003E-2</v>
      </c>
      <c r="AP23">
        <v>2.3076923076923078E-2</v>
      </c>
      <c r="AR23" t="s">
        <v>24</v>
      </c>
      <c r="AS23">
        <v>0.1</v>
      </c>
      <c r="AU23">
        <v>10.1</v>
      </c>
      <c r="AV23">
        <v>0.26101416923076981</v>
      </c>
      <c r="AW23">
        <v>2.4354000000000001E-2</v>
      </c>
      <c r="AX23">
        <v>2.4373800000000001E-2</v>
      </c>
      <c r="AY23">
        <v>2.4354000000000001E-2</v>
      </c>
      <c r="AZ23">
        <v>2.4373800000000001E-2</v>
      </c>
      <c r="BA23">
        <v>1.8513000000000002E-2</v>
      </c>
      <c r="BB23">
        <v>1.2672000000000003E-2</v>
      </c>
      <c r="BC23">
        <v>1.2672000000000003E-2</v>
      </c>
      <c r="BD23">
        <v>1.2672000000000003E-2</v>
      </c>
      <c r="BE23">
        <v>1.2672000000000003E-2</v>
      </c>
      <c r="BF23">
        <v>1.2672000000000003E-2</v>
      </c>
      <c r="BG23">
        <v>1.2672000000000003E-2</v>
      </c>
      <c r="BH23">
        <v>1.2672000000000003E-2</v>
      </c>
      <c r="BI23">
        <v>1.2672000000000003E-2</v>
      </c>
      <c r="BJ23">
        <v>1.2672000000000003E-2</v>
      </c>
      <c r="BK23">
        <v>1.2672000000000003E-2</v>
      </c>
      <c r="BL23">
        <v>1.2672000000000003E-2</v>
      </c>
      <c r="BM23">
        <v>1.2672000000000003E-2</v>
      </c>
      <c r="BN23">
        <v>1.2672000000000003E-2</v>
      </c>
      <c r="BO23">
        <v>1.2672000000000003E-2</v>
      </c>
      <c r="BP23">
        <v>1.2672000000000003E-2</v>
      </c>
      <c r="BQ23">
        <v>1.2672000000000003E-2</v>
      </c>
      <c r="BR23">
        <v>1.2672000000000003E-2</v>
      </c>
      <c r="BS23">
        <v>1.2672000000000003E-2</v>
      </c>
      <c r="BT23">
        <v>1.2672000000000003E-2</v>
      </c>
      <c r="BU23">
        <v>1.2672000000000003E-2</v>
      </c>
      <c r="BV23">
        <v>1.2672000000000003E-2</v>
      </c>
      <c r="BW23">
        <v>1.2672000000000003E-2</v>
      </c>
      <c r="BX23">
        <v>1.2672000000000003E-2</v>
      </c>
      <c r="BY23">
        <v>7.9199999999954307E-4</v>
      </c>
    </row>
    <row r="24" spans="3:86" x14ac:dyDescent="0.25">
      <c r="C24" s="21">
        <f t="shared" si="1"/>
        <v>51135.25</v>
      </c>
      <c r="D24" s="3">
        <v>12672.000000000002</v>
      </c>
      <c r="E24" s="3">
        <v>23076.923076923078</v>
      </c>
      <c r="F24" s="3">
        <v>12672.000000000002</v>
      </c>
      <c r="G24" s="22"/>
      <c r="H24" s="22"/>
      <c r="I24" s="26">
        <f>Table134[[#This Row],[Year]]</f>
        <v>51135.25</v>
      </c>
      <c r="J24" s="27">
        <f>Table134[[#This Row],[Estimate]]+J23</f>
        <v>481284.00000000012</v>
      </c>
      <c r="K24" s="27">
        <f>Table134[[#This Row],[Without CS]]+K23</f>
        <v>507692.30769230751</v>
      </c>
      <c r="L24" s="27">
        <f t="shared" si="0"/>
        <v>-26408.307692307397</v>
      </c>
      <c r="N24">
        <v>1.2672000000000003E-2</v>
      </c>
      <c r="O24">
        <v>2.3076923076923078E-2</v>
      </c>
      <c r="Q24">
        <v>1.2672000000000003E-2</v>
      </c>
      <c r="R24">
        <v>2.3076923076923078E-2</v>
      </c>
      <c r="T24">
        <v>1.2672000000000003E-2</v>
      </c>
      <c r="U24">
        <v>2.3076923076923078E-2</v>
      </c>
      <c r="W24">
        <v>1.2672000000000003E-2</v>
      </c>
      <c r="X24">
        <v>2.3076923076923078E-2</v>
      </c>
      <c r="Z24">
        <v>1.2672000000000003E-2</v>
      </c>
      <c r="AA24">
        <v>2.3076923076923078E-2</v>
      </c>
      <c r="AC24">
        <v>1.2672000000000003E-2</v>
      </c>
      <c r="AD24">
        <v>2.3076923076923078E-2</v>
      </c>
      <c r="AF24">
        <v>1.2672000000000003E-2</v>
      </c>
      <c r="AG24">
        <v>2.3076923076923078E-2</v>
      </c>
      <c r="AI24">
        <v>1.2672000000000003E-2</v>
      </c>
      <c r="AJ24">
        <v>2.3076923076923078E-2</v>
      </c>
      <c r="AL24">
        <v>1.2672000000000003E-2</v>
      </c>
      <c r="AM24">
        <v>2.3076923076923078E-2</v>
      </c>
      <c r="AO24">
        <v>1.2672000000000003E-2</v>
      </c>
      <c r="AP24">
        <v>2.3076923076923078E-2</v>
      </c>
      <c r="AR24" t="s">
        <v>25</v>
      </c>
      <c r="AS24">
        <v>0.1</v>
      </c>
      <c r="AU24">
        <v>10.199999999999999</v>
      </c>
      <c r="AV24" s="29">
        <v>0.17110047272727275</v>
      </c>
      <c r="AW24" s="29">
        <v>3.2386499999999999E-2</v>
      </c>
      <c r="AX24" s="29">
        <v>3.2405400000000001E-2</v>
      </c>
      <c r="AY24" s="29">
        <v>3.2386499999999999E-2</v>
      </c>
      <c r="AZ24" s="29">
        <v>3.2405400000000001E-2</v>
      </c>
      <c r="BA24" s="29">
        <v>2.6811000000000001E-2</v>
      </c>
      <c r="BB24" s="29">
        <v>2.1235500000000001E-2</v>
      </c>
      <c r="BC24" s="29">
        <v>2.1235500000000001E-2</v>
      </c>
      <c r="BD24" s="29">
        <v>2.1235500000000001E-2</v>
      </c>
      <c r="BE24" s="29">
        <v>2.1235500000000001E-2</v>
      </c>
      <c r="BF24" s="29">
        <v>2.1235500000000001E-2</v>
      </c>
      <c r="BG24" s="29">
        <v>2.1235500000000001E-2</v>
      </c>
      <c r="BH24" s="29">
        <v>2.1235500000000001E-2</v>
      </c>
      <c r="BI24" s="29">
        <v>2.1235500000000001E-2</v>
      </c>
      <c r="BJ24" s="29">
        <v>2.1235500000000001E-2</v>
      </c>
      <c r="BK24" s="29">
        <v>2.1235500000000001E-2</v>
      </c>
      <c r="BL24" s="29">
        <v>2.1235500000000001E-2</v>
      </c>
      <c r="BM24" s="29">
        <v>1.1641500000000001E-2</v>
      </c>
      <c r="BN24" s="32"/>
      <c r="BO24" s="32"/>
      <c r="BP24" s="32"/>
      <c r="BQ24" s="32"/>
      <c r="BR24" s="32"/>
    </row>
    <row r="25" spans="3:86" x14ac:dyDescent="0.25">
      <c r="C25" s="21">
        <f t="shared" si="1"/>
        <v>51500.5</v>
      </c>
      <c r="D25" s="3">
        <v>12672.000000000002</v>
      </c>
      <c r="E25" s="3">
        <v>23076.923076923078</v>
      </c>
      <c r="F25" s="3">
        <v>12672.000000000002</v>
      </c>
      <c r="G25" s="22"/>
      <c r="H25" s="22"/>
      <c r="I25" s="26">
        <f>Table134[[#This Row],[Year]]</f>
        <v>51500.5</v>
      </c>
      <c r="J25" s="27">
        <f>Table134[[#This Row],[Estimate]]+J24</f>
        <v>493956.00000000012</v>
      </c>
      <c r="K25" s="27">
        <f>Table134[[#This Row],[Without CS]]+K24</f>
        <v>530769.23076923063</v>
      </c>
      <c r="L25" s="27">
        <f t="shared" si="0"/>
        <v>-36813.230769230518</v>
      </c>
      <c r="N25">
        <v>1.2672000000000003E-2</v>
      </c>
      <c r="O25">
        <v>2.3076923076923078E-2</v>
      </c>
      <c r="Q25">
        <v>1.2672000000000003E-2</v>
      </c>
      <c r="R25">
        <v>2.3076923076923078E-2</v>
      </c>
      <c r="T25">
        <v>1.2672000000000003E-2</v>
      </c>
      <c r="U25">
        <v>2.3076923076923078E-2</v>
      </c>
      <c r="W25">
        <v>1.2672000000000003E-2</v>
      </c>
      <c r="X25">
        <v>2.3076923076923078E-2</v>
      </c>
      <c r="Z25">
        <v>1.2672000000000003E-2</v>
      </c>
      <c r="AA25">
        <v>2.3076923076923078E-2</v>
      </c>
      <c r="AC25">
        <v>1.2672000000000003E-2</v>
      </c>
      <c r="AD25">
        <v>2.3076923076923078E-2</v>
      </c>
      <c r="AF25">
        <v>1.2672000000000003E-2</v>
      </c>
      <c r="AG25">
        <v>2.3076923076923078E-2</v>
      </c>
      <c r="AI25">
        <v>1.2672000000000003E-2</v>
      </c>
      <c r="AJ25">
        <v>2.3076923076923078E-2</v>
      </c>
      <c r="AL25">
        <v>1.2672000000000003E-2</v>
      </c>
      <c r="AM25">
        <v>2.3076923076923078E-2</v>
      </c>
      <c r="AO25">
        <v>1.2672000000000003E-2</v>
      </c>
      <c r="AP25">
        <v>2.3076923076923078E-2</v>
      </c>
      <c r="AR25" t="s">
        <v>26</v>
      </c>
      <c r="AS25">
        <v>0.1</v>
      </c>
      <c r="AW25" s="32"/>
      <c r="AX25" s="32"/>
      <c r="AY25" s="32"/>
      <c r="AZ25" s="32"/>
      <c r="BA25" s="32"/>
      <c r="BB25" s="32"/>
      <c r="BC25" s="32"/>
      <c r="BD25" s="32"/>
      <c r="BE25" s="32"/>
      <c r="BF25" s="32"/>
      <c r="BG25" s="32"/>
      <c r="BH25" s="32"/>
      <c r="BI25" s="32"/>
      <c r="BJ25" s="32"/>
      <c r="BK25" s="32"/>
      <c r="BL25" s="32"/>
      <c r="BM25" s="32"/>
      <c r="BN25" s="32"/>
      <c r="BO25" s="32"/>
      <c r="BP25" s="32"/>
      <c r="BQ25" s="32"/>
      <c r="BR25" s="32"/>
    </row>
    <row r="26" spans="3:86" x14ac:dyDescent="0.25">
      <c r="C26" s="21">
        <f t="shared" si="1"/>
        <v>51865.75</v>
      </c>
      <c r="D26" s="3">
        <v>12672.000000000002</v>
      </c>
      <c r="E26" s="3">
        <v>23076.923076923078</v>
      </c>
      <c r="F26" s="3">
        <v>12672.000000000002</v>
      </c>
      <c r="G26" s="22"/>
      <c r="H26" s="22"/>
      <c r="I26" s="26">
        <f>Table134[[#This Row],[Year]]</f>
        <v>51865.75</v>
      </c>
      <c r="J26" s="27">
        <f>Table134[[#This Row],[Estimate]]+J25</f>
        <v>506628.00000000012</v>
      </c>
      <c r="K26" s="27">
        <f>Table134[[#This Row],[Without CS]]+K25</f>
        <v>553846.15384615376</v>
      </c>
      <c r="L26" s="27">
        <f t="shared" si="0"/>
        <v>-47218.15384615364</v>
      </c>
      <c r="N26">
        <v>1.2672000000000003E-2</v>
      </c>
      <c r="O26">
        <v>2.3076923076923078E-2</v>
      </c>
      <c r="Q26">
        <v>1.2672000000000003E-2</v>
      </c>
      <c r="R26">
        <v>2.3076923076923078E-2</v>
      </c>
      <c r="T26">
        <v>1.2672000000000003E-2</v>
      </c>
      <c r="U26">
        <v>2.3076923076923078E-2</v>
      </c>
      <c r="W26">
        <v>1.2672000000000003E-2</v>
      </c>
      <c r="X26">
        <v>2.3076923076923078E-2</v>
      </c>
      <c r="Z26">
        <v>1.2672000000000003E-2</v>
      </c>
      <c r="AA26">
        <v>2.3076923076923078E-2</v>
      </c>
      <c r="AC26">
        <v>1.2672000000000003E-2</v>
      </c>
      <c r="AD26">
        <v>2.3076923076923078E-2</v>
      </c>
      <c r="AF26">
        <v>1.2672000000000003E-2</v>
      </c>
      <c r="AG26">
        <v>2.3076923076923078E-2</v>
      </c>
      <c r="AI26">
        <v>1.2672000000000003E-2</v>
      </c>
      <c r="AJ26">
        <v>2.3076923076923078E-2</v>
      </c>
      <c r="AL26">
        <v>1.2672000000000003E-2</v>
      </c>
      <c r="AM26">
        <v>2.3076923076923078E-2</v>
      </c>
      <c r="AO26">
        <v>1.2672000000000003E-2</v>
      </c>
      <c r="AP26">
        <v>2.3076923076923078E-2</v>
      </c>
      <c r="AR26" t="s">
        <v>27</v>
      </c>
      <c r="AS26">
        <v>0.1</v>
      </c>
      <c r="AW26" s="32"/>
      <c r="AX26" s="32"/>
      <c r="AY26" s="32"/>
      <c r="AZ26" s="32"/>
      <c r="BA26" s="32"/>
      <c r="BB26" s="32"/>
      <c r="BC26" s="32"/>
      <c r="BD26" s="32"/>
      <c r="BE26" s="32"/>
      <c r="BF26" s="32"/>
      <c r="BG26" s="32"/>
      <c r="BH26" s="32"/>
      <c r="BI26" s="32"/>
      <c r="BJ26" s="32"/>
      <c r="BK26" s="32"/>
      <c r="BL26" s="32"/>
      <c r="BM26" s="32"/>
      <c r="BN26" s="32"/>
      <c r="BO26" s="32"/>
      <c r="BP26" s="32"/>
      <c r="BQ26" s="32"/>
      <c r="BR26" s="32"/>
    </row>
    <row r="27" spans="3:86" x14ac:dyDescent="0.25">
      <c r="C27" s="21">
        <f t="shared" si="1"/>
        <v>52231</v>
      </c>
      <c r="D27" s="3">
        <v>12672.000000000002</v>
      </c>
      <c r="E27" s="3">
        <v>23076.923076923078</v>
      </c>
      <c r="F27" s="3">
        <v>12672.000000000002</v>
      </c>
      <c r="G27" s="22"/>
      <c r="H27" s="22"/>
      <c r="I27" s="26">
        <f>Table134[[#This Row],[Year]]</f>
        <v>52231</v>
      </c>
      <c r="J27" s="27">
        <f>Table134[[#This Row],[Estimate]]+J26</f>
        <v>519300.00000000012</v>
      </c>
      <c r="K27" s="27">
        <f>Table134[[#This Row],[Without CS]]+K26</f>
        <v>576923.07692307688</v>
      </c>
      <c r="L27" s="27">
        <f t="shared" si="0"/>
        <v>-57623.076923076762</v>
      </c>
      <c r="N27">
        <v>1.2672000000000003E-2</v>
      </c>
      <c r="O27">
        <v>2.3076923076923078E-2</v>
      </c>
      <c r="Q27">
        <v>1.2672000000000003E-2</v>
      </c>
      <c r="R27">
        <v>2.3076923076923078E-2</v>
      </c>
      <c r="T27">
        <v>1.2672000000000003E-2</v>
      </c>
      <c r="U27">
        <v>2.3076923076923078E-2</v>
      </c>
      <c r="W27">
        <v>1.2672000000000003E-2</v>
      </c>
      <c r="X27">
        <v>2.3076923076923078E-2</v>
      </c>
      <c r="Z27">
        <v>1.2672000000000003E-2</v>
      </c>
      <c r="AA27">
        <v>2.3076923076923078E-2</v>
      </c>
      <c r="AC27">
        <v>1.2672000000000003E-2</v>
      </c>
      <c r="AD27">
        <v>2.3076923076923078E-2</v>
      </c>
      <c r="AF27">
        <v>1.2672000000000003E-2</v>
      </c>
      <c r="AG27">
        <v>2.3076923076923078E-2</v>
      </c>
      <c r="AI27">
        <v>1.2672000000000003E-2</v>
      </c>
      <c r="AJ27">
        <v>2.3076923076923078E-2</v>
      </c>
      <c r="AL27">
        <v>1.2672000000000003E-2</v>
      </c>
      <c r="AM27">
        <v>2.3076923076923078E-2</v>
      </c>
      <c r="AO27">
        <v>1.2672000000000003E-2</v>
      </c>
      <c r="AP27">
        <v>2.3076923076923078E-2</v>
      </c>
      <c r="AR27" t="s">
        <v>28</v>
      </c>
      <c r="AS27">
        <v>0.1</v>
      </c>
      <c r="AV27" s="30"/>
      <c r="AW27" s="30"/>
      <c r="AX27" s="30"/>
      <c r="AY27" s="30"/>
      <c r="AZ27" s="30"/>
      <c r="BA27" s="30"/>
      <c r="BB27" s="30"/>
      <c r="BC27" s="30"/>
      <c r="BD27" s="30"/>
      <c r="BE27" s="30"/>
      <c r="BF27" s="30"/>
      <c r="BG27" s="30"/>
      <c r="BH27" s="30"/>
      <c r="BI27" s="30"/>
      <c r="BJ27" s="30"/>
      <c r="BK27" s="30"/>
      <c r="BL27" s="30"/>
      <c r="BM27" s="30"/>
      <c r="BN27" s="30"/>
      <c r="BO27" s="30"/>
      <c r="BP27" s="30"/>
      <c r="BQ27" s="30"/>
      <c r="BR27" s="30"/>
    </row>
    <row r="28" spans="3:86" x14ac:dyDescent="0.25">
      <c r="C28" s="21">
        <f t="shared" si="1"/>
        <v>52596.25</v>
      </c>
      <c r="D28" s="3">
        <v>12672.000000000002</v>
      </c>
      <c r="E28" s="3">
        <v>23076.923076923078</v>
      </c>
      <c r="F28" s="3">
        <v>12672.000000000002</v>
      </c>
      <c r="G28" s="22"/>
      <c r="H28" s="22"/>
      <c r="I28" s="26">
        <f>Table134[[#This Row],[Year]]</f>
        <v>52596.25</v>
      </c>
      <c r="J28" s="27">
        <f>Table134[[#This Row],[Estimate]]+J27</f>
        <v>531972.00000000012</v>
      </c>
      <c r="K28" s="27">
        <f>Table134[[#This Row],[Without CS]]+K27</f>
        <v>600000</v>
      </c>
      <c r="L28" s="27">
        <f t="shared" si="0"/>
        <v>-68027.999999999884</v>
      </c>
      <c r="N28">
        <v>1.2672000000000003E-2</v>
      </c>
      <c r="O28">
        <v>2.3076923076923078E-2</v>
      </c>
      <c r="Q28">
        <v>1.2672000000000003E-2</v>
      </c>
      <c r="R28">
        <v>2.3076923076923078E-2</v>
      </c>
      <c r="T28">
        <v>1.2672000000000003E-2</v>
      </c>
      <c r="U28">
        <v>2.3076923076923078E-2</v>
      </c>
      <c r="W28">
        <v>1.2672000000000003E-2</v>
      </c>
      <c r="X28">
        <v>2.3076923076923078E-2</v>
      </c>
      <c r="Z28">
        <v>1.2672000000000003E-2</v>
      </c>
      <c r="AA28">
        <v>2.3076923076923078E-2</v>
      </c>
      <c r="AC28">
        <v>1.2672000000000003E-2</v>
      </c>
      <c r="AD28">
        <v>2.3076923076923078E-2</v>
      </c>
      <c r="AF28">
        <v>1.2672000000000003E-2</v>
      </c>
      <c r="AG28">
        <v>2.3076923076923078E-2</v>
      </c>
      <c r="AI28">
        <v>1.2672000000000003E-2</v>
      </c>
      <c r="AJ28">
        <v>2.3076923076923078E-2</v>
      </c>
      <c r="AL28">
        <v>1.2672000000000003E-2</v>
      </c>
      <c r="AM28">
        <v>2.3076923076923078E-2</v>
      </c>
      <c r="AO28">
        <v>1.2672000000000003E-2</v>
      </c>
      <c r="AP28">
        <v>2.3076923076923078E-2</v>
      </c>
      <c r="AR28" t="s">
        <v>29</v>
      </c>
      <c r="AS28">
        <v>0.1</v>
      </c>
      <c r="AU28">
        <v>0.1</v>
      </c>
      <c r="AV28">
        <v>2.3076923076923078E-2</v>
      </c>
      <c r="AW28">
        <v>2.3076923076923078E-2</v>
      </c>
      <c r="AX28">
        <v>2.3076923076923078E-2</v>
      </c>
      <c r="AY28">
        <v>2.3076923076923078E-2</v>
      </c>
      <c r="AZ28">
        <v>2.3076923076923078E-2</v>
      </c>
      <c r="BA28">
        <v>2.3076923076923078E-2</v>
      </c>
      <c r="BB28">
        <v>2.3076923076923078E-2</v>
      </c>
      <c r="BC28">
        <v>2.3076923076923078E-2</v>
      </c>
      <c r="BD28">
        <v>2.3076923076923078E-2</v>
      </c>
      <c r="BE28">
        <v>2.3076923076923078E-2</v>
      </c>
      <c r="BF28">
        <v>2.3076923076923078E-2</v>
      </c>
      <c r="BG28">
        <v>2.3076923076923078E-2</v>
      </c>
      <c r="BH28">
        <v>2.3076923076923078E-2</v>
      </c>
      <c r="BI28">
        <v>2.3076923076923078E-2</v>
      </c>
      <c r="BJ28">
        <v>2.3076923076923078E-2</v>
      </c>
      <c r="BK28">
        <v>2.3076923076923078E-2</v>
      </c>
      <c r="BL28">
        <v>2.3076923076923078E-2</v>
      </c>
      <c r="BM28">
        <v>2.3076923076923078E-2</v>
      </c>
      <c r="BN28">
        <v>2.3076923076923078E-2</v>
      </c>
      <c r="BO28">
        <v>2.3076923076923078E-2</v>
      </c>
      <c r="BP28">
        <v>2.3076923076923078E-2</v>
      </c>
      <c r="BQ28">
        <v>2.3076923076923078E-2</v>
      </c>
      <c r="BR28">
        <v>2.3076923076923078E-2</v>
      </c>
      <c r="BS28">
        <v>2.3076923076923078E-2</v>
      </c>
      <c r="BT28">
        <v>2.3076923076923078E-2</v>
      </c>
      <c r="BU28">
        <v>2.3076923076923078E-2</v>
      </c>
      <c r="BV28">
        <v>2.3076923076923078E-2</v>
      </c>
      <c r="BW28">
        <v>2.3076923076923078E-2</v>
      </c>
      <c r="BX28">
        <v>2.3076923076923078E-2</v>
      </c>
      <c r="BY28">
        <v>2.3076923076923078E-2</v>
      </c>
      <c r="BZ28">
        <v>2.3076923076923078E-2</v>
      </c>
      <c r="CA28">
        <v>2.3076923076923078E-2</v>
      </c>
      <c r="CB28">
        <v>2.3076923076923078E-2</v>
      </c>
      <c r="CC28">
        <v>2.3076923076923078E-2</v>
      </c>
      <c r="CD28">
        <v>2.3076923076923078E-2</v>
      </c>
      <c r="CE28">
        <v>2.3076923076923078E-2</v>
      </c>
      <c r="CF28">
        <v>2.3076923076923078E-2</v>
      </c>
      <c r="CG28">
        <v>2.3076923076923078E-2</v>
      </c>
      <c r="CH28">
        <v>2.3076923076923078E-2</v>
      </c>
    </row>
    <row r="29" spans="3:86" x14ac:dyDescent="0.25">
      <c r="C29" s="21">
        <f t="shared" si="1"/>
        <v>52961.5</v>
      </c>
      <c r="D29" s="3">
        <v>12672.000000000002</v>
      </c>
      <c r="E29" s="3">
        <v>23076.923076923078</v>
      </c>
      <c r="F29" s="3">
        <v>12672.000000000002</v>
      </c>
      <c r="G29" s="22"/>
      <c r="H29" s="22"/>
      <c r="I29" s="26">
        <f>Table134[[#This Row],[Year]]</f>
        <v>52961.5</v>
      </c>
      <c r="J29" s="27">
        <f>Table134[[#This Row],[Estimate]]+J28</f>
        <v>544644.00000000012</v>
      </c>
      <c r="K29" s="27">
        <f>Table134[[#This Row],[Without CS]]+K28</f>
        <v>623076.92307692312</v>
      </c>
      <c r="L29" s="27">
        <f t="shared" si="0"/>
        <v>-78432.923076923005</v>
      </c>
      <c r="N29">
        <v>1.2672000000000003E-2</v>
      </c>
      <c r="O29">
        <v>2.3076923076923078E-2</v>
      </c>
      <c r="Q29">
        <v>1.2672000000000003E-2</v>
      </c>
      <c r="R29">
        <v>2.3076923076923078E-2</v>
      </c>
      <c r="T29">
        <v>1.2672000000000003E-2</v>
      </c>
      <c r="U29">
        <v>2.3076923076923078E-2</v>
      </c>
      <c r="W29">
        <v>1.2672000000000003E-2</v>
      </c>
      <c r="X29">
        <v>2.3076923076923078E-2</v>
      </c>
      <c r="Z29">
        <v>1.2672000000000003E-2</v>
      </c>
      <c r="AA29">
        <v>2.3076923076923078E-2</v>
      </c>
      <c r="AC29">
        <v>1.2672000000000003E-2</v>
      </c>
      <c r="AD29">
        <v>2.3076923076923078E-2</v>
      </c>
      <c r="AF29">
        <v>1.2672000000000003E-2</v>
      </c>
      <c r="AG29">
        <v>2.3076923076923078E-2</v>
      </c>
      <c r="AI29">
        <v>1.2672000000000003E-2</v>
      </c>
      <c r="AJ29">
        <v>2.3076923076923078E-2</v>
      </c>
      <c r="AL29">
        <v>1.2672000000000003E-2</v>
      </c>
      <c r="AM29">
        <v>2.3076923076923078E-2</v>
      </c>
      <c r="AO29">
        <v>1.2672000000000003E-2</v>
      </c>
      <c r="AP29">
        <v>2.3076923076923078E-2</v>
      </c>
      <c r="AR29" t="s">
        <v>74</v>
      </c>
      <c r="AS29">
        <v>0.2</v>
      </c>
      <c r="AU29">
        <v>0.2</v>
      </c>
      <c r="AV29" s="30">
        <v>3.272727272727273E-2</v>
      </c>
      <c r="AW29" s="30">
        <v>3.272727272727273E-2</v>
      </c>
      <c r="AX29" s="30">
        <v>3.272727272727273E-2</v>
      </c>
      <c r="AY29" s="30">
        <v>3.272727272727273E-2</v>
      </c>
      <c r="AZ29" s="30">
        <v>3.272727272727273E-2</v>
      </c>
      <c r="BA29" s="30">
        <v>3.272727272727273E-2</v>
      </c>
      <c r="BB29" s="30">
        <v>3.272727272727273E-2</v>
      </c>
      <c r="BC29" s="30">
        <v>3.272727272727273E-2</v>
      </c>
      <c r="BD29" s="30">
        <v>3.272727272727273E-2</v>
      </c>
      <c r="BE29" s="30">
        <v>3.272727272727273E-2</v>
      </c>
      <c r="BF29" s="30">
        <v>3.272727272727273E-2</v>
      </c>
      <c r="BG29" s="30">
        <v>3.272727272727273E-2</v>
      </c>
      <c r="BH29" s="30">
        <v>3.272727272727273E-2</v>
      </c>
      <c r="BI29" s="30">
        <v>3.272727272727273E-2</v>
      </c>
      <c r="BJ29" s="30">
        <v>3.272727272727273E-2</v>
      </c>
      <c r="BK29" s="30">
        <v>3.272727272727273E-2</v>
      </c>
      <c r="BL29" s="30">
        <v>3.272727272727273E-2</v>
      </c>
      <c r="BM29" s="30">
        <v>3.272727272727273E-2</v>
      </c>
      <c r="BN29" s="30">
        <v>3.272727272727273E-2</v>
      </c>
      <c r="BO29" s="30">
        <v>3.272727272727273E-2</v>
      </c>
      <c r="BP29" s="30">
        <v>3.272727272727273E-2</v>
      </c>
      <c r="BQ29" s="30">
        <v>3.272727272727273E-2</v>
      </c>
      <c r="BR29" s="30">
        <v>3.272727272727273E-2</v>
      </c>
      <c r="BS29" s="30">
        <v>3.272727272727273E-2</v>
      </c>
      <c r="BT29" s="30">
        <v>3.272727272727273E-2</v>
      </c>
      <c r="BU29" s="30">
        <v>3.272727272727273E-2</v>
      </c>
      <c r="BV29" s="30">
        <v>3.272727272727273E-2</v>
      </c>
      <c r="BW29" s="30">
        <v>1.6363636363636365E-2</v>
      </c>
    </row>
    <row r="30" spans="3:86" x14ac:dyDescent="0.25">
      <c r="C30" s="21">
        <f t="shared" si="1"/>
        <v>53326.75</v>
      </c>
      <c r="D30" s="3">
        <v>12672.000000000002</v>
      </c>
      <c r="E30" s="3">
        <v>23076.923076923078</v>
      </c>
      <c r="F30" s="3">
        <v>12672.000000000002</v>
      </c>
      <c r="G30" s="22"/>
      <c r="H30" s="22"/>
      <c r="I30" s="26">
        <f>Table134[[#This Row],[Year]]</f>
        <v>53326.75</v>
      </c>
      <c r="J30" s="27">
        <f>Table134[[#This Row],[Estimate]]+J29</f>
        <v>557316.00000000012</v>
      </c>
      <c r="K30" s="27">
        <f>Table134[[#This Row],[Without CS]]+K29</f>
        <v>646153.84615384624</v>
      </c>
      <c r="L30" s="27">
        <f t="shared" si="0"/>
        <v>-88837.846153846127</v>
      </c>
      <c r="N30">
        <v>1.2672000000000003E-2</v>
      </c>
      <c r="O30">
        <v>2.3076923076923078E-2</v>
      </c>
      <c r="Q30">
        <v>1.2672000000000003E-2</v>
      </c>
      <c r="R30">
        <v>2.3076923076923078E-2</v>
      </c>
      <c r="T30">
        <v>1.2672000000000003E-2</v>
      </c>
      <c r="U30">
        <v>2.3076923076923078E-2</v>
      </c>
      <c r="W30">
        <v>1.2672000000000003E-2</v>
      </c>
      <c r="X30">
        <v>2.3076923076923078E-2</v>
      </c>
      <c r="Z30">
        <v>1.2672000000000003E-2</v>
      </c>
      <c r="AA30">
        <v>2.3076923076923078E-2</v>
      </c>
      <c r="AC30">
        <v>1.2672000000000003E-2</v>
      </c>
      <c r="AD30">
        <v>2.3076923076923078E-2</v>
      </c>
      <c r="AF30">
        <v>1.2672000000000003E-2</v>
      </c>
      <c r="AG30">
        <v>2.3076923076923078E-2</v>
      </c>
      <c r="AI30">
        <v>1.2672000000000003E-2</v>
      </c>
      <c r="AJ30">
        <v>2.3076923076923078E-2</v>
      </c>
      <c r="AL30">
        <v>1.2672000000000003E-2</v>
      </c>
      <c r="AM30">
        <v>2.3076923076923078E-2</v>
      </c>
      <c r="AO30">
        <v>1.2672000000000003E-2</v>
      </c>
      <c r="AP30">
        <v>2.3076923076923078E-2</v>
      </c>
      <c r="AR30" t="s">
        <v>281</v>
      </c>
      <c r="AS30">
        <v>0.2</v>
      </c>
      <c r="AU30">
        <v>1.1000000000000001</v>
      </c>
      <c r="AV30">
        <v>2.3076923076923078E-2</v>
      </c>
      <c r="AW30">
        <v>2.3076923076923078E-2</v>
      </c>
      <c r="AX30">
        <v>2.3076923076923078E-2</v>
      </c>
      <c r="AY30">
        <v>2.3076923076923078E-2</v>
      </c>
      <c r="AZ30">
        <v>2.3076923076923078E-2</v>
      </c>
      <c r="BA30">
        <v>2.3076923076923078E-2</v>
      </c>
      <c r="BB30">
        <v>2.3076923076923078E-2</v>
      </c>
      <c r="BC30">
        <v>2.3076923076923078E-2</v>
      </c>
      <c r="BD30">
        <v>2.3076923076923078E-2</v>
      </c>
      <c r="BE30">
        <v>2.3076923076923078E-2</v>
      </c>
      <c r="BF30">
        <v>2.3076923076923078E-2</v>
      </c>
      <c r="BG30">
        <v>2.3076923076923078E-2</v>
      </c>
      <c r="BH30">
        <v>2.3076923076923078E-2</v>
      </c>
      <c r="BI30">
        <v>2.3076923076923078E-2</v>
      </c>
      <c r="BJ30">
        <v>2.3076923076923078E-2</v>
      </c>
      <c r="BK30">
        <v>2.3076923076923078E-2</v>
      </c>
      <c r="BL30">
        <v>2.3076923076923078E-2</v>
      </c>
      <c r="BM30">
        <v>2.3076923076923078E-2</v>
      </c>
      <c r="BN30">
        <v>2.3076923076923078E-2</v>
      </c>
      <c r="BO30">
        <v>2.3076923076923078E-2</v>
      </c>
      <c r="BP30">
        <v>2.3076923076923078E-2</v>
      </c>
      <c r="BQ30">
        <v>2.3076923076923078E-2</v>
      </c>
      <c r="BR30">
        <v>2.3076923076923078E-2</v>
      </c>
      <c r="BS30">
        <v>2.3076923076923078E-2</v>
      </c>
      <c r="BT30">
        <v>2.3076923076923078E-2</v>
      </c>
      <c r="BU30">
        <v>2.3076923076923078E-2</v>
      </c>
      <c r="BV30">
        <v>2.3076923076923078E-2</v>
      </c>
      <c r="BW30">
        <v>2.3076923076923078E-2</v>
      </c>
      <c r="BX30">
        <v>2.3076923076923078E-2</v>
      </c>
      <c r="BY30">
        <v>2.3076923076923078E-2</v>
      </c>
      <c r="BZ30">
        <v>2.3076923076923078E-2</v>
      </c>
      <c r="CA30">
        <v>2.3076923076923078E-2</v>
      </c>
      <c r="CB30">
        <v>2.3076923076923078E-2</v>
      </c>
      <c r="CC30">
        <v>2.3076923076923078E-2</v>
      </c>
      <c r="CD30">
        <v>2.3076923076923078E-2</v>
      </c>
      <c r="CE30">
        <v>2.3076923076923078E-2</v>
      </c>
      <c r="CF30">
        <v>2.3076923076923078E-2</v>
      </c>
      <c r="CG30">
        <v>2.3076923076923078E-2</v>
      </c>
    </row>
    <row r="31" spans="3:86" x14ac:dyDescent="0.25">
      <c r="C31" s="21">
        <f t="shared" si="1"/>
        <v>53692</v>
      </c>
      <c r="D31" s="3">
        <v>12672.000000000002</v>
      </c>
      <c r="E31" s="3">
        <v>23076.923076923078</v>
      </c>
      <c r="F31" s="3">
        <v>12672.000000000002</v>
      </c>
      <c r="G31" s="22"/>
      <c r="H31" s="22"/>
      <c r="I31" s="26">
        <f>Table134[[#This Row],[Year]]</f>
        <v>53692</v>
      </c>
      <c r="J31" s="27">
        <f>Table134[[#This Row],[Estimate]]+J30</f>
        <v>569988.00000000012</v>
      </c>
      <c r="K31" s="27">
        <f>Table134[[#This Row],[Without CS]]+K30</f>
        <v>669230.76923076937</v>
      </c>
      <c r="L31" s="27">
        <f t="shared" si="0"/>
        <v>-99242.769230769249</v>
      </c>
      <c r="N31">
        <v>1.2672000000000003E-2</v>
      </c>
      <c r="O31">
        <v>2.3076923076923078E-2</v>
      </c>
      <c r="Q31">
        <v>1.2672000000000003E-2</v>
      </c>
      <c r="R31">
        <v>2.3076923076923078E-2</v>
      </c>
      <c r="T31">
        <v>1.2672000000000003E-2</v>
      </c>
      <c r="U31">
        <v>2.3076923076923078E-2</v>
      </c>
      <c r="W31">
        <v>1.2672000000000003E-2</v>
      </c>
      <c r="X31">
        <v>2.3076923076923078E-2</v>
      </c>
      <c r="Z31">
        <v>1.2672000000000003E-2</v>
      </c>
      <c r="AA31">
        <v>2.3076923076923078E-2</v>
      </c>
      <c r="AC31">
        <v>1.2672000000000003E-2</v>
      </c>
      <c r="AD31">
        <v>2.3076923076923078E-2</v>
      </c>
      <c r="AF31">
        <v>1.2672000000000003E-2</v>
      </c>
      <c r="AG31">
        <v>2.3076923076923078E-2</v>
      </c>
      <c r="AI31">
        <v>1.2672000000000003E-2</v>
      </c>
      <c r="AJ31">
        <v>2.3076923076923078E-2</v>
      </c>
      <c r="AL31">
        <v>1.2672000000000003E-2</v>
      </c>
      <c r="AM31">
        <v>2.3076923076923078E-2</v>
      </c>
      <c r="AO31">
        <v>1.2672000000000003E-2</v>
      </c>
      <c r="AP31">
        <v>2.3076923076923078E-2</v>
      </c>
      <c r="AR31" t="s">
        <v>176</v>
      </c>
      <c r="AS31">
        <v>0.1</v>
      </c>
      <c r="AU31">
        <v>1.2</v>
      </c>
      <c r="AV31" s="30">
        <v>3.272727272727273E-2</v>
      </c>
      <c r="AW31" s="30">
        <v>3.272727272727273E-2</v>
      </c>
      <c r="AX31" s="30">
        <v>3.272727272727273E-2</v>
      </c>
      <c r="AY31" s="30">
        <v>3.272727272727273E-2</v>
      </c>
      <c r="AZ31" s="30">
        <v>3.272727272727273E-2</v>
      </c>
      <c r="BA31" s="30">
        <v>3.272727272727273E-2</v>
      </c>
      <c r="BB31" s="30">
        <v>3.272727272727273E-2</v>
      </c>
      <c r="BC31" s="30">
        <v>3.272727272727273E-2</v>
      </c>
      <c r="BD31" s="30">
        <v>3.272727272727273E-2</v>
      </c>
      <c r="BE31" s="30">
        <v>3.272727272727273E-2</v>
      </c>
      <c r="BF31" s="30">
        <v>3.272727272727273E-2</v>
      </c>
      <c r="BG31" s="30">
        <v>3.272727272727273E-2</v>
      </c>
      <c r="BH31" s="30">
        <v>3.272727272727273E-2</v>
      </c>
      <c r="BI31" s="30">
        <v>3.272727272727273E-2</v>
      </c>
      <c r="BJ31" s="30">
        <v>3.272727272727273E-2</v>
      </c>
      <c r="BK31" s="30">
        <v>3.272727272727273E-2</v>
      </c>
      <c r="BL31" s="30">
        <v>3.272727272727273E-2</v>
      </c>
      <c r="BM31" s="30">
        <v>3.272727272727273E-2</v>
      </c>
      <c r="BN31" s="30">
        <v>3.272727272727273E-2</v>
      </c>
      <c r="BO31" s="30">
        <v>3.272727272727273E-2</v>
      </c>
      <c r="BP31" s="30">
        <v>3.272727272727273E-2</v>
      </c>
      <c r="BQ31" s="30">
        <v>3.272727272727273E-2</v>
      </c>
      <c r="BR31" s="30">
        <v>3.272727272727273E-2</v>
      </c>
      <c r="BS31" s="30">
        <v>3.272727272727273E-2</v>
      </c>
      <c r="BT31" s="30">
        <v>3.272727272727273E-2</v>
      </c>
      <c r="BU31" s="30">
        <v>3.272727272727273E-2</v>
      </c>
      <c r="BV31" s="30">
        <v>1.6363636363636365E-2</v>
      </c>
    </row>
    <row r="32" spans="3:86" x14ac:dyDescent="0.25">
      <c r="C32" s="21">
        <f t="shared" si="1"/>
        <v>54057.25</v>
      </c>
      <c r="D32" s="3">
        <v>12672.000000000002</v>
      </c>
      <c r="E32" s="3">
        <v>23076.923076923078</v>
      </c>
      <c r="F32" s="3">
        <v>12672.000000000002</v>
      </c>
      <c r="G32" s="22"/>
      <c r="H32" s="22"/>
      <c r="I32" s="26">
        <f>Table134[[#This Row],[Year]]</f>
        <v>54057.25</v>
      </c>
      <c r="J32" s="27">
        <f>Table134[[#This Row],[Estimate]]+J31</f>
        <v>582660.00000000012</v>
      </c>
      <c r="K32" s="27">
        <f>Table134[[#This Row],[Without CS]]+K31</f>
        <v>692307.69230769249</v>
      </c>
      <c r="L32" s="27">
        <f t="shared" si="0"/>
        <v>-109647.69230769237</v>
      </c>
      <c r="N32">
        <v>1.2672000000000003E-2</v>
      </c>
      <c r="O32">
        <v>2.3076923076923078E-2</v>
      </c>
      <c r="Q32">
        <v>1.2672000000000003E-2</v>
      </c>
      <c r="R32">
        <v>2.3076923076923078E-2</v>
      </c>
      <c r="T32">
        <v>1.2672000000000003E-2</v>
      </c>
      <c r="U32">
        <v>2.3076923076923078E-2</v>
      </c>
      <c r="W32">
        <v>1.2672000000000003E-2</v>
      </c>
      <c r="X32">
        <v>2.3076923076923078E-2</v>
      </c>
      <c r="Z32">
        <v>1.2672000000000003E-2</v>
      </c>
      <c r="AA32">
        <v>2.3076923076923078E-2</v>
      </c>
      <c r="AC32">
        <v>1.2672000000000003E-2</v>
      </c>
      <c r="AD32">
        <v>2.3076923076923078E-2</v>
      </c>
      <c r="AF32">
        <v>1.2672000000000003E-2</v>
      </c>
      <c r="AG32">
        <v>2.3076923076923078E-2</v>
      </c>
      <c r="AI32">
        <v>1.2672000000000003E-2</v>
      </c>
      <c r="AJ32">
        <v>2.3076923076923078E-2</v>
      </c>
      <c r="AL32">
        <v>1.2672000000000003E-2</v>
      </c>
      <c r="AM32">
        <v>2.3076923076923078E-2</v>
      </c>
      <c r="AO32">
        <v>7.9199999999954307E-4</v>
      </c>
      <c r="AU32">
        <v>2.1</v>
      </c>
      <c r="AV32">
        <v>2.3076923076923078E-2</v>
      </c>
      <c r="AW32">
        <v>2.3076923076923078E-2</v>
      </c>
      <c r="AX32">
        <v>2.3076923076923078E-2</v>
      </c>
      <c r="AY32">
        <v>2.3076923076923078E-2</v>
      </c>
      <c r="AZ32">
        <v>2.3076923076923078E-2</v>
      </c>
      <c r="BA32">
        <v>2.3076923076923078E-2</v>
      </c>
      <c r="BB32">
        <v>2.3076923076923078E-2</v>
      </c>
      <c r="BC32">
        <v>2.3076923076923078E-2</v>
      </c>
      <c r="BD32">
        <v>2.3076923076923078E-2</v>
      </c>
      <c r="BE32">
        <v>2.3076923076923078E-2</v>
      </c>
      <c r="BF32">
        <v>2.3076923076923078E-2</v>
      </c>
      <c r="BG32">
        <v>2.3076923076923078E-2</v>
      </c>
      <c r="BH32">
        <v>2.3076923076923078E-2</v>
      </c>
      <c r="BI32">
        <v>2.3076923076923078E-2</v>
      </c>
      <c r="BJ32">
        <v>2.3076923076923078E-2</v>
      </c>
      <c r="BK32">
        <v>2.3076923076923078E-2</v>
      </c>
      <c r="BL32">
        <v>2.3076923076923078E-2</v>
      </c>
      <c r="BM32">
        <v>2.3076923076923078E-2</v>
      </c>
      <c r="BN32">
        <v>2.3076923076923078E-2</v>
      </c>
      <c r="BO32">
        <v>2.3076923076923078E-2</v>
      </c>
      <c r="BP32">
        <v>2.3076923076923078E-2</v>
      </c>
      <c r="BQ32">
        <v>2.3076923076923078E-2</v>
      </c>
      <c r="BR32">
        <v>2.3076923076923078E-2</v>
      </c>
      <c r="BS32">
        <v>2.3076923076923078E-2</v>
      </c>
      <c r="BT32">
        <v>2.3076923076923078E-2</v>
      </c>
      <c r="BU32">
        <v>2.3076923076923078E-2</v>
      </c>
      <c r="BV32">
        <v>2.3076923076923078E-2</v>
      </c>
      <c r="BW32">
        <v>2.3076923076923078E-2</v>
      </c>
      <c r="BX32">
        <v>2.3076923076923078E-2</v>
      </c>
      <c r="BY32">
        <v>2.3076923076923078E-2</v>
      </c>
      <c r="BZ32">
        <v>2.3076923076923078E-2</v>
      </c>
      <c r="CA32">
        <v>2.3076923076923078E-2</v>
      </c>
      <c r="CB32">
        <v>2.3076923076923078E-2</v>
      </c>
      <c r="CC32">
        <v>2.3076923076923078E-2</v>
      </c>
      <c r="CD32">
        <v>2.3076923076923078E-2</v>
      </c>
      <c r="CE32">
        <v>2.3076923076923078E-2</v>
      </c>
      <c r="CF32">
        <v>2.3076923076923078E-2</v>
      </c>
    </row>
    <row r="33" spans="3:83" x14ac:dyDescent="0.25">
      <c r="C33" s="21">
        <f t="shared" si="1"/>
        <v>54422.5</v>
      </c>
      <c r="D33" s="3">
        <v>12672.000000000002</v>
      </c>
      <c r="E33" s="3">
        <v>23076.923076923078</v>
      </c>
      <c r="F33" s="3">
        <v>12672.000000000002</v>
      </c>
      <c r="G33" s="22"/>
      <c r="H33" s="22"/>
      <c r="I33" s="26">
        <f>Table134[[#This Row],[Year]]</f>
        <v>54422.5</v>
      </c>
      <c r="J33" s="27">
        <f>Table134[[#This Row],[Estimate]]+J32</f>
        <v>595332.00000000012</v>
      </c>
      <c r="K33" s="27">
        <f>Table134[[#This Row],[Without CS]]+K32</f>
        <v>715384.61538461561</v>
      </c>
      <c r="L33" s="27">
        <f t="shared" si="0"/>
        <v>-120052.61538461549</v>
      </c>
      <c r="N33">
        <v>1.2672000000000003E-2</v>
      </c>
      <c r="O33">
        <v>2.3076923076923078E-2</v>
      </c>
      <c r="Q33">
        <v>1.2672000000000003E-2</v>
      </c>
      <c r="R33">
        <v>2.3076923076923078E-2</v>
      </c>
      <c r="T33">
        <v>1.2672000000000003E-2</v>
      </c>
      <c r="U33">
        <v>2.3076923076923078E-2</v>
      </c>
      <c r="W33">
        <v>1.2672000000000003E-2</v>
      </c>
      <c r="X33">
        <v>2.3076923076923078E-2</v>
      </c>
      <c r="Z33">
        <v>1.2672000000000003E-2</v>
      </c>
      <c r="AA33">
        <v>2.3076923076923078E-2</v>
      </c>
      <c r="AC33">
        <v>1.2672000000000003E-2</v>
      </c>
      <c r="AD33">
        <v>2.3076923076923078E-2</v>
      </c>
      <c r="AF33">
        <v>1.2672000000000003E-2</v>
      </c>
      <c r="AG33">
        <v>2.3076923076923078E-2</v>
      </c>
      <c r="AI33">
        <v>1.2672000000000003E-2</v>
      </c>
      <c r="AJ33">
        <v>2.3076923076923078E-2</v>
      </c>
      <c r="AL33">
        <v>7.9199999999954307E-4</v>
      </c>
      <c r="AU33">
        <v>2.2000000000000002</v>
      </c>
      <c r="AV33" s="30">
        <v>3.272727272727273E-2</v>
      </c>
      <c r="AW33" s="30">
        <v>3.272727272727273E-2</v>
      </c>
      <c r="AX33" s="30">
        <v>3.272727272727273E-2</v>
      </c>
      <c r="AY33" s="30">
        <v>3.272727272727273E-2</v>
      </c>
      <c r="AZ33" s="30">
        <v>3.272727272727273E-2</v>
      </c>
      <c r="BA33" s="30">
        <v>3.272727272727273E-2</v>
      </c>
      <c r="BB33" s="30">
        <v>3.272727272727273E-2</v>
      </c>
      <c r="BC33" s="30">
        <v>3.272727272727273E-2</v>
      </c>
      <c r="BD33" s="30">
        <v>3.272727272727273E-2</v>
      </c>
      <c r="BE33" s="30">
        <v>3.272727272727273E-2</v>
      </c>
      <c r="BF33" s="30">
        <v>3.272727272727273E-2</v>
      </c>
      <c r="BG33" s="30">
        <v>3.272727272727273E-2</v>
      </c>
      <c r="BH33" s="30">
        <v>3.272727272727273E-2</v>
      </c>
      <c r="BI33" s="30">
        <v>3.272727272727273E-2</v>
      </c>
      <c r="BJ33" s="30">
        <v>3.272727272727273E-2</v>
      </c>
      <c r="BK33" s="30">
        <v>3.272727272727273E-2</v>
      </c>
      <c r="BL33" s="30">
        <v>3.272727272727273E-2</v>
      </c>
      <c r="BM33" s="30">
        <v>3.272727272727273E-2</v>
      </c>
      <c r="BN33" s="30">
        <v>3.272727272727273E-2</v>
      </c>
      <c r="BO33" s="30">
        <v>3.272727272727273E-2</v>
      </c>
      <c r="BP33" s="30">
        <v>3.272727272727273E-2</v>
      </c>
      <c r="BQ33" s="30">
        <v>3.272727272727273E-2</v>
      </c>
      <c r="BR33" s="30">
        <v>3.272727272727273E-2</v>
      </c>
      <c r="BS33" s="30">
        <v>3.272727272727273E-2</v>
      </c>
      <c r="BT33" s="30">
        <v>3.272727272727273E-2</v>
      </c>
      <c r="BU33" s="30">
        <v>1.6363636363636365E-2</v>
      </c>
    </row>
    <row r="34" spans="3:83" x14ac:dyDescent="0.25">
      <c r="C34" s="21">
        <f t="shared" si="1"/>
        <v>54787.75</v>
      </c>
      <c r="D34" s="3">
        <v>12672.000000000002</v>
      </c>
      <c r="E34" s="3">
        <v>23076.923076923078</v>
      </c>
      <c r="F34" s="3">
        <v>12672.000000000002</v>
      </c>
      <c r="G34" s="22"/>
      <c r="H34" s="22"/>
      <c r="I34" s="26">
        <f>Table134[[#This Row],[Year]]</f>
        <v>54787.75</v>
      </c>
      <c r="J34" s="27">
        <f>Table134[[#This Row],[Estimate]]+J33</f>
        <v>608004.00000000012</v>
      </c>
      <c r="K34" s="27">
        <f>Table134[[#This Row],[Without CS]]+K33</f>
        <v>738461.53846153873</v>
      </c>
      <c r="L34" s="27">
        <f t="shared" si="0"/>
        <v>-130457.53846153861</v>
      </c>
      <c r="N34">
        <v>1.2672000000000003E-2</v>
      </c>
      <c r="O34">
        <v>2.3076923076923078E-2</v>
      </c>
      <c r="Q34">
        <v>1.2672000000000003E-2</v>
      </c>
      <c r="R34">
        <v>2.3076923076923078E-2</v>
      </c>
      <c r="T34">
        <v>1.2672000000000003E-2</v>
      </c>
      <c r="U34">
        <v>2.3076923076923078E-2</v>
      </c>
      <c r="W34">
        <v>1.2672000000000003E-2</v>
      </c>
      <c r="X34">
        <v>2.3076923076923078E-2</v>
      </c>
      <c r="Z34">
        <v>1.2672000000000003E-2</v>
      </c>
      <c r="AA34">
        <v>2.3076923076923078E-2</v>
      </c>
      <c r="AC34">
        <v>1.2672000000000003E-2</v>
      </c>
      <c r="AD34">
        <v>2.3076923076923078E-2</v>
      </c>
      <c r="AF34">
        <v>1.2672000000000003E-2</v>
      </c>
      <c r="AG34">
        <v>2.3076923076923078E-2</v>
      </c>
      <c r="AI34">
        <v>7.9199999999954307E-4</v>
      </c>
      <c r="AO34">
        <f>SUM(AO3:AO32)</f>
        <v>0.66923076923076974</v>
      </c>
      <c r="AP34">
        <f>SUM(AP3:AP32)</f>
        <v>0.66923076923076974</v>
      </c>
      <c r="AU34">
        <v>3.1</v>
      </c>
      <c r="AV34">
        <v>2.3076923076923078E-2</v>
      </c>
      <c r="AW34">
        <v>2.3076923076923078E-2</v>
      </c>
      <c r="AX34">
        <v>2.3076923076923078E-2</v>
      </c>
      <c r="AY34">
        <v>2.3076923076923078E-2</v>
      </c>
      <c r="AZ34">
        <v>2.3076923076923078E-2</v>
      </c>
      <c r="BA34">
        <v>2.3076923076923078E-2</v>
      </c>
      <c r="BB34">
        <v>2.3076923076923078E-2</v>
      </c>
      <c r="BC34">
        <v>2.3076923076923078E-2</v>
      </c>
      <c r="BD34">
        <v>2.3076923076923078E-2</v>
      </c>
      <c r="BE34">
        <v>2.3076923076923078E-2</v>
      </c>
      <c r="BF34">
        <v>2.3076923076923078E-2</v>
      </c>
      <c r="BG34">
        <v>2.3076923076923078E-2</v>
      </c>
      <c r="BH34">
        <v>2.3076923076923078E-2</v>
      </c>
      <c r="BI34">
        <v>2.3076923076923078E-2</v>
      </c>
      <c r="BJ34">
        <v>2.3076923076923078E-2</v>
      </c>
      <c r="BK34">
        <v>2.3076923076923078E-2</v>
      </c>
      <c r="BL34">
        <v>2.3076923076923078E-2</v>
      </c>
      <c r="BM34">
        <v>2.3076923076923078E-2</v>
      </c>
      <c r="BN34">
        <v>2.3076923076923078E-2</v>
      </c>
      <c r="BO34">
        <v>2.3076923076923078E-2</v>
      </c>
      <c r="BP34">
        <v>2.3076923076923078E-2</v>
      </c>
      <c r="BQ34">
        <v>2.3076923076923078E-2</v>
      </c>
      <c r="BR34">
        <v>2.3076923076923078E-2</v>
      </c>
      <c r="BS34">
        <v>2.3076923076923078E-2</v>
      </c>
      <c r="BT34">
        <v>2.3076923076923078E-2</v>
      </c>
      <c r="BU34">
        <v>2.3076923076923078E-2</v>
      </c>
      <c r="BV34">
        <v>2.3076923076923078E-2</v>
      </c>
      <c r="BW34">
        <v>2.3076923076923078E-2</v>
      </c>
      <c r="BX34">
        <v>2.3076923076923078E-2</v>
      </c>
      <c r="BY34">
        <v>2.3076923076923078E-2</v>
      </c>
      <c r="BZ34">
        <v>2.3076923076923078E-2</v>
      </c>
      <c r="CA34">
        <v>2.3076923076923078E-2</v>
      </c>
      <c r="CB34">
        <v>2.3076923076923078E-2</v>
      </c>
      <c r="CC34">
        <v>2.3076923076923078E-2</v>
      </c>
      <c r="CD34">
        <v>2.3076923076923078E-2</v>
      </c>
      <c r="CE34">
        <v>2.3076923076923078E-2</v>
      </c>
    </row>
    <row r="35" spans="3:83" x14ac:dyDescent="0.25">
      <c r="C35" s="21">
        <f t="shared" si="1"/>
        <v>55153</v>
      </c>
      <c r="D35" s="3">
        <v>12672.000000000002</v>
      </c>
      <c r="E35" s="3">
        <v>23076.923076923078</v>
      </c>
      <c r="F35" s="3">
        <v>12672.000000000002</v>
      </c>
      <c r="G35" s="22"/>
      <c r="H35" s="22"/>
      <c r="I35" s="26">
        <f>Table134[[#This Row],[Year]]</f>
        <v>55153</v>
      </c>
      <c r="J35" s="27">
        <f>Table134[[#This Row],[Estimate]]+J34</f>
        <v>620676.00000000012</v>
      </c>
      <c r="K35" s="27">
        <f>Table134[[#This Row],[Without CS]]+K34</f>
        <v>761538.46153846185</v>
      </c>
      <c r="L35" s="27">
        <f t="shared" si="0"/>
        <v>-140862.46153846174</v>
      </c>
      <c r="N35">
        <v>1.2672000000000003E-2</v>
      </c>
      <c r="O35">
        <v>2.3076923076923078E-2</v>
      </c>
      <c r="Q35">
        <v>1.2672000000000003E-2</v>
      </c>
      <c r="R35">
        <v>2.3076923076923078E-2</v>
      </c>
      <c r="T35">
        <v>1.2672000000000003E-2</v>
      </c>
      <c r="U35">
        <v>2.3076923076923078E-2</v>
      </c>
      <c r="W35">
        <v>1.2672000000000003E-2</v>
      </c>
      <c r="X35">
        <v>2.3076923076923078E-2</v>
      </c>
      <c r="Z35">
        <v>1.2672000000000003E-2</v>
      </c>
      <c r="AA35">
        <v>2.3076923076923078E-2</v>
      </c>
      <c r="AC35">
        <v>1.2672000000000003E-2</v>
      </c>
      <c r="AD35">
        <v>2.3076923076923078E-2</v>
      </c>
      <c r="AF35">
        <v>7.9199999999954307E-4</v>
      </c>
      <c r="AL35">
        <f>SUM(AL3:AL33)</f>
        <v>0.69230769230769285</v>
      </c>
      <c r="AM35">
        <f>SUM(AM3:AM33)</f>
        <v>0.69230769230769285</v>
      </c>
      <c r="AU35">
        <v>3.2</v>
      </c>
      <c r="AV35" s="30">
        <v>3.272727272727273E-2</v>
      </c>
      <c r="AW35" s="30">
        <v>3.272727272727273E-2</v>
      </c>
      <c r="AX35" s="30">
        <v>3.272727272727273E-2</v>
      </c>
      <c r="AY35" s="30">
        <v>3.272727272727273E-2</v>
      </c>
      <c r="AZ35" s="30">
        <v>3.272727272727273E-2</v>
      </c>
      <c r="BA35" s="30">
        <v>3.272727272727273E-2</v>
      </c>
      <c r="BB35" s="30">
        <v>3.272727272727273E-2</v>
      </c>
      <c r="BC35" s="30">
        <v>3.272727272727273E-2</v>
      </c>
      <c r="BD35" s="30">
        <v>3.272727272727273E-2</v>
      </c>
      <c r="BE35" s="30">
        <v>3.272727272727273E-2</v>
      </c>
      <c r="BF35" s="30">
        <v>3.272727272727273E-2</v>
      </c>
      <c r="BG35" s="30">
        <v>3.272727272727273E-2</v>
      </c>
      <c r="BH35" s="30">
        <v>3.272727272727273E-2</v>
      </c>
      <c r="BI35" s="30">
        <v>3.272727272727273E-2</v>
      </c>
      <c r="BJ35" s="30">
        <v>3.272727272727273E-2</v>
      </c>
      <c r="BK35" s="30">
        <v>3.272727272727273E-2</v>
      </c>
      <c r="BL35" s="30">
        <v>3.272727272727273E-2</v>
      </c>
      <c r="BM35" s="30">
        <v>3.272727272727273E-2</v>
      </c>
      <c r="BN35" s="30">
        <v>3.272727272727273E-2</v>
      </c>
      <c r="BO35" s="30">
        <v>3.272727272727273E-2</v>
      </c>
      <c r="BP35" s="30">
        <v>3.272727272727273E-2</v>
      </c>
      <c r="BQ35" s="30">
        <v>3.272727272727273E-2</v>
      </c>
      <c r="BR35" s="30">
        <v>3.272727272727273E-2</v>
      </c>
      <c r="BS35" s="30">
        <v>3.272727272727273E-2</v>
      </c>
      <c r="BT35" s="30">
        <v>1.6363636363636365E-2</v>
      </c>
    </row>
    <row r="36" spans="3:83" x14ac:dyDescent="0.25">
      <c r="C36" s="21">
        <f t="shared" si="1"/>
        <v>55518.25</v>
      </c>
      <c r="D36" s="3">
        <v>12672.000000000002</v>
      </c>
      <c r="E36" s="3">
        <v>23076.923076923078</v>
      </c>
      <c r="F36" s="3">
        <v>12672.000000000002</v>
      </c>
      <c r="G36" s="22"/>
      <c r="H36" s="22"/>
      <c r="I36" s="26">
        <f>Table134[[#This Row],[Year]]</f>
        <v>55518.25</v>
      </c>
      <c r="J36" s="27">
        <f>Table134[[#This Row],[Estimate]]+J35</f>
        <v>633348.00000000012</v>
      </c>
      <c r="K36" s="27">
        <f>Table134[[#This Row],[Without CS]]+K35</f>
        <v>784615.38461538497</v>
      </c>
      <c r="L36" s="27">
        <f t="shared" si="0"/>
        <v>-151267.38461538486</v>
      </c>
      <c r="N36">
        <v>1.2672000000000003E-2</v>
      </c>
      <c r="O36">
        <v>2.3076923076923078E-2</v>
      </c>
      <c r="Q36">
        <v>1.2672000000000003E-2</v>
      </c>
      <c r="R36">
        <v>2.3076923076923078E-2</v>
      </c>
      <c r="T36">
        <v>1.2672000000000003E-2</v>
      </c>
      <c r="U36">
        <v>2.3076923076923078E-2</v>
      </c>
      <c r="W36">
        <v>1.2672000000000003E-2</v>
      </c>
      <c r="X36">
        <v>2.3076923076923078E-2</v>
      </c>
      <c r="Z36">
        <v>1.2672000000000003E-2</v>
      </c>
      <c r="AA36">
        <v>2.3076923076923078E-2</v>
      </c>
      <c r="AC36">
        <v>7.9199999999954307E-4</v>
      </c>
      <c r="AI36">
        <f>SUM(AI3:AI34)</f>
        <v>0.71538461538461595</v>
      </c>
      <c r="AJ36">
        <f>SUM(AJ3:AJ34)</f>
        <v>0.71538461538461595</v>
      </c>
      <c r="AU36">
        <v>4.0999999999999996</v>
      </c>
      <c r="AV36">
        <v>2.3076923076923078E-2</v>
      </c>
      <c r="AW36">
        <v>2.3076923076923078E-2</v>
      </c>
      <c r="AX36">
        <v>2.3076923076923078E-2</v>
      </c>
      <c r="AY36">
        <v>2.3076923076923078E-2</v>
      </c>
      <c r="AZ36">
        <v>2.3076923076923078E-2</v>
      </c>
      <c r="BA36">
        <v>2.3076923076923078E-2</v>
      </c>
      <c r="BB36">
        <v>2.3076923076923078E-2</v>
      </c>
      <c r="BC36">
        <v>2.3076923076923078E-2</v>
      </c>
      <c r="BD36">
        <v>2.3076923076923078E-2</v>
      </c>
      <c r="BE36">
        <v>2.3076923076923078E-2</v>
      </c>
      <c r="BF36">
        <v>2.3076923076923078E-2</v>
      </c>
      <c r="BG36">
        <v>2.3076923076923078E-2</v>
      </c>
      <c r="BH36">
        <v>2.3076923076923078E-2</v>
      </c>
      <c r="BI36">
        <v>2.3076923076923078E-2</v>
      </c>
      <c r="BJ36">
        <v>2.3076923076923078E-2</v>
      </c>
      <c r="BK36">
        <v>2.3076923076923078E-2</v>
      </c>
      <c r="BL36">
        <v>2.3076923076923078E-2</v>
      </c>
      <c r="BM36">
        <v>2.3076923076923078E-2</v>
      </c>
      <c r="BN36">
        <v>2.3076923076923078E-2</v>
      </c>
      <c r="BO36">
        <v>2.3076923076923078E-2</v>
      </c>
      <c r="BP36">
        <v>2.3076923076923078E-2</v>
      </c>
      <c r="BQ36">
        <v>2.3076923076923078E-2</v>
      </c>
      <c r="BR36">
        <v>2.3076923076923078E-2</v>
      </c>
      <c r="BS36">
        <v>2.3076923076923078E-2</v>
      </c>
      <c r="BT36">
        <v>2.3076923076923078E-2</v>
      </c>
      <c r="BU36">
        <v>2.3076923076923078E-2</v>
      </c>
      <c r="BV36">
        <v>2.3076923076923078E-2</v>
      </c>
      <c r="BW36">
        <v>2.3076923076923078E-2</v>
      </c>
      <c r="BX36">
        <v>2.3076923076923078E-2</v>
      </c>
      <c r="BY36">
        <v>2.3076923076923078E-2</v>
      </c>
      <c r="BZ36">
        <v>2.3076923076923078E-2</v>
      </c>
      <c r="CA36">
        <v>2.3076923076923078E-2</v>
      </c>
      <c r="CB36">
        <v>2.3076923076923078E-2</v>
      </c>
      <c r="CC36">
        <v>2.3076923076923078E-2</v>
      </c>
      <c r="CD36">
        <v>2.3076923076923078E-2</v>
      </c>
    </row>
    <row r="37" spans="3:83" x14ac:dyDescent="0.25">
      <c r="C37" s="21">
        <f t="shared" si="1"/>
        <v>55883.5</v>
      </c>
      <c r="D37" s="3">
        <v>12672.000000000002</v>
      </c>
      <c r="E37" s="3">
        <v>23076.923076923078</v>
      </c>
      <c r="F37" s="3">
        <v>12672.000000000002</v>
      </c>
      <c r="G37" s="22"/>
      <c r="H37" s="22"/>
      <c r="I37" s="26">
        <f>Table134[[#This Row],[Year]]</f>
        <v>55883.5</v>
      </c>
      <c r="J37" s="27">
        <f>Table134[[#This Row],[Estimate]]+J36</f>
        <v>646020.00000000012</v>
      </c>
      <c r="K37" s="27">
        <f>Table134[[#This Row],[Without CS]]+K36</f>
        <v>807692.3076923081</v>
      </c>
      <c r="L37" s="27">
        <f t="shared" si="0"/>
        <v>-161672.30769230798</v>
      </c>
      <c r="N37">
        <v>1.2672000000000003E-2</v>
      </c>
      <c r="O37">
        <v>2.3076923076923078E-2</v>
      </c>
      <c r="Q37">
        <v>1.2672000000000003E-2</v>
      </c>
      <c r="R37">
        <v>2.3076923076923078E-2</v>
      </c>
      <c r="T37">
        <v>1.2672000000000003E-2</v>
      </c>
      <c r="U37">
        <v>2.3076923076923078E-2</v>
      </c>
      <c r="W37">
        <v>1.2672000000000003E-2</v>
      </c>
      <c r="X37">
        <v>2.3076923076923078E-2</v>
      </c>
      <c r="Z37">
        <v>7.9199999999954307E-4</v>
      </c>
      <c r="AF37">
        <f>SUM(AF3:AF35)</f>
        <v>0.73846153846153906</v>
      </c>
      <c r="AG37">
        <f>SUM(AG3:AG35)</f>
        <v>0.73846153846153906</v>
      </c>
      <c r="AU37">
        <v>4.2</v>
      </c>
      <c r="AV37" s="30">
        <v>3.272727272727273E-2</v>
      </c>
      <c r="AW37" s="30">
        <v>3.272727272727273E-2</v>
      </c>
      <c r="AX37" s="30">
        <v>3.272727272727273E-2</v>
      </c>
      <c r="AY37" s="30">
        <v>3.272727272727273E-2</v>
      </c>
      <c r="AZ37" s="30">
        <v>3.272727272727273E-2</v>
      </c>
      <c r="BA37" s="30">
        <v>3.272727272727273E-2</v>
      </c>
      <c r="BB37" s="30">
        <v>3.272727272727273E-2</v>
      </c>
      <c r="BC37" s="30">
        <v>3.272727272727273E-2</v>
      </c>
      <c r="BD37" s="30">
        <v>3.272727272727273E-2</v>
      </c>
      <c r="BE37" s="30">
        <v>3.272727272727273E-2</v>
      </c>
      <c r="BF37" s="30">
        <v>3.272727272727273E-2</v>
      </c>
      <c r="BG37" s="30">
        <v>3.272727272727273E-2</v>
      </c>
      <c r="BH37" s="30">
        <v>3.272727272727273E-2</v>
      </c>
      <c r="BI37" s="30">
        <v>3.272727272727273E-2</v>
      </c>
      <c r="BJ37" s="30">
        <v>3.272727272727273E-2</v>
      </c>
      <c r="BK37" s="30">
        <v>3.272727272727273E-2</v>
      </c>
      <c r="BL37" s="30">
        <v>3.272727272727273E-2</v>
      </c>
      <c r="BM37" s="30">
        <v>3.272727272727273E-2</v>
      </c>
      <c r="BN37" s="30">
        <v>3.272727272727273E-2</v>
      </c>
      <c r="BO37" s="30">
        <v>3.272727272727273E-2</v>
      </c>
      <c r="BP37" s="30">
        <v>3.272727272727273E-2</v>
      </c>
      <c r="BQ37" s="30">
        <v>3.272727272727273E-2</v>
      </c>
      <c r="BR37" s="30">
        <v>3.272727272727273E-2</v>
      </c>
      <c r="BS37" s="30">
        <v>1.6363636363636365E-2</v>
      </c>
    </row>
    <row r="38" spans="3:83" x14ac:dyDescent="0.25">
      <c r="C38" s="21">
        <f t="shared" si="1"/>
        <v>56248.75</v>
      </c>
      <c r="D38" s="3">
        <v>12672.000000000002</v>
      </c>
      <c r="E38" s="3">
        <v>23076.923076923078</v>
      </c>
      <c r="F38" s="3">
        <v>12672.000000000002</v>
      </c>
      <c r="G38" s="22"/>
      <c r="H38" s="22"/>
      <c r="I38" s="26">
        <f>Table134[[#This Row],[Year]]</f>
        <v>56248.75</v>
      </c>
      <c r="J38" s="27">
        <f>Table134[[#This Row],[Estimate]]+J37</f>
        <v>658692.00000000012</v>
      </c>
      <c r="K38" s="27">
        <f>Table134[[#This Row],[Without CS]]+K37</f>
        <v>830769.23076923122</v>
      </c>
      <c r="L38" s="27">
        <f t="shared" si="0"/>
        <v>-172077.2307692311</v>
      </c>
      <c r="N38">
        <v>1.2672000000000003E-2</v>
      </c>
      <c r="O38">
        <v>2.3076923076923078E-2</v>
      </c>
      <c r="Q38">
        <v>1.2672000000000003E-2</v>
      </c>
      <c r="R38">
        <v>2.3076923076923078E-2</v>
      </c>
      <c r="T38">
        <v>1.2672000000000003E-2</v>
      </c>
      <c r="U38">
        <v>2.3076923076923078E-2</v>
      </c>
      <c r="W38">
        <v>7.9199999999954307E-4</v>
      </c>
      <c r="AC38">
        <f>SUM(AC3:AC36)</f>
        <v>0.76153846153846216</v>
      </c>
      <c r="AD38">
        <f>SUM(AD3:AD36)</f>
        <v>0.76153846153846216</v>
      </c>
      <c r="AU38">
        <v>5.0999999999999996</v>
      </c>
      <c r="AV38">
        <v>2.3076923076923078E-2</v>
      </c>
      <c r="AW38">
        <v>2.3076923076923078E-2</v>
      </c>
      <c r="AX38">
        <v>2.3076923076923078E-2</v>
      </c>
      <c r="AY38">
        <v>2.3076923076923078E-2</v>
      </c>
      <c r="AZ38">
        <v>2.3076923076923078E-2</v>
      </c>
      <c r="BA38">
        <v>2.3076923076923078E-2</v>
      </c>
      <c r="BB38">
        <v>2.3076923076923078E-2</v>
      </c>
      <c r="BC38">
        <v>2.3076923076923078E-2</v>
      </c>
      <c r="BD38">
        <v>2.3076923076923078E-2</v>
      </c>
      <c r="BE38">
        <v>2.3076923076923078E-2</v>
      </c>
      <c r="BF38">
        <v>2.3076923076923078E-2</v>
      </c>
      <c r="BG38">
        <v>2.3076923076923078E-2</v>
      </c>
      <c r="BH38">
        <v>2.3076923076923078E-2</v>
      </c>
      <c r="BI38">
        <v>2.3076923076923078E-2</v>
      </c>
      <c r="BJ38">
        <v>2.3076923076923078E-2</v>
      </c>
      <c r="BK38">
        <v>2.3076923076923078E-2</v>
      </c>
      <c r="BL38">
        <v>2.3076923076923078E-2</v>
      </c>
      <c r="BM38">
        <v>2.3076923076923078E-2</v>
      </c>
      <c r="BN38">
        <v>2.3076923076923078E-2</v>
      </c>
      <c r="BO38">
        <v>2.3076923076923078E-2</v>
      </c>
      <c r="BP38">
        <v>2.3076923076923078E-2</v>
      </c>
      <c r="BQ38">
        <v>2.3076923076923078E-2</v>
      </c>
      <c r="BR38">
        <v>2.3076923076923078E-2</v>
      </c>
      <c r="BS38">
        <v>2.3076923076923078E-2</v>
      </c>
      <c r="BT38">
        <v>2.3076923076923078E-2</v>
      </c>
      <c r="BU38">
        <v>2.3076923076923078E-2</v>
      </c>
      <c r="BV38">
        <v>2.3076923076923078E-2</v>
      </c>
      <c r="BW38">
        <v>2.3076923076923078E-2</v>
      </c>
      <c r="BX38">
        <v>2.3076923076923078E-2</v>
      </c>
      <c r="BY38">
        <v>2.3076923076923078E-2</v>
      </c>
      <c r="BZ38">
        <v>2.3076923076923078E-2</v>
      </c>
      <c r="CA38">
        <v>2.3076923076923078E-2</v>
      </c>
      <c r="CB38">
        <v>2.3076923076923078E-2</v>
      </c>
      <c r="CC38">
        <v>2.3076923076923078E-2</v>
      </c>
    </row>
    <row r="39" spans="3:83" x14ac:dyDescent="0.25">
      <c r="C39" s="21">
        <f t="shared" si="1"/>
        <v>56614</v>
      </c>
      <c r="D39" s="3">
        <v>12672.000000000002</v>
      </c>
      <c r="E39" s="3">
        <v>23076.923076923078</v>
      </c>
      <c r="F39" s="3">
        <v>12672.000000000002</v>
      </c>
      <c r="G39" s="22"/>
      <c r="H39" s="22"/>
      <c r="I39" s="26">
        <f>Table134[[#This Row],[Year]]</f>
        <v>56614</v>
      </c>
      <c r="J39" s="27">
        <f>Table134[[#This Row],[Estimate]]+J38</f>
        <v>671364.00000000012</v>
      </c>
      <c r="K39" s="27">
        <f>Table134[[#This Row],[Without CS]]+K38</f>
        <v>853846.15384615434</v>
      </c>
      <c r="L39" s="27">
        <f t="shared" si="0"/>
        <v>-182482.15384615422</v>
      </c>
      <c r="N39">
        <v>1.2672000000000003E-2</v>
      </c>
      <c r="O39">
        <v>2.3076923076923078E-2</v>
      </c>
      <c r="Q39">
        <v>1.2672000000000003E-2</v>
      </c>
      <c r="R39">
        <v>2.3076923076923078E-2</v>
      </c>
      <c r="T39">
        <v>7.9199999999954307E-4</v>
      </c>
      <c r="Z39" s="28">
        <v>0.78461538461538449</v>
      </c>
      <c r="AA39">
        <v>0.78461538461538527</v>
      </c>
      <c r="AU39">
        <v>5.2</v>
      </c>
      <c r="AV39" s="30">
        <v>3.272727272727273E-2</v>
      </c>
      <c r="AW39" s="30">
        <v>3.272727272727273E-2</v>
      </c>
      <c r="AX39" s="30">
        <v>3.272727272727273E-2</v>
      </c>
      <c r="AY39" s="30">
        <v>3.272727272727273E-2</v>
      </c>
      <c r="AZ39" s="30">
        <v>3.272727272727273E-2</v>
      </c>
      <c r="BA39" s="30">
        <v>3.272727272727273E-2</v>
      </c>
      <c r="BB39" s="30">
        <v>3.272727272727273E-2</v>
      </c>
      <c r="BC39" s="30">
        <v>3.272727272727273E-2</v>
      </c>
      <c r="BD39" s="30">
        <v>3.272727272727273E-2</v>
      </c>
      <c r="BE39" s="30">
        <v>3.272727272727273E-2</v>
      </c>
      <c r="BF39" s="30">
        <v>3.272727272727273E-2</v>
      </c>
      <c r="BG39" s="30">
        <v>3.272727272727273E-2</v>
      </c>
      <c r="BH39" s="30">
        <v>3.272727272727273E-2</v>
      </c>
      <c r="BI39" s="30">
        <v>3.272727272727273E-2</v>
      </c>
      <c r="BJ39" s="30">
        <v>3.272727272727273E-2</v>
      </c>
      <c r="BK39" s="30">
        <v>3.272727272727273E-2</v>
      </c>
      <c r="BL39" s="30">
        <v>3.272727272727273E-2</v>
      </c>
      <c r="BM39" s="30">
        <v>3.272727272727273E-2</v>
      </c>
      <c r="BN39" s="30">
        <v>3.272727272727273E-2</v>
      </c>
      <c r="BO39" s="30">
        <v>3.272727272727273E-2</v>
      </c>
      <c r="BP39" s="30">
        <v>3.272727272727273E-2</v>
      </c>
      <c r="BQ39" s="30">
        <v>3.272727272727273E-2</v>
      </c>
      <c r="BR39" s="30">
        <v>1.6363636363636365E-2</v>
      </c>
    </row>
    <row r="40" spans="3:83" x14ac:dyDescent="0.25">
      <c r="C40" s="21">
        <f t="shared" si="1"/>
        <v>56979.25</v>
      </c>
      <c r="D40" s="3">
        <v>12672.000000000002</v>
      </c>
      <c r="E40" s="3">
        <v>23076.923076923078</v>
      </c>
      <c r="F40" s="3">
        <v>12672.000000000002</v>
      </c>
      <c r="G40" s="22"/>
      <c r="H40" s="22"/>
      <c r="I40" s="26">
        <f>Table134[[#This Row],[Year]]</f>
        <v>56979.25</v>
      </c>
      <c r="J40" s="27">
        <f>Table134[[#This Row],[Estimate]]+J39</f>
        <v>684036.00000000012</v>
      </c>
      <c r="K40" s="27">
        <f>Table134[[#This Row],[Without CS]]+K39</f>
        <v>876923.07692307746</v>
      </c>
      <c r="L40" s="27">
        <f t="shared" si="0"/>
        <v>-192887.07692307734</v>
      </c>
      <c r="N40">
        <v>1.2672000000000003E-2</v>
      </c>
      <c r="O40">
        <v>2.3076923076923078E-2</v>
      </c>
      <c r="Q40">
        <v>7.9199999999954307E-4</v>
      </c>
      <c r="W40" s="28">
        <v>0.8076923076923076</v>
      </c>
      <c r="X40">
        <v>0.80769230769230838</v>
      </c>
      <c r="AU40">
        <v>6.1</v>
      </c>
      <c r="AV40">
        <v>2.3076923076923078E-2</v>
      </c>
      <c r="AW40">
        <v>2.3076923076923078E-2</v>
      </c>
      <c r="AX40">
        <v>2.3076923076923078E-2</v>
      </c>
      <c r="AY40">
        <v>2.3076923076923078E-2</v>
      </c>
      <c r="AZ40">
        <v>2.3076923076923078E-2</v>
      </c>
      <c r="BA40">
        <v>2.3076923076923078E-2</v>
      </c>
      <c r="BB40">
        <v>2.3076923076923078E-2</v>
      </c>
      <c r="BC40">
        <v>2.3076923076923078E-2</v>
      </c>
      <c r="BD40">
        <v>2.3076923076923078E-2</v>
      </c>
      <c r="BE40">
        <v>2.3076923076923078E-2</v>
      </c>
      <c r="BF40">
        <v>2.3076923076923078E-2</v>
      </c>
      <c r="BG40">
        <v>2.3076923076923078E-2</v>
      </c>
      <c r="BH40">
        <v>2.3076923076923078E-2</v>
      </c>
      <c r="BI40">
        <v>2.3076923076923078E-2</v>
      </c>
      <c r="BJ40">
        <v>2.3076923076923078E-2</v>
      </c>
      <c r="BK40">
        <v>2.3076923076923078E-2</v>
      </c>
      <c r="BL40">
        <v>2.3076923076923078E-2</v>
      </c>
      <c r="BM40">
        <v>2.3076923076923078E-2</v>
      </c>
      <c r="BN40">
        <v>2.3076923076923078E-2</v>
      </c>
      <c r="BO40">
        <v>2.3076923076923078E-2</v>
      </c>
      <c r="BP40">
        <v>2.3076923076923078E-2</v>
      </c>
      <c r="BQ40">
        <v>2.3076923076923078E-2</v>
      </c>
      <c r="BR40">
        <v>2.3076923076923078E-2</v>
      </c>
      <c r="BS40">
        <v>2.3076923076923078E-2</v>
      </c>
      <c r="BT40">
        <v>2.3076923076923078E-2</v>
      </c>
      <c r="BU40">
        <v>2.3076923076923078E-2</v>
      </c>
      <c r="BV40">
        <v>2.3076923076923078E-2</v>
      </c>
      <c r="BW40">
        <v>2.3076923076923078E-2</v>
      </c>
      <c r="BX40">
        <v>2.3076923076923078E-2</v>
      </c>
      <c r="BY40">
        <v>2.3076923076923078E-2</v>
      </c>
      <c r="BZ40">
        <v>2.3076923076923078E-2</v>
      </c>
      <c r="CA40">
        <v>2.3076923076923078E-2</v>
      </c>
      <c r="CB40">
        <v>2.3076923076923078E-2</v>
      </c>
    </row>
    <row r="41" spans="3:83" x14ac:dyDescent="0.25">
      <c r="C41" s="21">
        <f t="shared" si="1"/>
        <v>57344.5</v>
      </c>
      <c r="D41" s="3">
        <v>12672.000000000002</v>
      </c>
      <c r="E41" s="3">
        <v>23076.923076923078</v>
      </c>
      <c r="F41" s="3">
        <v>12672.000000000002</v>
      </c>
      <c r="G41" s="22"/>
      <c r="H41" s="22"/>
      <c r="I41" s="26">
        <f>Table134[[#This Row],[Year]]</f>
        <v>57344.5</v>
      </c>
      <c r="J41" s="27">
        <f>Table134[[#This Row],[Estimate]]+J40</f>
        <v>696708.00000000012</v>
      </c>
      <c r="K41" s="27">
        <f>Table134[[#This Row],[Without CS]]+K40</f>
        <v>900000.00000000058</v>
      </c>
      <c r="L41" s="27">
        <f t="shared" si="0"/>
        <v>-203292.00000000047</v>
      </c>
      <c r="N41">
        <v>7.9199999999954307E-4</v>
      </c>
      <c r="T41" s="28">
        <v>0.83076923076923082</v>
      </c>
      <c r="U41">
        <v>0.83076923076923148</v>
      </c>
      <c r="AU41">
        <v>6.2</v>
      </c>
      <c r="AV41" s="30">
        <v>3.272727272727273E-2</v>
      </c>
      <c r="AW41" s="30">
        <v>3.272727272727273E-2</v>
      </c>
      <c r="AX41" s="30">
        <v>3.272727272727273E-2</v>
      </c>
      <c r="AY41" s="30">
        <v>3.272727272727273E-2</v>
      </c>
      <c r="AZ41" s="30">
        <v>3.272727272727273E-2</v>
      </c>
      <c r="BA41" s="30">
        <v>3.272727272727273E-2</v>
      </c>
      <c r="BB41" s="30">
        <v>3.272727272727273E-2</v>
      </c>
      <c r="BC41" s="30">
        <v>3.272727272727273E-2</v>
      </c>
      <c r="BD41" s="30">
        <v>3.272727272727273E-2</v>
      </c>
      <c r="BE41" s="30">
        <v>3.272727272727273E-2</v>
      </c>
      <c r="BF41" s="30">
        <v>3.272727272727273E-2</v>
      </c>
      <c r="BG41" s="30">
        <v>3.272727272727273E-2</v>
      </c>
      <c r="BH41" s="30">
        <v>3.272727272727273E-2</v>
      </c>
      <c r="BI41" s="30">
        <v>3.272727272727273E-2</v>
      </c>
      <c r="BJ41" s="30">
        <v>3.272727272727273E-2</v>
      </c>
      <c r="BK41" s="30">
        <v>3.272727272727273E-2</v>
      </c>
      <c r="BL41" s="30">
        <v>3.272727272727273E-2</v>
      </c>
      <c r="BM41" s="30">
        <v>3.272727272727273E-2</v>
      </c>
      <c r="BN41" s="30">
        <v>3.272727272727273E-2</v>
      </c>
      <c r="BO41" s="30">
        <v>3.272727272727273E-2</v>
      </c>
      <c r="BP41" s="30">
        <v>3.272727272727273E-2</v>
      </c>
      <c r="BQ41" s="30">
        <v>1.6363636363636365E-2</v>
      </c>
    </row>
    <row r="42" spans="3:83" x14ac:dyDescent="0.25">
      <c r="C42" s="21">
        <f t="shared" si="1"/>
        <v>57709.75</v>
      </c>
      <c r="D42" s="3">
        <f>Table134[[#This Row],[Bonus Depreciation]]</f>
        <v>792.00000000005457</v>
      </c>
      <c r="E42" s="3"/>
      <c r="F42" s="3">
        <v>792.00000000005457</v>
      </c>
      <c r="G42" s="22"/>
      <c r="H42" s="22"/>
      <c r="I42" s="26">
        <f>Table134[[#This Row],[Year]]</f>
        <v>57709.75</v>
      </c>
      <c r="J42" s="27">
        <f>Table134[[#This Row],[Estimate]]+J41</f>
        <v>697500.00000000012</v>
      </c>
      <c r="K42" s="27">
        <f>Table134[[#This Row],[Without CS]]+K41</f>
        <v>900000.00000000058</v>
      </c>
      <c r="L42" s="27">
        <f t="shared" si="0"/>
        <v>-202500.00000000047</v>
      </c>
      <c r="Q42" s="28">
        <v>0.85384615384615381</v>
      </c>
      <c r="R42">
        <v>0.85384615384615459</v>
      </c>
      <c r="AU42">
        <v>7.1</v>
      </c>
      <c r="AV42">
        <v>2.3076923076923078E-2</v>
      </c>
      <c r="AW42">
        <v>2.3076923076923078E-2</v>
      </c>
      <c r="AX42">
        <v>2.3076923076923078E-2</v>
      </c>
      <c r="AY42">
        <v>2.3076923076923078E-2</v>
      </c>
      <c r="AZ42">
        <v>2.3076923076923078E-2</v>
      </c>
      <c r="BA42">
        <v>2.3076923076923078E-2</v>
      </c>
      <c r="BB42">
        <v>2.3076923076923078E-2</v>
      </c>
      <c r="BC42">
        <v>2.3076923076923078E-2</v>
      </c>
      <c r="BD42">
        <v>2.3076923076923078E-2</v>
      </c>
      <c r="BE42">
        <v>2.3076923076923078E-2</v>
      </c>
      <c r="BF42">
        <v>2.3076923076923078E-2</v>
      </c>
      <c r="BG42">
        <v>2.3076923076923078E-2</v>
      </c>
      <c r="BH42">
        <v>2.3076923076923078E-2</v>
      </c>
      <c r="BI42">
        <v>2.3076923076923078E-2</v>
      </c>
      <c r="BJ42">
        <v>2.3076923076923078E-2</v>
      </c>
      <c r="BK42">
        <v>2.3076923076923078E-2</v>
      </c>
      <c r="BL42">
        <v>2.3076923076923078E-2</v>
      </c>
      <c r="BM42">
        <v>2.3076923076923078E-2</v>
      </c>
      <c r="BN42">
        <v>2.3076923076923078E-2</v>
      </c>
      <c r="BO42">
        <v>2.3076923076923078E-2</v>
      </c>
      <c r="BP42">
        <v>2.3076923076923078E-2</v>
      </c>
      <c r="BQ42">
        <v>2.3076923076923078E-2</v>
      </c>
      <c r="BR42">
        <v>2.3076923076923078E-2</v>
      </c>
      <c r="BS42">
        <v>2.3076923076923078E-2</v>
      </c>
      <c r="BT42">
        <v>2.3076923076923078E-2</v>
      </c>
      <c r="BU42">
        <v>2.3076923076923078E-2</v>
      </c>
      <c r="BV42">
        <v>2.3076923076923078E-2</v>
      </c>
      <c r="BW42">
        <v>2.3076923076923078E-2</v>
      </c>
      <c r="BX42">
        <v>2.3076923076923078E-2</v>
      </c>
      <c r="BY42">
        <v>2.3076923076923078E-2</v>
      </c>
      <c r="BZ42">
        <v>2.3076923076923078E-2</v>
      </c>
      <c r="CA42">
        <v>2.3076923076923078E-2</v>
      </c>
    </row>
    <row r="43" spans="3:83" x14ac:dyDescent="0.25">
      <c r="D43" s="3"/>
      <c r="E43" s="3"/>
      <c r="F43" s="3"/>
      <c r="J43" s="27"/>
      <c r="K43" s="27"/>
      <c r="L43" s="27"/>
      <c r="N43" s="28">
        <v>0.87692307692307681</v>
      </c>
      <c r="O43">
        <v>0.87692307692307769</v>
      </c>
      <c r="AU43">
        <v>7.2</v>
      </c>
      <c r="AV43" s="30">
        <v>3.272727272727273E-2</v>
      </c>
      <c r="AW43" s="30">
        <v>3.272727272727273E-2</v>
      </c>
      <c r="AX43" s="30">
        <v>3.272727272727273E-2</v>
      </c>
      <c r="AY43" s="30">
        <v>3.272727272727273E-2</v>
      </c>
      <c r="AZ43" s="30">
        <v>3.272727272727273E-2</v>
      </c>
      <c r="BA43" s="30">
        <v>3.272727272727273E-2</v>
      </c>
      <c r="BB43" s="30">
        <v>3.272727272727273E-2</v>
      </c>
      <c r="BC43" s="30">
        <v>3.272727272727273E-2</v>
      </c>
      <c r="BD43" s="30">
        <v>3.272727272727273E-2</v>
      </c>
      <c r="BE43" s="30">
        <v>3.272727272727273E-2</v>
      </c>
      <c r="BF43" s="30">
        <v>3.272727272727273E-2</v>
      </c>
      <c r="BG43" s="30">
        <v>3.272727272727273E-2</v>
      </c>
      <c r="BH43" s="30">
        <v>3.272727272727273E-2</v>
      </c>
      <c r="BI43" s="30">
        <v>3.272727272727273E-2</v>
      </c>
      <c r="BJ43" s="30">
        <v>3.272727272727273E-2</v>
      </c>
      <c r="BK43" s="30">
        <v>3.272727272727273E-2</v>
      </c>
      <c r="BL43" s="30">
        <v>3.272727272727273E-2</v>
      </c>
      <c r="BM43" s="30">
        <v>3.272727272727273E-2</v>
      </c>
      <c r="BN43" s="30">
        <v>3.272727272727273E-2</v>
      </c>
      <c r="BO43" s="30">
        <v>3.272727272727273E-2</v>
      </c>
      <c r="BP43" s="30">
        <v>1.6363636363636365E-2</v>
      </c>
    </row>
    <row r="44" spans="3:83" x14ac:dyDescent="0.25">
      <c r="D44" s="3">
        <f>SUM(D3:D42)</f>
        <v>697500.00000000012</v>
      </c>
      <c r="E44" s="3">
        <f>SUM(E3:E41)</f>
        <v>900000.00000000058</v>
      </c>
      <c r="F44" s="3">
        <f>SUM(F3:F42)</f>
        <v>697500</v>
      </c>
      <c r="G44" s="22"/>
      <c r="H44" s="22">
        <f>E44-F44</f>
        <v>202500.00000000058</v>
      </c>
      <c r="AU44">
        <v>8.1</v>
      </c>
      <c r="AV44">
        <v>2.3076923076923078E-2</v>
      </c>
      <c r="AW44">
        <v>2.3076923076923078E-2</v>
      </c>
      <c r="AX44">
        <v>2.3076923076923078E-2</v>
      </c>
      <c r="AY44">
        <v>2.3076923076923078E-2</v>
      </c>
      <c r="AZ44">
        <v>2.3076923076923078E-2</v>
      </c>
      <c r="BA44">
        <v>2.3076923076923078E-2</v>
      </c>
      <c r="BB44">
        <v>2.3076923076923078E-2</v>
      </c>
      <c r="BC44">
        <v>2.3076923076923078E-2</v>
      </c>
      <c r="BD44">
        <v>2.3076923076923078E-2</v>
      </c>
      <c r="BE44">
        <v>2.3076923076923078E-2</v>
      </c>
      <c r="BF44">
        <v>2.3076923076923078E-2</v>
      </c>
      <c r="BG44">
        <v>2.3076923076923078E-2</v>
      </c>
      <c r="BH44">
        <v>2.3076923076923078E-2</v>
      </c>
      <c r="BI44">
        <v>2.3076923076923078E-2</v>
      </c>
      <c r="BJ44">
        <v>2.3076923076923078E-2</v>
      </c>
      <c r="BK44">
        <v>2.3076923076923078E-2</v>
      </c>
      <c r="BL44">
        <v>2.3076923076923078E-2</v>
      </c>
      <c r="BM44">
        <v>2.3076923076923078E-2</v>
      </c>
      <c r="BN44">
        <v>2.3076923076923078E-2</v>
      </c>
      <c r="BO44">
        <v>2.3076923076923078E-2</v>
      </c>
      <c r="BP44">
        <v>2.3076923076923078E-2</v>
      </c>
      <c r="BQ44">
        <v>2.3076923076923078E-2</v>
      </c>
      <c r="BR44">
        <v>2.3076923076923078E-2</v>
      </c>
      <c r="BS44">
        <v>2.3076923076923078E-2</v>
      </c>
      <c r="BT44">
        <v>2.3076923076923078E-2</v>
      </c>
      <c r="BU44">
        <v>2.3076923076923078E-2</v>
      </c>
      <c r="BV44">
        <v>2.3076923076923078E-2</v>
      </c>
      <c r="BW44">
        <v>2.3076923076923078E-2</v>
      </c>
      <c r="BX44">
        <v>2.3076923076923078E-2</v>
      </c>
      <c r="BY44">
        <v>2.3076923076923078E-2</v>
      </c>
      <c r="BZ44">
        <v>2.3076923076923078E-2</v>
      </c>
    </row>
    <row r="45" spans="3:83" x14ac:dyDescent="0.25">
      <c r="AU45">
        <v>8.1999999999999993</v>
      </c>
      <c r="AV45" s="30">
        <v>3.272727272727273E-2</v>
      </c>
      <c r="AW45" s="30">
        <v>3.272727272727273E-2</v>
      </c>
      <c r="AX45" s="30">
        <v>3.272727272727273E-2</v>
      </c>
      <c r="AY45" s="30">
        <v>3.272727272727273E-2</v>
      </c>
      <c r="AZ45" s="30">
        <v>3.272727272727273E-2</v>
      </c>
      <c r="BA45" s="30">
        <v>3.272727272727273E-2</v>
      </c>
      <c r="BB45" s="30">
        <v>3.272727272727273E-2</v>
      </c>
      <c r="BC45" s="30">
        <v>3.272727272727273E-2</v>
      </c>
      <c r="BD45" s="30">
        <v>3.272727272727273E-2</v>
      </c>
      <c r="BE45" s="30">
        <v>3.272727272727273E-2</v>
      </c>
      <c r="BF45" s="30">
        <v>3.272727272727273E-2</v>
      </c>
      <c r="BG45" s="30">
        <v>3.272727272727273E-2</v>
      </c>
      <c r="BH45" s="30">
        <v>3.272727272727273E-2</v>
      </c>
      <c r="BI45" s="30">
        <v>3.272727272727273E-2</v>
      </c>
      <c r="BJ45" s="30">
        <v>3.272727272727273E-2</v>
      </c>
      <c r="BK45" s="30">
        <v>3.272727272727273E-2</v>
      </c>
      <c r="BL45" s="30">
        <v>3.272727272727273E-2</v>
      </c>
      <c r="BM45" s="30">
        <v>3.272727272727273E-2</v>
      </c>
      <c r="BN45" s="30">
        <v>3.272727272727273E-2</v>
      </c>
      <c r="BO45" s="30">
        <v>1.6363636363636365E-2</v>
      </c>
    </row>
    <row r="46" spans="3:83" x14ac:dyDescent="0.25">
      <c r="AU46">
        <v>9.1</v>
      </c>
      <c r="AV46">
        <v>2.3076923076923078E-2</v>
      </c>
      <c r="AW46">
        <v>2.3076923076923078E-2</v>
      </c>
      <c r="AX46">
        <v>2.3076923076923078E-2</v>
      </c>
      <c r="AY46">
        <v>2.3076923076923078E-2</v>
      </c>
      <c r="AZ46">
        <v>2.3076923076923078E-2</v>
      </c>
      <c r="BA46">
        <v>2.3076923076923078E-2</v>
      </c>
      <c r="BB46">
        <v>2.3076923076923078E-2</v>
      </c>
      <c r="BC46">
        <v>2.3076923076923078E-2</v>
      </c>
      <c r="BD46">
        <v>2.3076923076923078E-2</v>
      </c>
      <c r="BE46">
        <v>2.3076923076923078E-2</v>
      </c>
      <c r="BF46">
        <v>2.3076923076923078E-2</v>
      </c>
      <c r="BG46">
        <v>2.3076923076923078E-2</v>
      </c>
      <c r="BH46">
        <v>2.3076923076923078E-2</v>
      </c>
      <c r="BI46">
        <v>2.3076923076923078E-2</v>
      </c>
      <c r="BJ46">
        <v>2.3076923076923078E-2</v>
      </c>
      <c r="BK46">
        <v>2.3076923076923078E-2</v>
      </c>
      <c r="BL46">
        <v>2.3076923076923078E-2</v>
      </c>
      <c r="BM46">
        <v>2.3076923076923078E-2</v>
      </c>
      <c r="BN46">
        <v>2.3076923076923078E-2</v>
      </c>
      <c r="BO46">
        <v>2.3076923076923078E-2</v>
      </c>
      <c r="BP46">
        <v>2.3076923076923078E-2</v>
      </c>
      <c r="BQ46">
        <v>2.3076923076923078E-2</v>
      </c>
      <c r="BR46">
        <v>2.3076923076923078E-2</v>
      </c>
      <c r="BS46">
        <v>2.3076923076923078E-2</v>
      </c>
      <c r="BT46">
        <v>2.3076923076923078E-2</v>
      </c>
      <c r="BU46">
        <v>2.3076923076923078E-2</v>
      </c>
      <c r="BV46">
        <v>2.3076923076923078E-2</v>
      </c>
      <c r="BW46">
        <v>2.3076923076923078E-2</v>
      </c>
      <c r="BX46">
        <v>2.3076923076923078E-2</v>
      </c>
      <c r="BY46">
        <v>2.3076923076923078E-2</v>
      </c>
    </row>
    <row r="47" spans="3:83" x14ac:dyDescent="0.25">
      <c r="AU47">
        <v>9.1999999999999993</v>
      </c>
      <c r="AV47" s="30">
        <v>3.272727272727273E-2</v>
      </c>
      <c r="AW47" s="30">
        <v>3.272727272727273E-2</v>
      </c>
      <c r="AX47" s="30">
        <v>3.272727272727273E-2</v>
      </c>
      <c r="AY47" s="30">
        <v>3.272727272727273E-2</v>
      </c>
      <c r="AZ47" s="30">
        <v>3.272727272727273E-2</v>
      </c>
      <c r="BA47" s="30">
        <v>3.272727272727273E-2</v>
      </c>
      <c r="BB47" s="30">
        <v>3.272727272727273E-2</v>
      </c>
      <c r="BC47" s="30">
        <v>3.272727272727273E-2</v>
      </c>
      <c r="BD47" s="30">
        <v>3.272727272727273E-2</v>
      </c>
      <c r="BE47" s="30">
        <v>3.272727272727273E-2</v>
      </c>
      <c r="BF47" s="30">
        <v>3.272727272727273E-2</v>
      </c>
      <c r="BG47" s="30">
        <v>3.272727272727273E-2</v>
      </c>
      <c r="BH47" s="30">
        <v>3.272727272727273E-2</v>
      </c>
      <c r="BI47" s="30">
        <v>3.272727272727273E-2</v>
      </c>
      <c r="BJ47" s="30">
        <v>3.272727272727273E-2</v>
      </c>
      <c r="BK47" s="30">
        <v>3.272727272727273E-2</v>
      </c>
      <c r="BL47" s="30">
        <v>3.272727272727273E-2</v>
      </c>
      <c r="BM47" s="30">
        <v>3.272727272727273E-2</v>
      </c>
      <c r="BN47" s="30">
        <v>1.6363636363636365E-2</v>
      </c>
    </row>
    <row r="48" spans="3:83" x14ac:dyDescent="0.25">
      <c r="F48" s="30">
        <f>F42/A3</f>
        <v>3.1058823529413903E-4</v>
      </c>
      <c r="AU48">
        <v>10.1</v>
      </c>
      <c r="AV48">
        <v>2.3076923076923078E-2</v>
      </c>
      <c r="AW48">
        <v>2.3076923076923078E-2</v>
      </c>
      <c r="AX48">
        <v>2.3076923076923078E-2</v>
      </c>
      <c r="AY48">
        <v>2.3076923076923078E-2</v>
      </c>
      <c r="AZ48">
        <v>2.3076923076923078E-2</v>
      </c>
      <c r="BA48">
        <v>2.3076923076923078E-2</v>
      </c>
      <c r="BB48">
        <v>2.3076923076923078E-2</v>
      </c>
      <c r="BC48">
        <v>2.3076923076923078E-2</v>
      </c>
      <c r="BD48">
        <v>2.3076923076923078E-2</v>
      </c>
      <c r="BE48">
        <v>2.3076923076923078E-2</v>
      </c>
      <c r="BF48">
        <v>2.3076923076923078E-2</v>
      </c>
      <c r="BG48">
        <v>2.3076923076923078E-2</v>
      </c>
      <c r="BH48">
        <v>2.3076923076923078E-2</v>
      </c>
      <c r="BI48">
        <v>2.3076923076923078E-2</v>
      </c>
      <c r="BJ48">
        <v>2.3076923076923078E-2</v>
      </c>
      <c r="BK48">
        <v>2.3076923076923078E-2</v>
      </c>
      <c r="BL48">
        <v>2.3076923076923078E-2</v>
      </c>
      <c r="BM48">
        <v>2.3076923076923078E-2</v>
      </c>
      <c r="BN48">
        <v>2.3076923076923078E-2</v>
      </c>
      <c r="BO48">
        <v>2.3076923076923078E-2</v>
      </c>
      <c r="BP48">
        <v>2.3076923076923078E-2</v>
      </c>
      <c r="BQ48">
        <v>2.3076923076923078E-2</v>
      </c>
      <c r="BR48">
        <v>2.3076923076923078E-2</v>
      </c>
      <c r="BS48">
        <v>2.3076923076923078E-2</v>
      </c>
      <c r="BT48">
        <v>2.3076923076923078E-2</v>
      </c>
      <c r="BU48">
        <v>2.3076923076923078E-2</v>
      </c>
      <c r="BV48">
        <v>2.3076923076923078E-2</v>
      </c>
      <c r="BW48">
        <v>2.3076923076923078E-2</v>
      </c>
      <c r="BX48">
        <v>2.3076923076923078E-2</v>
      </c>
    </row>
    <row r="49" spans="47:87" x14ac:dyDescent="0.25">
      <c r="AU49">
        <v>10.199999999999999</v>
      </c>
      <c r="AV49" s="30">
        <v>3.272727272727273E-2</v>
      </c>
      <c r="AW49" s="30">
        <v>3.272727272727273E-2</v>
      </c>
      <c r="AX49" s="30">
        <v>3.272727272727273E-2</v>
      </c>
      <c r="AY49" s="30">
        <v>3.272727272727273E-2</v>
      </c>
      <c r="AZ49" s="30">
        <v>3.272727272727273E-2</v>
      </c>
      <c r="BA49" s="30">
        <v>3.272727272727273E-2</v>
      </c>
      <c r="BB49" s="30">
        <v>3.272727272727273E-2</v>
      </c>
      <c r="BC49" s="30">
        <v>3.272727272727273E-2</v>
      </c>
      <c r="BD49" s="30">
        <v>3.272727272727273E-2</v>
      </c>
      <c r="BE49" s="30">
        <v>3.272727272727273E-2</v>
      </c>
      <c r="BF49" s="30">
        <v>3.272727272727273E-2</v>
      </c>
      <c r="BG49" s="30">
        <v>3.272727272727273E-2</v>
      </c>
      <c r="BH49" s="30">
        <v>3.272727272727273E-2</v>
      </c>
      <c r="BI49" s="30">
        <v>3.272727272727273E-2</v>
      </c>
      <c r="BJ49" s="30">
        <v>3.272727272727273E-2</v>
      </c>
      <c r="BK49" s="30">
        <v>3.272727272727273E-2</v>
      </c>
      <c r="BL49" s="30">
        <v>3.272727272727273E-2</v>
      </c>
      <c r="BM49" s="30">
        <v>1.6363636363636365E-2</v>
      </c>
    </row>
    <row r="50" spans="47:87" x14ac:dyDescent="0.25">
      <c r="AW50" s="32"/>
      <c r="AX50" s="32"/>
      <c r="AY50" s="32"/>
      <c r="AZ50" s="32"/>
      <c r="BA50" s="32"/>
      <c r="BB50" s="32"/>
      <c r="BC50" s="32"/>
      <c r="BD50" s="32"/>
      <c r="BE50" s="32"/>
      <c r="BF50" s="32"/>
      <c r="BG50" s="32"/>
      <c r="BH50" s="32"/>
      <c r="BI50" s="32"/>
      <c r="BJ50" s="32"/>
      <c r="BK50" s="32"/>
      <c r="BL50" s="32"/>
      <c r="BM50" s="32"/>
      <c r="BN50" s="32"/>
      <c r="BO50" s="32"/>
      <c r="BP50" s="32"/>
      <c r="BQ50" s="32"/>
      <c r="BR50" s="32"/>
    </row>
    <row r="52" spans="47:87" x14ac:dyDescent="0.25">
      <c r="AU52">
        <v>0.1</v>
      </c>
      <c r="AV52">
        <v>0.40013280000000001</v>
      </c>
      <c r="AW52">
        <v>1.3132799999999998E-2</v>
      </c>
      <c r="AX52">
        <v>1.3132799999999998E-2</v>
      </c>
      <c r="AY52">
        <v>1.3132799999999998E-2</v>
      </c>
      <c r="AZ52">
        <v>1.3132799999999998E-2</v>
      </c>
      <c r="BA52">
        <v>1.3132799999999998E-2</v>
      </c>
      <c r="BB52">
        <v>1.3132799999999998E-2</v>
      </c>
      <c r="BC52">
        <v>1.3132799999999998E-2</v>
      </c>
      <c r="BD52">
        <v>1.3132799999999998E-2</v>
      </c>
      <c r="BE52">
        <v>1.3132799999999998E-2</v>
      </c>
      <c r="BF52">
        <v>1.3132799999999998E-2</v>
      </c>
      <c r="BG52">
        <v>1.3132799999999998E-2</v>
      </c>
      <c r="BH52">
        <v>1.3132799999999998E-2</v>
      </c>
      <c r="BI52">
        <v>1.3132799999999998E-2</v>
      </c>
      <c r="BJ52">
        <v>1.3132799999999998E-2</v>
      </c>
      <c r="BK52">
        <v>1.3132799999999998E-2</v>
      </c>
      <c r="BL52">
        <v>1.3132799999999998E-2</v>
      </c>
      <c r="BM52">
        <v>1.3132799999999998E-2</v>
      </c>
      <c r="BN52">
        <v>1.3132799999999998E-2</v>
      </c>
      <c r="BO52">
        <v>1.3132799999999998E-2</v>
      </c>
      <c r="BP52">
        <v>1.3132799999999998E-2</v>
      </c>
      <c r="BQ52">
        <v>1.3132799999999998E-2</v>
      </c>
      <c r="BR52">
        <v>1.3132799999999998E-2</v>
      </c>
      <c r="BS52">
        <v>1.3132799999999998E-2</v>
      </c>
      <c r="BT52">
        <v>1.3132799999999998E-2</v>
      </c>
      <c r="BU52">
        <v>1.3132799999999998E-2</v>
      </c>
      <c r="BV52">
        <v>1.3132799999999998E-2</v>
      </c>
      <c r="BW52">
        <v>1.3132799999999998E-2</v>
      </c>
      <c r="BX52">
        <v>1.3132799999999998E-2</v>
      </c>
      <c r="BY52">
        <v>1.3132799999999998E-2</v>
      </c>
      <c r="BZ52">
        <v>1.3132799999999998E-2</v>
      </c>
      <c r="CA52">
        <v>1.3132799999999998E-2</v>
      </c>
      <c r="CB52">
        <v>1.3132799999999998E-2</v>
      </c>
      <c r="CC52">
        <v>1.3132799999999998E-2</v>
      </c>
      <c r="CD52">
        <v>1.3132799999999998E-2</v>
      </c>
      <c r="CE52">
        <v>1.3132799999999998E-2</v>
      </c>
      <c r="CF52">
        <v>1.3132799999999998E-2</v>
      </c>
      <c r="CG52">
        <v>1.3132799999999998E-2</v>
      </c>
      <c r="CH52">
        <v>1.3132799999999998E-2</v>
      </c>
      <c r="CI52">
        <v>8.2079999999968103E-4</v>
      </c>
    </row>
    <row r="53" spans="47:87" x14ac:dyDescent="0.25">
      <c r="AU53">
        <v>0.2</v>
      </c>
      <c r="AV53" s="32">
        <v>0.33623550000000002</v>
      </c>
      <c r="AW53" s="32">
        <v>2.1235500000000001E-2</v>
      </c>
      <c r="AX53" s="32">
        <v>2.1235500000000001E-2</v>
      </c>
      <c r="AY53" s="32">
        <v>2.1235500000000001E-2</v>
      </c>
      <c r="AZ53" s="32">
        <v>2.1235500000000001E-2</v>
      </c>
      <c r="BA53" s="32">
        <v>2.1235500000000001E-2</v>
      </c>
      <c r="BB53" s="32">
        <v>2.1235500000000001E-2</v>
      </c>
      <c r="BC53" s="32">
        <v>2.1235500000000001E-2</v>
      </c>
      <c r="BD53" s="32">
        <v>2.1235500000000001E-2</v>
      </c>
      <c r="BE53" s="32">
        <v>2.1235500000000001E-2</v>
      </c>
      <c r="BF53" s="32">
        <v>2.1235500000000001E-2</v>
      </c>
      <c r="BG53" s="32">
        <v>2.1235500000000001E-2</v>
      </c>
      <c r="BH53" s="32">
        <v>2.1235500000000001E-2</v>
      </c>
      <c r="BI53" s="32">
        <v>2.1235500000000001E-2</v>
      </c>
      <c r="BJ53" s="32">
        <v>2.1235500000000001E-2</v>
      </c>
      <c r="BK53" s="32">
        <v>2.1235500000000001E-2</v>
      </c>
      <c r="BL53" s="32">
        <v>2.1235500000000001E-2</v>
      </c>
      <c r="BM53" s="32">
        <v>2.1235500000000001E-2</v>
      </c>
      <c r="BN53" s="32">
        <v>2.1235500000000001E-2</v>
      </c>
      <c r="BO53" s="32">
        <v>2.1235500000000001E-2</v>
      </c>
      <c r="BP53" s="32">
        <v>2.1235500000000001E-2</v>
      </c>
      <c r="BQ53" s="32">
        <v>2.1235500000000001E-2</v>
      </c>
      <c r="BR53" s="32">
        <v>2.1235500000000001E-2</v>
      </c>
      <c r="BS53" s="32">
        <v>2.1235500000000001E-2</v>
      </c>
      <c r="BT53" s="32">
        <v>2.1235500000000001E-2</v>
      </c>
      <c r="BU53" s="32">
        <v>2.1235500000000001E-2</v>
      </c>
      <c r="BV53" s="32">
        <v>2.1235500000000001E-2</v>
      </c>
      <c r="BW53" s="32">
        <v>1.1641500000000001E-2</v>
      </c>
      <c r="BX53" s="29"/>
      <c r="BY53" s="29"/>
      <c r="BZ53" s="29"/>
      <c r="CA53" s="29"/>
      <c r="CB53" s="29"/>
      <c r="CC53" s="29"/>
      <c r="CD53" s="29"/>
    </row>
    <row r="54" spans="47:87" x14ac:dyDescent="0.25">
      <c r="AU54">
        <v>1.1000000000000001</v>
      </c>
      <c r="AV54" s="29">
        <v>0.40726707692307695</v>
      </c>
      <c r="AW54" s="29">
        <v>1.2672000000000001E-2</v>
      </c>
      <c r="AX54" s="29">
        <v>1.2672000000000001E-2</v>
      </c>
      <c r="AY54" s="29">
        <v>1.2672000000000001E-2</v>
      </c>
      <c r="AZ54" s="29">
        <v>1.2672000000000001E-2</v>
      </c>
      <c r="BA54" s="29">
        <v>1.2672000000000001E-2</v>
      </c>
      <c r="BB54" s="29">
        <v>1.2672000000000001E-2</v>
      </c>
      <c r="BC54" s="29">
        <v>1.2672000000000001E-2</v>
      </c>
      <c r="BD54" s="29">
        <v>1.2672000000000001E-2</v>
      </c>
      <c r="BE54" s="29">
        <v>1.2672000000000001E-2</v>
      </c>
      <c r="BF54" s="29">
        <v>1.2672000000000001E-2</v>
      </c>
      <c r="BG54" s="29">
        <v>1.2672000000000001E-2</v>
      </c>
      <c r="BH54" s="29">
        <v>1.2672000000000001E-2</v>
      </c>
      <c r="BI54" s="29">
        <v>1.2672000000000001E-2</v>
      </c>
      <c r="BJ54" s="29">
        <v>1.2672000000000001E-2</v>
      </c>
      <c r="BK54" s="29">
        <v>1.2672000000000001E-2</v>
      </c>
      <c r="BL54" s="29">
        <v>1.2672000000000001E-2</v>
      </c>
      <c r="BM54" s="29">
        <v>1.2672000000000001E-2</v>
      </c>
      <c r="BN54" s="29">
        <v>1.2672000000000001E-2</v>
      </c>
      <c r="BO54" s="29">
        <v>1.2672000000000001E-2</v>
      </c>
      <c r="BP54" s="29">
        <v>1.2672000000000001E-2</v>
      </c>
      <c r="BQ54" s="29">
        <v>1.2672000000000001E-2</v>
      </c>
      <c r="BR54" s="29">
        <v>1.2672000000000001E-2</v>
      </c>
      <c r="BS54" s="29">
        <v>1.2672000000000001E-2</v>
      </c>
      <c r="BT54" s="29">
        <v>1.2672000000000001E-2</v>
      </c>
      <c r="BU54" s="29">
        <v>1.2672000000000001E-2</v>
      </c>
      <c r="BV54" s="29">
        <v>1.2672000000000001E-2</v>
      </c>
      <c r="BW54" s="29">
        <v>1.2672000000000001E-2</v>
      </c>
      <c r="BX54" s="29">
        <v>1.2672000000000001E-2</v>
      </c>
      <c r="BY54" s="29">
        <v>1.2672000000000001E-2</v>
      </c>
      <c r="BZ54" s="29">
        <v>1.2672000000000001E-2</v>
      </c>
      <c r="CA54" s="29">
        <v>1.2672000000000001E-2</v>
      </c>
      <c r="CB54" s="29">
        <v>1.2672000000000001E-2</v>
      </c>
      <c r="CC54" s="29">
        <v>1.2672000000000001E-2</v>
      </c>
      <c r="CD54" s="29">
        <v>1.2672000000000001E-2</v>
      </c>
      <c r="CE54" s="29">
        <v>1.2672000000000001E-2</v>
      </c>
      <c r="CF54" s="29">
        <v>1.2672000000000001E-2</v>
      </c>
      <c r="CG54" s="29">
        <v>1.2672000000000001E-2</v>
      </c>
      <c r="CH54" s="29">
        <v>7.920000000000546E-4</v>
      </c>
    </row>
    <row r="55" spans="47:87" x14ac:dyDescent="0.25">
      <c r="AU55">
        <v>1.2</v>
      </c>
      <c r="AV55" s="32">
        <v>0.32474372727272727</v>
      </c>
      <c r="AW55" s="32">
        <v>2.1235500000000001E-2</v>
      </c>
      <c r="AX55" s="32">
        <v>2.1235500000000001E-2</v>
      </c>
      <c r="AY55" s="32">
        <v>2.1235500000000001E-2</v>
      </c>
      <c r="AZ55" s="32">
        <v>2.1235500000000001E-2</v>
      </c>
      <c r="BA55" s="32">
        <v>2.1235500000000001E-2</v>
      </c>
      <c r="BB55" s="32">
        <v>2.1235500000000001E-2</v>
      </c>
      <c r="BC55" s="32">
        <v>2.1235500000000001E-2</v>
      </c>
      <c r="BD55" s="32">
        <v>2.1235500000000001E-2</v>
      </c>
      <c r="BE55" s="32">
        <v>2.1235500000000001E-2</v>
      </c>
      <c r="BF55" s="32">
        <v>2.1235500000000001E-2</v>
      </c>
      <c r="BG55" s="32">
        <v>2.1235500000000001E-2</v>
      </c>
      <c r="BH55" s="32">
        <v>2.1235500000000001E-2</v>
      </c>
      <c r="BI55" s="32">
        <v>2.1235500000000001E-2</v>
      </c>
      <c r="BJ55" s="32">
        <v>2.1235500000000001E-2</v>
      </c>
      <c r="BK55" s="32">
        <v>2.1235500000000001E-2</v>
      </c>
      <c r="BL55" s="32">
        <v>2.1235500000000001E-2</v>
      </c>
      <c r="BM55" s="32">
        <v>2.1235500000000001E-2</v>
      </c>
      <c r="BN55" s="32">
        <v>2.1235500000000001E-2</v>
      </c>
      <c r="BO55" s="32">
        <v>2.1235500000000001E-2</v>
      </c>
      <c r="BP55" s="32">
        <v>2.1235500000000001E-2</v>
      </c>
      <c r="BQ55" s="32">
        <v>2.1235500000000001E-2</v>
      </c>
      <c r="BR55" s="32">
        <v>2.1235500000000001E-2</v>
      </c>
      <c r="BS55" s="32">
        <v>2.1235500000000001E-2</v>
      </c>
      <c r="BT55" s="32">
        <v>2.1235500000000001E-2</v>
      </c>
      <c r="BU55" s="32">
        <v>2.1235500000000001E-2</v>
      </c>
      <c r="BV55" s="32">
        <v>1.1641500000000001E-2</v>
      </c>
      <c r="BW55" s="29"/>
      <c r="BX55" s="29"/>
      <c r="BY55" s="29"/>
      <c r="BZ55" s="29"/>
      <c r="CA55" s="29"/>
      <c r="CB55" s="29"/>
      <c r="CC55" s="29"/>
      <c r="CD55" s="29"/>
    </row>
    <row r="56" spans="47:87" x14ac:dyDescent="0.25">
      <c r="AU56">
        <v>2.1</v>
      </c>
      <c r="AV56" s="29">
        <v>0.28482700384615384</v>
      </c>
      <c r="AW56" s="29">
        <v>3.2611050000000003E-2</v>
      </c>
      <c r="AX56" s="29">
        <v>3.0406950000000006E-2</v>
      </c>
      <c r="AY56" s="29">
        <v>2.6081099999999999E-2</v>
      </c>
      <c r="AZ56" s="29">
        <v>2.2129650000000001E-2</v>
      </c>
      <c r="BA56" s="29">
        <v>2.0319300000000002E-2</v>
      </c>
      <c r="BB56" s="29">
        <v>1.8522900000000002E-2</v>
      </c>
      <c r="BC56" s="29">
        <v>1.8513000000000002E-2</v>
      </c>
      <c r="BD56" s="29">
        <v>1.8522900000000002E-2</v>
      </c>
      <c r="BE56" s="29">
        <v>1.8513000000000002E-2</v>
      </c>
      <c r="BF56" s="29">
        <v>1.8522900000000002E-2</v>
      </c>
      <c r="BG56" s="29">
        <v>1.8513000000000002E-2</v>
      </c>
      <c r="BH56" s="29">
        <v>1.8522900000000002E-2</v>
      </c>
      <c r="BI56" s="29">
        <v>1.5592500000000002E-2</v>
      </c>
      <c r="BJ56" s="29">
        <v>1.2672000000000001E-2</v>
      </c>
      <c r="BK56" s="29">
        <v>1.2672000000000001E-2</v>
      </c>
      <c r="BL56" s="29">
        <v>1.2672000000000001E-2</v>
      </c>
      <c r="BM56" s="29">
        <v>1.2672000000000001E-2</v>
      </c>
      <c r="BN56" s="29">
        <v>1.2672000000000001E-2</v>
      </c>
      <c r="BO56" s="29">
        <v>1.2672000000000001E-2</v>
      </c>
      <c r="BP56" s="29">
        <v>1.2672000000000001E-2</v>
      </c>
      <c r="BQ56" s="29">
        <v>1.2672000000000001E-2</v>
      </c>
      <c r="BR56" s="29">
        <v>1.2672000000000001E-2</v>
      </c>
      <c r="BS56" s="29">
        <v>1.2672000000000001E-2</v>
      </c>
      <c r="BT56" s="29">
        <v>1.2672000000000001E-2</v>
      </c>
      <c r="BU56" s="29">
        <v>1.2672000000000001E-2</v>
      </c>
      <c r="BV56" s="29">
        <v>1.2672000000000001E-2</v>
      </c>
      <c r="BW56" s="29">
        <v>1.2672000000000001E-2</v>
      </c>
      <c r="BX56" s="29">
        <v>1.2672000000000001E-2</v>
      </c>
      <c r="BY56" s="29">
        <v>1.2672000000000001E-2</v>
      </c>
      <c r="BZ56" s="29">
        <v>1.2672000000000001E-2</v>
      </c>
      <c r="CA56" s="29">
        <v>1.2672000000000001E-2</v>
      </c>
      <c r="CB56" s="29">
        <v>1.2672000000000001E-2</v>
      </c>
      <c r="CC56" s="29">
        <v>1.2672000000000001E-2</v>
      </c>
      <c r="CD56" s="29">
        <v>1.2672000000000001E-2</v>
      </c>
      <c r="CE56" s="29">
        <v>1.2672000000000001E-2</v>
      </c>
      <c r="CF56" s="29">
        <v>1.2672000000000001E-2</v>
      </c>
      <c r="CG56" s="29">
        <v>7.9199999999999995E-4</v>
      </c>
    </row>
    <row r="57" spans="47:87" x14ac:dyDescent="0.25">
      <c r="AU57">
        <v>2.2000000000000002</v>
      </c>
      <c r="AV57" s="28">
        <v>0.22239020454545452</v>
      </c>
      <c r="AW57" s="28">
        <v>3.5769599999999999E-2</v>
      </c>
      <c r="AX57" s="28">
        <v>3.5041949999999995E-2</v>
      </c>
      <c r="AY57" s="28">
        <v>3.0751650000000002E-2</v>
      </c>
      <c r="AZ57" s="28">
        <v>2.6811000000000001E-2</v>
      </c>
      <c r="BA57" s="28">
        <v>2.6811000000000001E-2</v>
      </c>
      <c r="BB57" s="28">
        <v>2.6820449999999999E-2</v>
      </c>
      <c r="BC57" s="28">
        <v>2.6811000000000001E-2</v>
      </c>
      <c r="BD57" s="28">
        <v>2.6820449999999999E-2</v>
      </c>
      <c r="BE57" s="28">
        <v>2.6811000000000001E-2</v>
      </c>
      <c r="BF57" s="28">
        <v>2.6820449999999999E-2</v>
      </c>
      <c r="BG57" s="28">
        <v>2.6811000000000001E-2</v>
      </c>
      <c r="BH57" s="28">
        <v>2.6820449999999999E-2</v>
      </c>
      <c r="BI57" s="28">
        <v>2.4023249999999999E-2</v>
      </c>
      <c r="BJ57" s="28">
        <v>2.1235500000000001E-2</v>
      </c>
      <c r="BK57" s="28">
        <v>2.1235500000000001E-2</v>
      </c>
      <c r="BL57" s="28">
        <v>2.1235500000000001E-2</v>
      </c>
      <c r="BM57" s="28">
        <v>2.1235500000000001E-2</v>
      </c>
      <c r="BN57" s="28">
        <v>2.1235500000000001E-2</v>
      </c>
      <c r="BO57" s="28">
        <v>2.1235500000000001E-2</v>
      </c>
      <c r="BP57" s="28">
        <v>2.1235500000000001E-2</v>
      </c>
      <c r="BQ57" s="28">
        <v>2.1235500000000001E-2</v>
      </c>
      <c r="BR57" s="28">
        <v>2.1235500000000001E-2</v>
      </c>
      <c r="BS57" s="28">
        <v>2.1235500000000001E-2</v>
      </c>
      <c r="BT57" s="28">
        <v>2.1235500000000001E-2</v>
      </c>
      <c r="BU57" s="28">
        <v>1.1641500000000001E-2</v>
      </c>
      <c r="BV57" s="29"/>
      <c r="BW57" s="29"/>
      <c r="BX57" s="29"/>
      <c r="BY57" s="29"/>
      <c r="BZ57" s="29"/>
      <c r="CA57" s="29"/>
      <c r="CB57" s="29"/>
      <c r="CC57" s="29"/>
      <c r="CD57" s="29"/>
    </row>
    <row r="58" spans="47:87" x14ac:dyDescent="0.25">
      <c r="AU58">
        <v>3.1</v>
      </c>
      <c r="AV58" s="29">
        <v>0.29436113076923076</v>
      </c>
      <c r="AW58" s="29">
        <v>3.0406950000000006E-2</v>
      </c>
      <c r="AX58" s="29">
        <v>2.6081099999999999E-2</v>
      </c>
      <c r="AY58" s="29">
        <v>2.2129650000000001E-2</v>
      </c>
      <c r="AZ58" s="29">
        <v>2.0319300000000002E-2</v>
      </c>
      <c r="BA58" s="29">
        <v>1.8522900000000002E-2</v>
      </c>
      <c r="BB58" s="29">
        <v>1.8513000000000002E-2</v>
      </c>
      <c r="BC58" s="29">
        <v>1.8522900000000002E-2</v>
      </c>
      <c r="BD58" s="29">
        <v>1.8513000000000002E-2</v>
      </c>
      <c r="BE58" s="29">
        <v>1.8522900000000002E-2</v>
      </c>
      <c r="BF58" s="29">
        <v>1.8513000000000002E-2</v>
      </c>
      <c r="BG58" s="29">
        <v>1.8522900000000002E-2</v>
      </c>
      <c r="BH58" s="29">
        <v>1.5592500000000002E-2</v>
      </c>
      <c r="BI58" s="29">
        <v>1.2672000000000001E-2</v>
      </c>
      <c r="BJ58" s="29">
        <v>1.2672000000000001E-2</v>
      </c>
      <c r="BK58" s="29">
        <v>1.2672000000000001E-2</v>
      </c>
      <c r="BL58" s="29">
        <v>1.2672000000000001E-2</v>
      </c>
      <c r="BM58" s="29">
        <v>1.2672000000000001E-2</v>
      </c>
      <c r="BN58" s="29">
        <v>1.2672000000000001E-2</v>
      </c>
      <c r="BO58" s="29">
        <v>1.2672000000000001E-2</v>
      </c>
      <c r="BP58" s="29">
        <v>1.2672000000000001E-2</v>
      </c>
      <c r="BQ58" s="29">
        <v>1.2672000000000001E-2</v>
      </c>
      <c r="BR58" s="29">
        <v>1.2672000000000001E-2</v>
      </c>
      <c r="BS58" s="29">
        <v>1.2672000000000001E-2</v>
      </c>
      <c r="BT58" s="29">
        <v>1.2672000000000001E-2</v>
      </c>
      <c r="BU58" s="29">
        <v>1.2672000000000001E-2</v>
      </c>
      <c r="BV58" s="29">
        <v>1.2672000000000001E-2</v>
      </c>
      <c r="BW58" s="29">
        <v>1.2672000000000001E-2</v>
      </c>
      <c r="BX58" s="29">
        <v>1.2672000000000001E-2</v>
      </c>
      <c r="BY58" s="29">
        <v>1.2672000000000001E-2</v>
      </c>
      <c r="BZ58" s="29">
        <v>1.2672000000000001E-2</v>
      </c>
      <c r="CA58" s="29">
        <v>1.2672000000000001E-2</v>
      </c>
      <c r="CB58" s="29">
        <v>1.2672000000000001E-2</v>
      </c>
      <c r="CC58" s="29">
        <v>1.2672000000000001E-2</v>
      </c>
      <c r="CD58" s="29">
        <v>1.2672000000000001E-2</v>
      </c>
      <c r="CE58" s="29">
        <v>1.2672000000000001E-2</v>
      </c>
      <c r="CF58" s="29">
        <v>7.9199999999999995E-4</v>
      </c>
    </row>
    <row r="59" spans="47:87" x14ac:dyDescent="0.25">
      <c r="AU59">
        <v>3.2</v>
      </c>
      <c r="AV59" s="28">
        <v>0.22543253181818182</v>
      </c>
      <c r="AW59" s="28">
        <v>3.5041949999999995E-2</v>
      </c>
      <c r="AX59" s="28">
        <v>3.0751650000000002E-2</v>
      </c>
      <c r="AY59" s="28">
        <v>2.6811000000000001E-2</v>
      </c>
      <c r="AZ59" s="28">
        <v>2.6811000000000001E-2</v>
      </c>
      <c r="BA59" s="28">
        <v>2.6820449999999999E-2</v>
      </c>
      <c r="BB59" s="28">
        <v>2.6811000000000001E-2</v>
      </c>
      <c r="BC59" s="28">
        <v>2.6820449999999999E-2</v>
      </c>
      <c r="BD59" s="28">
        <v>2.6811000000000001E-2</v>
      </c>
      <c r="BE59" s="28">
        <v>2.6820449999999999E-2</v>
      </c>
      <c r="BF59" s="28">
        <v>2.6811000000000001E-2</v>
      </c>
      <c r="BG59" s="28">
        <v>2.6820449999999999E-2</v>
      </c>
      <c r="BH59" s="28">
        <v>2.4023249999999999E-2</v>
      </c>
      <c r="BI59" s="28">
        <v>2.1235500000000001E-2</v>
      </c>
      <c r="BJ59" s="28">
        <v>2.1235500000000001E-2</v>
      </c>
      <c r="BK59" s="28">
        <v>2.1235500000000001E-2</v>
      </c>
      <c r="BL59" s="28">
        <v>2.1235500000000001E-2</v>
      </c>
      <c r="BM59" s="28">
        <v>2.1235500000000001E-2</v>
      </c>
      <c r="BN59" s="28">
        <v>2.1235500000000001E-2</v>
      </c>
      <c r="BO59" s="28">
        <v>2.1235500000000001E-2</v>
      </c>
      <c r="BP59" s="28">
        <v>2.1235500000000001E-2</v>
      </c>
      <c r="BQ59" s="28">
        <v>2.1235500000000001E-2</v>
      </c>
      <c r="BR59" s="28">
        <v>2.1235500000000001E-2</v>
      </c>
      <c r="BS59" s="28">
        <v>2.1235500000000001E-2</v>
      </c>
      <c r="BT59" s="28">
        <v>1.1641500000000001E-2</v>
      </c>
      <c r="BU59" s="29"/>
      <c r="BV59" s="29"/>
      <c r="BW59" s="29"/>
      <c r="BX59" s="29"/>
      <c r="BY59" s="29"/>
      <c r="BZ59" s="29"/>
      <c r="CA59" s="29"/>
      <c r="CB59" s="29"/>
      <c r="CC59" s="29"/>
      <c r="CD59" s="29"/>
    </row>
    <row r="60" spans="47:87" x14ac:dyDescent="0.25">
      <c r="AU60">
        <v>4.0999999999999996</v>
      </c>
      <c r="AV60" s="29">
        <v>0.3016911576923077</v>
      </c>
      <c r="AW60" s="29">
        <v>2.6081099999999999E-2</v>
      </c>
      <c r="AX60" s="29">
        <v>2.2129650000000001E-2</v>
      </c>
      <c r="AY60" s="29">
        <v>2.0319300000000002E-2</v>
      </c>
      <c r="AZ60" s="29">
        <v>1.8522900000000002E-2</v>
      </c>
      <c r="BA60" s="29">
        <v>1.8513000000000002E-2</v>
      </c>
      <c r="BB60" s="29">
        <v>1.8522900000000002E-2</v>
      </c>
      <c r="BC60" s="29">
        <v>1.8513000000000002E-2</v>
      </c>
      <c r="BD60" s="29">
        <v>1.8522900000000002E-2</v>
      </c>
      <c r="BE60" s="29">
        <v>1.8513000000000002E-2</v>
      </c>
      <c r="BF60" s="29">
        <v>1.8522900000000002E-2</v>
      </c>
      <c r="BG60" s="29">
        <v>1.5592500000000002E-2</v>
      </c>
      <c r="BH60" s="29">
        <v>1.2672000000000001E-2</v>
      </c>
      <c r="BI60" s="29">
        <v>1.2672000000000001E-2</v>
      </c>
      <c r="BJ60" s="29">
        <v>1.2672000000000001E-2</v>
      </c>
      <c r="BK60" s="29">
        <v>1.2672000000000001E-2</v>
      </c>
      <c r="BL60" s="29">
        <v>1.2672000000000001E-2</v>
      </c>
      <c r="BM60" s="29">
        <v>1.2672000000000001E-2</v>
      </c>
      <c r="BN60" s="29">
        <v>1.2672000000000001E-2</v>
      </c>
      <c r="BO60" s="29">
        <v>1.2672000000000001E-2</v>
      </c>
      <c r="BP60" s="29">
        <v>1.2672000000000001E-2</v>
      </c>
      <c r="BQ60" s="29">
        <v>1.2672000000000001E-2</v>
      </c>
      <c r="BR60" s="29">
        <v>1.2672000000000001E-2</v>
      </c>
      <c r="BS60" s="29">
        <v>1.2672000000000001E-2</v>
      </c>
      <c r="BT60" s="29">
        <v>1.2672000000000001E-2</v>
      </c>
      <c r="BU60" s="29">
        <v>1.2672000000000001E-2</v>
      </c>
      <c r="BV60" s="29">
        <v>1.2672000000000001E-2</v>
      </c>
      <c r="BW60" s="29">
        <v>1.2672000000000001E-2</v>
      </c>
      <c r="BX60" s="29">
        <v>1.2672000000000001E-2</v>
      </c>
      <c r="BY60" s="29">
        <v>1.2672000000000001E-2</v>
      </c>
      <c r="BZ60" s="29">
        <v>1.2672000000000001E-2</v>
      </c>
      <c r="CA60" s="29">
        <v>1.2672000000000001E-2</v>
      </c>
      <c r="CB60" s="29">
        <v>1.2672000000000001E-2</v>
      </c>
      <c r="CC60" s="29">
        <v>1.2672000000000001E-2</v>
      </c>
      <c r="CD60" s="29">
        <v>1.2672000000000001E-2</v>
      </c>
      <c r="CE60" s="29">
        <v>7.9199999999999995E-4</v>
      </c>
    </row>
    <row r="61" spans="47:87" x14ac:dyDescent="0.25">
      <c r="AU61">
        <v>4.2</v>
      </c>
      <c r="AV61" s="28">
        <v>0.22774720909090904</v>
      </c>
      <c r="AW61" s="28">
        <v>3.0751650000000002E-2</v>
      </c>
      <c r="AX61" s="28">
        <v>2.6811000000000001E-2</v>
      </c>
      <c r="AY61" s="28">
        <v>2.6811000000000001E-2</v>
      </c>
      <c r="AZ61" s="28">
        <v>2.6820449999999999E-2</v>
      </c>
      <c r="BA61" s="28">
        <v>2.6811000000000001E-2</v>
      </c>
      <c r="BB61" s="28">
        <v>2.6820449999999999E-2</v>
      </c>
      <c r="BC61" s="28">
        <v>2.6811000000000001E-2</v>
      </c>
      <c r="BD61" s="28">
        <v>2.6820449999999999E-2</v>
      </c>
      <c r="BE61" s="28">
        <v>2.6811000000000001E-2</v>
      </c>
      <c r="BF61" s="28">
        <v>2.6820449999999999E-2</v>
      </c>
      <c r="BG61" s="28">
        <v>2.4023249999999999E-2</v>
      </c>
      <c r="BH61" s="28">
        <v>2.1235500000000001E-2</v>
      </c>
      <c r="BI61" s="28">
        <v>2.1235500000000001E-2</v>
      </c>
      <c r="BJ61" s="28">
        <v>2.1235500000000001E-2</v>
      </c>
      <c r="BK61" s="28">
        <v>2.1235500000000001E-2</v>
      </c>
      <c r="BL61" s="28">
        <v>2.1235500000000001E-2</v>
      </c>
      <c r="BM61" s="28">
        <v>2.1235500000000001E-2</v>
      </c>
      <c r="BN61" s="28">
        <v>2.1235500000000001E-2</v>
      </c>
      <c r="BO61" s="28">
        <v>2.1235500000000001E-2</v>
      </c>
      <c r="BP61" s="28">
        <v>2.1235500000000001E-2</v>
      </c>
      <c r="BQ61" s="28">
        <v>2.1235500000000001E-2</v>
      </c>
      <c r="BR61" s="28">
        <v>2.1235500000000001E-2</v>
      </c>
      <c r="BS61" s="28">
        <v>1.1641500000000001E-2</v>
      </c>
      <c r="BT61" s="29"/>
      <c r="BU61" s="29"/>
      <c r="BV61" s="29"/>
      <c r="BW61" s="29"/>
      <c r="BX61" s="29"/>
      <c r="BY61" s="29"/>
      <c r="BZ61" s="29"/>
      <c r="CA61" s="29"/>
      <c r="CB61" s="29"/>
      <c r="CC61" s="29"/>
      <c r="CD61" s="29"/>
    </row>
    <row r="62" spans="47:87" x14ac:dyDescent="0.25">
      <c r="AU62">
        <v>5.0999999999999996</v>
      </c>
      <c r="AV62" s="29">
        <v>0.30469533461538462</v>
      </c>
      <c r="AW62" s="29">
        <v>2.2129650000000001E-2</v>
      </c>
      <c r="AX62" s="29">
        <v>2.0319300000000002E-2</v>
      </c>
      <c r="AY62" s="29">
        <v>1.8522900000000002E-2</v>
      </c>
      <c r="AZ62" s="29">
        <v>1.8513000000000002E-2</v>
      </c>
      <c r="BA62" s="29">
        <v>1.8522900000000002E-2</v>
      </c>
      <c r="BB62" s="29">
        <v>1.8513000000000002E-2</v>
      </c>
      <c r="BC62" s="29">
        <v>1.8522900000000002E-2</v>
      </c>
      <c r="BD62" s="29">
        <v>1.8513000000000002E-2</v>
      </c>
      <c r="BE62" s="29">
        <v>1.8522900000000002E-2</v>
      </c>
      <c r="BF62" s="29">
        <v>1.5592500000000002E-2</v>
      </c>
      <c r="BG62" s="29">
        <v>1.2672000000000001E-2</v>
      </c>
      <c r="BH62" s="29">
        <v>1.2672000000000001E-2</v>
      </c>
      <c r="BI62" s="29">
        <v>1.2672000000000001E-2</v>
      </c>
      <c r="BJ62" s="29">
        <v>1.2672000000000001E-2</v>
      </c>
      <c r="BK62" s="29">
        <v>1.2672000000000001E-2</v>
      </c>
      <c r="BL62" s="29">
        <v>1.2672000000000001E-2</v>
      </c>
      <c r="BM62" s="29">
        <v>1.2672000000000001E-2</v>
      </c>
      <c r="BN62" s="29">
        <v>1.2672000000000001E-2</v>
      </c>
      <c r="BO62" s="29">
        <v>1.2672000000000001E-2</v>
      </c>
      <c r="BP62" s="29">
        <v>1.2672000000000001E-2</v>
      </c>
      <c r="BQ62" s="29">
        <v>1.2672000000000001E-2</v>
      </c>
      <c r="BR62" s="29">
        <v>1.2672000000000001E-2</v>
      </c>
      <c r="BS62" s="29">
        <v>1.2672000000000001E-2</v>
      </c>
      <c r="BT62" s="29">
        <v>1.2672000000000001E-2</v>
      </c>
      <c r="BU62" s="29">
        <v>1.2672000000000001E-2</v>
      </c>
      <c r="BV62" s="29">
        <v>1.2672000000000001E-2</v>
      </c>
      <c r="BW62" s="29">
        <v>1.2672000000000001E-2</v>
      </c>
      <c r="BX62" s="29">
        <v>1.2672000000000001E-2</v>
      </c>
      <c r="BY62" s="29">
        <v>1.2672000000000001E-2</v>
      </c>
      <c r="BZ62" s="29">
        <v>1.2672000000000001E-2</v>
      </c>
      <c r="CA62" s="29">
        <v>1.2672000000000001E-2</v>
      </c>
      <c r="CB62" s="29">
        <v>1.2672000000000001E-2</v>
      </c>
      <c r="CC62" s="29">
        <v>1.2672000000000001E-2</v>
      </c>
      <c r="CD62" s="29">
        <v>7.9199999999999995E-4</v>
      </c>
    </row>
    <row r="63" spans="47:87" x14ac:dyDescent="0.25">
      <c r="AU63">
        <v>5.2</v>
      </c>
      <c r="AV63" s="28">
        <v>0.22577158636363634</v>
      </c>
      <c r="AW63" s="28">
        <v>2.6811000000000001E-2</v>
      </c>
      <c r="AX63" s="28">
        <v>2.6811000000000001E-2</v>
      </c>
      <c r="AY63" s="28">
        <v>2.6820449999999999E-2</v>
      </c>
      <c r="AZ63" s="28">
        <v>2.6811000000000001E-2</v>
      </c>
      <c r="BA63" s="28">
        <v>2.6820449999999999E-2</v>
      </c>
      <c r="BB63" s="28">
        <v>2.6811000000000001E-2</v>
      </c>
      <c r="BC63" s="28">
        <v>2.6820449999999999E-2</v>
      </c>
      <c r="BD63" s="28">
        <v>2.6811000000000001E-2</v>
      </c>
      <c r="BE63" s="28">
        <v>2.6820449999999999E-2</v>
      </c>
      <c r="BF63" s="28">
        <v>2.4023249999999999E-2</v>
      </c>
      <c r="BG63" s="28">
        <v>2.1235500000000001E-2</v>
      </c>
      <c r="BH63" s="28">
        <v>2.1235500000000001E-2</v>
      </c>
      <c r="BI63" s="28">
        <v>2.1235500000000001E-2</v>
      </c>
      <c r="BJ63" s="28">
        <v>2.1235500000000001E-2</v>
      </c>
      <c r="BK63" s="28">
        <v>2.1235500000000001E-2</v>
      </c>
      <c r="BL63" s="28">
        <v>2.1235500000000001E-2</v>
      </c>
      <c r="BM63" s="28">
        <v>2.1235500000000001E-2</v>
      </c>
      <c r="BN63" s="28">
        <v>2.1235500000000001E-2</v>
      </c>
      <c r="BO63" s="28">
        <v>2.1235500000000001E-2</v>
      </c>
      <c r="BP63" s="28">
        <v>2.1235500000000001E-2</v>
      </c>
      <c r="BQ63" s="28">
        <v>2.1235500000000001E-2</v>
      </c>
      <c r="BR63" s="28">
        <v>1.1641500000000001E-2</v>
      </c>
      <c r="BS63" s="29"/>
      <c r="BT63" s="29"/>
      <c r="BU63" s="29"/>
      <c r="BV63" s="29"/>
      <c r="BW63" s="29"/>
    </row>
    <row r="64" spans="47:87" x14ac:dyDescent="0.25">
      <c r="AU64">
        <v>6.1</v>
      </c>
      <c r="AV64" s="38">
        <v>0.30374806153846162</v>
      </c>
      <c r="AW64" s="38">
        <v>2.0319300000000002E-2</v>
      </c>
      <c r="AX64" s="38">
        <v>1.8522900000000002E-2</v>
      </c>
      <c r="AY64" s="38">
        <v>1.8513000000000002E-2</v>
      </c>
      <c r="AZ64" s="38">
        <v>1.8522900000000002E-2</v>
      </c>
      <c r="BA64" s="38">
        <v>1.8513000000000002E-2</v>
      </c>
      <c r="BB64" s="38">
        <v>1.8522900000000002E-2</v>
      </c>
      <c r="BC64" s="38">
        <v>1.8513000000000002E-2</v>
      </c>
      <c r="BD64" s="38">
        <v>1.8522900000000002E-2</v>
      </c>
      <c r="BE64" s="38">
        <v>1.5592500000000002E-2</v>
      </c>
      <c r="BF64" s="38">
        <v>1.2672000000000001E-2</v>
      </c>
      <c r="BG64" s="38">
        <v>1.2672000000000001E-2</v>
      </c>
      <c r="BH64" s="38">
        <v>1.2672000000000001E-2</v>
      </c>
      <c r="BI64" s="38">
        <v>1.2672000000000001E-2</v>
      </c>
      <c r="BJ64" s="38">
        <v>1.2672000000000001E-2</v>
      </c>
      <c r="BK64" s="38">
        <v>1.2672000000000001E-2</v>
      </c>
      <c r="BL64" s="38">
        <v>1.2672000000000001E-2</v>
      </c>
      <c r="BM64" s="38">
        <v>1.2672000000000001E-2</v>
      </c>
      <c r="BN64" s="38">
        <v>1.2672000000000001E-2</v>
      </c>
      <c r="BO64" s="38">
        <v>1.2672000000000001E-2</v>
      </c>
      <c r="BP64" s="38">
        <v>1.2672000000000001E-2</v>
      </c>
      <c r="BQ64" s="38">
        <v>1.2672000000000001E-2</v>
      </c>
      <c r="BR64" s="38">
        <v>1.2672000000000001E-2</v>
      </c>
      <c r="BS64" s="38">
        <v>1.2672000000000001E-2</v>
      </c>
      <c r="BT64" s="38">
        <v>1.2672000000000001E-2</v>
      </c>
      <c r="BU64" s="38">
        <v>1.2672000000000001E-2</v>
      </c>
      <c r="BV64" s="38">
        <v>1.2672000000000001E-2</v>
      </c>
      <c r="BW64" s="38">
        <v>1.2672000000000001E-2</v>
      </c>
      <c r="BX64" s="38">
        <v>1.2672000000000001E-2</v>
      </c>
      <c r="BY64" s="38">
        <v>1.2672000000000001E-2</v>
      </c>
      <c r="BZ64" s="38">
        <v>1.2672000000000001E-2</v>
      </c>
      <c r="CA64" s="38">
        <v>1.2672000000000001E-2</v>
      </c>
      <c r="CB64" s="38">
        <v>1.2672000000000001E-2</v>
      </c>
      <c r="CC64" s="38">
        <v>7.920000000000546E-4</v>
      </c>
    </row>
    <row r="65" spans="47:80" x14ac:dyDescent="0.25">
      <c r="AU65">
        <v>6.2</v>
      </c>
      <c r="AV65">
        <v>0.21985531363636363</v>
      </c>
      <c r="AW65">
        <v>2.6811000000000001E-2</v>
      </c>
      <c r="AX65">
        <v>2.6820449999999999E-2</v>
      </c>
      <c r="AY65" s="29">
        <v>2.6811000000000001E-2</v>
      </c>
      <c r="AZ65" s="29">
        <v>2.6820449999999999E-2</v>
      </c>
      <c r="BA65" s="29">
        <v>2.6811000000000001E-2</v>
      </c>
      <c r="BB65" s="29">
        <v>2.6820449999999999E-2</v>
      </c>
      <c r="BC65" s="29">
        <v>2.6811000000000001E-2</v>
      </c>
      <c r="BD65" s="29">
        <v>2.6820449999999999E-2</v>
      </c>
      <c r="BE65" s="29">
        <v>2.4023249999999999E-2</v>
      </c>
      <c r="BF65" s="29">
        <v>2.1235500000000001E-2</v>
      </c>
      <c r="BG65" s="29">
        <v>2.1235500000000001E-2</v>
      </c>
      <c r="BH65" s="29">
        <v>2.1235500000000001E-2</v>
      </c>
      <c r="BI65" s="29">
        <v>2.1235500000000001E-2</v>
      </c>
      <c r="BJ65" s="29">
        <v>2.1235500000000001E-2</v>
      </c>
      <c r="BK65" s="29">
        <v>2.1235500000000001E-2</v>
      </c>
      <c r="BL65" s="29">
        <v>2.1235500000000001E-2</v>
      </c>
      <c r="BM65" s="29">
        <v>2.1235500000000001E-2</v>
      </c>
      <c r="BN65" s="29">
        <v>2.1235500000000001E-2</v>
      </c>
      <c r="BO65" s="29">
        <v>2.1235500000000001E-2</v>
      </c>
      <c r="BP65" s="29">
        <v>2.1235500000000001E-2</v>
      </c>
      <c r="BQ65" s="29">
        <v>1.1641500000000001E-2</v>
      </c>
      <c r="BR65" s="32"/>
    </row>
    <row r="66" spans="47:80" x14ac:dyDescent="0.25">
      <c r="AU66">
        <v>7.1</v>
      </c>
      <c r="AV66" s="38">
        <v>0.30099043846153845</v>
      </c>
      <c r="AW66" s="38">
        <v>1.8522900000000002E-2</v>
      </c>
      <c r="AX66" s="38">
        <v>1.8513000000000002E-2</v>
      </c>
      <c r="AY66" s="38">
        <v>1.8522900000000002E-2</v>
      </c>
      <c r="AZ66" s="38">
        <v>1.8513000000000002E-2</v>
      </c>
      <c r="BA66" s="38">
        <v>1.8522900000000002E-2</v>
      </c>
      <c r="BB66" s="38">
        <v>1.8513000000000002E-2</v>
      </c>
      <c r="BC66" s="38">
        <v>1.8522900000000002E-2</v>
      </c>
      <c r="BD66" s="38">
        <v>1.5592500000000002E-2</v>
      </c>
      <c r="BE66" s="38">
        <v>1.2672000000000001E-2</v>
      </c>
      <c r="BF66" s="38">
        <v>1.2672000000000001E-2</v>
      </c>
      <c r="BG66" s="38">
        <v>1.2672000000000001E-2</v>
      </c>
      <c r="BH66" s="38">
        <v>1.2672000000000001E-2</v>
      </c>
      <c r="BI66" s="38">
        <v>1.2672000000000001E-2</v>
      </c>
      <c r="BJ66" s="38">
        <v>1.2672000000000001E-2</v>
      </c>
      <c r="BK66" s="38">
        <v>1.2672000000000001E-2</v>
      </c>
      <c r="BL66" s="38">
        <v>1.2672000000000001E-2</v>
      </c>
      <c r="BM66" s="38">
        <v>1.2672000000000001E-2</v>
      </c>
      <c r="BN66" s="38">
        <v>1.2672000000000001E-2</v>
      </c>
      <c r="BO66" s="38">
        <v>1.2672000000000001E-2</v>
      </c>
      <c r="BP66" s="38">
        <v>1.2672000000000001E-2</v>
      </c>
      <c r="BQ66" s="38">
        <v>1.2672000000000001E-2</v>
      </c>
      <c r="BR66" s="38">
        <v>1.2672000000000001E-2</v>
      </c>
      <c r="BS66" s="38">
        <v>1.2672000000000001E-2</v>
      </c>
      <c r="BT66" s="38">
        <v>1.2672000000000001E-2</v>
      </c>
      <c r="BU66" s="38">
        <v>1.2672000000000001E-2</v>
      </c>
      <c r="BV66" s="38">
        <v>1.2672000000000001E-2</v>
      </c>
      <c r="BW66" s="38">
        <v>1.2672000000000001E-2</v>
      </c>
      <c r="BX66" s="38">
        <v>1.2672000000000001E-2</v>
      </c>
      <c r="BY66" s="38">
        <v>1.2672000000000001E-2</v>
      </c>
      <c r="BZ66" s="38">
        <v>1.2672000000000001E-2</v>
      </c>
      <c r="CA66" s="38">
        <v>1.2672000000000001E-2</v>
      </c>
      <c r="CB66" s="38">
        <v>7.920000000000546E-4</v>
      </c>
    </row>
    <row r="67" spans="47:80" x14ac:dyDescent="0.25">
      <c r="AU67">
        <v>7.2</v>
      </c>
      <c r="AV67">
        <v>0.21393904090909088</v>
      </c>
      <c r="AW67">
        <v>2.6820449999999999E-2</v>
      </c>
      <c r="AX67" s="29">
        <v>2.6811000000000001E-2</v>
      </c>
      <c r="AY67" s="29">
        <v>2.6820449999999999E-2</v>
      </c>
      <c r="AZ67" s="29">
        <v>2.6811000000000001E-2</v>
      </c>
      <c r="BA67" s="29">
        <v>2.6820449999999999E-2</v>
      </c>
      <c r="BB67" s="29">
        <v>2.6811000000000001E-2</v>
      </c>
      <c r="BC67" s="29">
        <v>2.6820449999999999E-2</v>
      </c>
      <c r="BD67" s="29">
        <v>2.4023249999999999E-2</v>
      </c>
      <c r="BE67" s="29">
        <v>2.1235500000000001E-2</v>
      </c>
      <c r="BF67" s="29">
        <v>2.1235500000000001E-2</v>
      </c>
      <c r="BG67" s="29">
        <v>2.1235500000000001E-2</v>
      </c>
      <c r="BH67" s="29">
        <v>2.1235500000000001E-2</v>
      </c>
      <c r="BI67" s="29">
        <v>2.1235500000000001E-2</v>
      </c>
      <c r="BJ67" s="29">
        <v>2.1235500000000001E-2</v>
      </c>
      <c r="BK67" s="29">
        <v>2.1235500000000001E-2</v>
      </c>
      <c r="BL67" s="29">
        <v>2.1235500000000001E-2</v>
      </c>
      <c r="BM67" s="29">
        <v>2.1235500000000001E-2</v>
      </c>
      <c r="BN67" s="29">
        <v>2.1235500000000001E-2</v>
      </c>
      <c r="BO67" s="29">
        <v>2.1235500000000001E-2</v>
      </c>
      <c r="BP67" s="29">
        <v>1.1641500000000001E-2</v>
      </c>
      <c r="BQ67" s="32"/>
      <c r="BR67" s="32"/>
    </row>
    <row r="68" spans="47:80" x14ac:dyDescent="0.25">
      <c r="AU68">
        <v>8.1</v>
      </c>
      <c r="AV68">
        <v>0.2964364153846154</v>
      </c>
      <c r="AW68">
        <v>1.8513000000000002E-2</v>
      </c>
      <c r="AX68">
        <v>1.8522900000000002E-2</v>
      </c>
      <c r="AY68">
        <v>1.8513000000000002E-2</v>
      </c>
      <c r="AZ68">
        <v>1.8522900000000002E-2</v>
      </c>
      <c r="BA68">
        <v>1.8513000000000002E-2</v>
      </c>
      <c r="BB68">
        <v>1.8522900000000002E-2</v>
      </c>
      <c r="BC68">
        <v>1.5592500000000002E-2</v>
      </c>
      <c r="BD68">
        <v>1.2672000000000001E-2</v>
      </c>
      <c r="BE68">
        <v>1.2672000000000001E-2</v>
      </c>
      <c r="BF68">
        <v>1.2672000000000001E-2</v>
      </c>
      <c r="BG68">
        <v>1.2672000000000001E-2</v>
      </c>
      <c r="BH68">
        <v>1.2672000000000001E-2</v>
      </c>
      <c r="BI68">
        <v>1.2672000000000001E-2</v>
      </c>
      <c r="BJ68">
        <v>1.2672000000000001E-2</v>
      </c>
      <c r="BK68">
        <v>1.2672000000000001E-2</v>
      </c>
      <c r="BL68">
        <v>1.2672000000000001E-2</v>
      </c>
      <c r="BM68">
        <v>1.2672000000000001E-2</v>
      </c>
      <c r="BN68">
        <v>1.2672000000000001E-2</v>
      </c>
      <c r="BO68">
        <v>1.2672000000000001E-2</v>
      </c>
      <c r="BP68">
        <v>1.2672000000000001E-2</v>
      </c>
      <c r="BQ68">
        <v>1.2672000000000001E-2</v>
      </c>
      <c r="BR68">
        <v>1.2672000000000001E-2</v>
      </c>
      <c r="BS68">
        <v>1.2672000000000001E-2</v>
      </c>
      <c r="BT68">
        <v>1.2672000000000001E-2</v>
      </c>
      <c r="BU68">
        <v>1.2672000000000001E-2</v>
      </c>
      <c r="BV68">
        <v>1.2672000000000001E-2</v>
      </c>
      <c r="BW68">
        <v>1.2672000000000001E-2</v>
      </c>
      <c r="BX68">
        <v>1.2672000000000001E-2</v>
      </c>
      <c r="BY68">
        <v>1.2672000000000001E-2</v>
      </c>
      <c r="BZ68">
        <v>1.2672000000000001E-2</v>
      </c>
      <c r="CA68">
        <v>7.920000000000546E-4</v>
      </c>
    </row>
    <row r="69" spans="47:80" x14ac:dyDescent="0.25">
      <c r="AU69">
        <v>8.1999999999999993</v>
      </c>
      <c r="AV69">
        <v>0.20803221818181816</v>
      </c>
      <c r="AW69" s="29">
        <v>2.6811000000000001E-2</v>
      </c>
      <c r="AX69" s="29">
        <v>2.6820449999999999E-2</v>
      </c>
      <c r="AY69" s="29">
        <v>2.6811000000000001E-2</v>
      </c>
      <c r="AZ69" s="29">
        <v>2.6820449999999999E-2</v>
      </c>
      <c r="BA69" s="29">
        <v>2.6811000000000001E-2</v>
      </c>
      <c r="BB69" s="29">
        <v>2.6820449999999999E-2</v>
      </c>
      <c r="BC69" s="29">
        <v>2.4023249999999999E-2</v>
      </c>
      <c r="BD69" s="29">
        <v>2.1235500000000001E-2</v>
      </c>
      <c r="BE69" s="29">
        <v>2.1235500000000001E-2</v>
      </c>
      <c r="BF69" s="29">
        <v>2.1235500000000001E-2</v>
      </c>
      <c r="BG69" s="29">
        <v>2.1235500000000001E-2</v>
      </c>
      <c r="BH69" s="29">
        <v>2.1235500000000001E-2</v>
      </c>
      <c r="BI69" s="29">
        <v>2.1235500000000001E-2</v>
      </c>
      <c r="BJ69" s="29">
        <v>2.1235500000000001E-2</v>
      </c>
      <c r="BK69" s="29">
        <v>2.1235500000000001E-2</v>
      </c>
      <c r="BL69" s="29">
        <v>2.1235500000000001E-2</v>
      </c>
      <c r="BM69" s="29">
        <v>2.1235500000000001E-2</v>
      </c>
      <c r="BN69" s="29">
        <v>2.1235500000000001E-2</v>
      </c>
      <c r="BO69" s="29">
        <v>1.1641500000000001E-2</v>
      </c>
      <c r="BP69" s="32"/>
      <c r="BQ69" s="32"/>
      <c r="BR69" s="32"/>
    </row>
    <row r="70" spans="47:80" x14ac:dyDescent="0.25">
      <c r="AU70">
        <v>9.1</v>
      </c>
      <c r="AV70">
        <v>0.29187249230769235</v>
      </c>
      <c r="AW70">
        <v>1.8522900000000002E-2</v>
      </c>
      <c r="AX70">
        <v>1.8513000000000002E-2</v>
      </c>
      <c r="AY70">
        <v>1.8522900000000002E-2</v>
      </c>
      <c r="AZ70">
        <v>1.8513000000000002E-2</v>
      </c>
      <c r="BA70">
        <v>1.8522900000000002E-2</v>
      </c>
      <c r="BB70">
        <v>1.5592500000000002E-2</v>
      </c>
      <c r="BC70">
        <v>1.2672000000000001E-2</v>
      </c>
      <c r="BD70">
        <v>1.2672000000000001E-2</v>
      </c>
      <c r="BE70">
        <v>1.2672000000000001E-2</v>
      </c>
      <c r="BF70">
        <v>1.2672000000000001E-2</v>
      </c>
      <c r="BG70">
        <v>1.2672000000000001E-2</v>
      </c>
      <c r="BH70">
        <v>1.2672000000000001E-2</v>
      </c>
      <c r="BI70">
        <v>1.2672000000000001E-2</v>
      </c>
      <c r="BJ70">
        <v>1.2672000000000001E-2</v>
      </c>
      <c r="BK70">
        <v>1.2672000000000001E-2</v>
      </c>
      <c r="BL70">
        <v>1.2672000000000001E-2</v>
      </c>
      <c r="BM70">
        <v>1.2672000000000001E-2</v>
      </c>
      <c r="BN70">
        <v>1.2672000000000001E-2</v>
      </c>
      <c r="BO70">
        <v>1.2672000000000001E-2</v>
      </c>
      <c r="BP70">
        <v>1.2672000000000001E-2</v>
      </c>
      <c r="BQ70">
        <v>1.2672000000000001E-2</v>
      </c>
      <c r="BR70">
        <v>1.2672000000000001E-2</v>
      </c>
      <c r="BS70">
        <v>1.2672000000000001E-2</v>
      </c>
      <c r="BT70">
        <v>1.2672000000000001E-2</v>
      </c>
      <c r="BU70">
        <v>1.2672000000000001E-2</v>
      </c>
      <c r="BV70">
        <v>1.2672000000000001E-2</v>
      </c>
      <c r="BW70">
        <v>1.2672000000000001E-2</v>
      </c>
      <c r="BX70">
        <v>1.2672000000000001E-2</v>
      </c>
      <c r="BY70">
        <v>1.2672000000000001E-2</v>
      </c>
      <c r="BZ70">
        <v>7.920000000000546E-4</v>
      </c>
    </row>
    <row r="71" spans="47:80" x14ac:dyDescent="0.25">
      <c r="AU71">
        <v>9.1999999999999993</v>
      </c>
      <c r="AV71" s="29">
        <v>0.20211594545454545</v>
      </c>
      <c r="AW71" s="29">
        <v>2.6820449999999999E-2</v>
      </c>
      <c r="AX71" s="29">
        <v>2.6811000000000001E-2</v>
      </c>
      <c r="AY71" s="29">
        <v>2.6820449999999999E-2</v>
      </c>
      <c r="AZ71" s="29">
        <v>2.6811000000000001E-2</v>
      </c>
      <c r="BA71" s="29">
        <v>2.6820449999999999E-2</v>
      </c>
      <c r="BB71" s="29">
        <v>2.4023249999999999E-2</v>
      </c>
      <c r="BC71" s="29">
        <v>2.1235500000000001E-2</v>
      </c>
      <c r="BD71" s="29">
        <v>2.1235500000000001E-2</v>
      </c>
      <c r="BE71" s="29">
        <v>2.1235500000000001E-2</v>
      </c>
      <c r="BF71" s="29">
        <v>2.1235500000000001E-2</v>
      </c>
      <c r="BG71" s="29">
        <v>2.1235500000000001E-2</v>
      </c>
      <c r="BH71" s="29">
        <v>2.1235500000000001E-2</v>
      </c>
      <c r="BI71" s="29">
        <v>2.1235500000000001E-2</v>
      </c>
      <c r="BJ71" s="29">
        <v>2.1235500000000001E-2</v>
      </c>
      <c r="BK71" s="29">
        <v>2.1235500000000001E-2</v>
      </c>
      <c r="BL71" s="29">
        <v>2.1235500000000001E-2</v>
      </c>
      <c r="BM71" s="29">
        <v>2.1235500000000001E-2</v>
      </c>
      <c r="BN71" s="29">
        <v>1.1641500000000001E-2</v>
      </c>
      <c r="BO71" s="32"/>
      <c r="BP71" s="32"/>
      <c r="BQ71" s="32"/>
      <c r="BR71" s="32"/>
    </row>
    <row r="72" spans="47:80" x14ac:dyDescent="0.25">
      <c r="AU72">
        <v>10.1</v>
      </c>
      <c r="AV72" s="39">
        <v>0.28731846923076931</v>
      </c>
      <c r="AW72">
        <v>1.8513000000000002E-2</v>
      </c>
      <c r="AX72">
        <v>1.8522900000000002E-2</v>
      </c>
      <c r="AY72">
        <v>1.8513000000000002E-2</v>
      </c>
      <c r="AZ72">
        <v>1.8522900000000002E-2</v>
      </c>
      <c r="BA72">
        <v>1.5592500000000002E-2</v>
      </c>
      <c r="BB72">
        <v>1.2672000000000001E-2</v>
      </c>
      <c r="BC72">
        <v>1.2672000000000001E-2</v>
      </c>
      <c r="BD72">
        <v>1.2672000000000001E-2</v>
      </c>
      <c r="BE72">
        <v>1.2672000000000001E-2</v>
      </c>
      <c r="BF72">
        <v>1.2672000000000001E-2</v>
      </c>
      <c r="BG72">
        <v>1.2672000000000001E-2</v>
      </c>
      <c r="BH72">
        <v>1.2672000000000001E-2</v>
      </c>
      <c r="BI72">
        <v>1.2672000000000001E-2</v>
      </c>
      <c r="BJ72">
        <v>1.2672000000000001E-2</v>
      </c>
      <c r="BK72">
        <v>1.2672000000000001E-2</v>
      </c>
      <c r="BL72">
        <v>1.2672000000000001E-2</v>
      </c>
      <c r="BM72">
        <v>1.2672000000000001E-2</v>
      </c>
      <c r="BN72">
        <v>1.2672000000000001E-2</v>
      </c>
      <c r="BO72">
        <v>1.2672000000000001E-2</v>
      </c>
      <c r="BP72">
        <v>1.2672000000000001E-2</v>
      </c>
      <c r="BQ72">
        <v>1.2672000000000001E-2</v>
      </c>
      <c r="BR72">
        <v>1.2672000000000001E-2</v>
      </c>
      <c r="BS72">
        <v>1.2672000000000001E-2</v>
      </c>
      <c r="BT72">
        <v>1.2672000000000001E-2</v>
      </c>
      <c r="BU72">
        <v>1.2672000000000001E-2</v>
      </c>
      <c r="BV72">
        <v>1.2672000000000001E-2</v>
      </c>
      <c r="BW72">
        <v>1.2672000000000001E-2</v>
      </c>
      <c r="BX72">
        <v>1.2672000000000001E-2</v>
      </c>
      <c r="BY72">
        <v>7.920000000000546E-4</v>
      </c>
    </row>
    <row r="73" spans="47:80" x14ac:dyDescent="0.25">
      <c r="AU73">
        <v>10.199999999999999</v>
      </c>
      <c r="AV73" s="29">
        <v>0.19620912272727273</v>
      </c>
      <c r="AW73" s="29">
        <v>2.6811000000000001E-2</v>
      </c>
      <c r="AX73" s="29">
        <v>2.6820449999999999E-2</v>
      </c>
      <c r="AY73" s="29">
        <v>2.6811000000000001E-2</v>
      </c>
      <c r="AZ73" s="29">
        <v>2.6820449999999999E-2</v>
      </c>
      <c r="BA73" s="29">
        <v>2.4023249999999999E-2</v>
      </c>
      <c r="BB73" s="29">
        <v>2.1235500000000001E-2</v>
      </c>
      <c r="BC73" s="29">
        <v>2.1235500000000001E-2</v>
      </c>
      <c r="BD73" s="29">
        <v>2.1235500000000001E-2</v>
      </c>
      <c r="BE73" s="29">
        <v>2.1235500000000001E-2</v>
      </c>
      <c r="BF73" s="29">
        <v>2.1235500000000001E-2</v>
      </c>
      <c r="BG73" s="29">
        <v>2.1235500000000001E-2</v>
      </c>
      <c r="BH73" s="29">
        <v>2.1235500000000001E-2</v>
      </c>
      <c r="BI73" s="29">
        <v>2.1235500000000001E-2</v>
      </c>
      <c r="BJ73" s="29">
        <v>2.1235500000000001E-2</v>
      </c>
      <c r="BK73" s="29">
        <v>2.1235500000000001E-2</v>
      </c>
      <c r="BL73" s="29">
        <v>2.1235500000000001E-2</v>
      </c>
      <c r="BM73" s="29">
        <v>1.1641500000000001E-2</v>
      </c>
      <c r="BN73" s="32"/>
      <c r="BO73" s="32"/>
      <c r="BP73" s="32"/>
      <c r="BQ73" s="32"/>
      <c r="BR73" s="32"/>
    </row>
    <row r="74" spans="47:80" x14ac:dyDescent="0.25">
      <c r="AV74" s="28"/>
      <c r="AW74" s="28"/>
      <c r="AX74" s="28"/>
      <c r="AY74" s="28"/>
      <c r="AZ74" s="28"/>
      <c r="BA74" s="28"/>
      <c r="BB74" s="28"/>
      <c r="BC74" s="28"/>
    </row>
    <row r="75" spans="47:80" x14ac:dyDescent="0.25">
      <c r="AU75" t="e">
        <f>VLOOKUP($AU$2,$AU$3:$CI$24,2,TRUE)</f>
        <v>#N/A</v>
      </c>
      <c r="AV75" s="1" t="e">
        <f>$A$3*AU75</f>
        <v>#N/A</v>
      </c>
      <c r="AX75" t="e">
        <f>VLOOKUP($AU$2,$AU$28:$CH$49,2,TRUE)</f>
        <v>#N/A</v>
      </c>
      <c r="AY75" s="1" t="e">
        <f>$A$3*AX75</f>
        <v>#N/A</v>
      </c>
      <c r="BA75" t="e">
        <f>VLOOKUP($AU$2,$AU$52:$CI$73,2,TRUE)</f>
        <v>#N/A</v>
      </c>
      <c r="BB75" s="1" t="e">
        <f>$A$3*BA75</f>
        <v>#N/A</v>
      </c>
    </row>
    <row r="76" spans="47:80" x14ac:dyDescent="0.25">
      <c r="AU76" t="e">
        <f>VLOOKUP($AU$2,$AU$3:$CI$24,3,TRUE)</f>
        <v>#N/A</v>
      </c>
      <c r="AV76" s="1" t="e">
        <f t="shared" ref="AV76:AV114" si="2">$A$3*AU76</f>
        <v>#N/A</v>
      </c>
      <c r="AX76" t="e">
        <f>VLOOKUP($AU$2,$AU$28:$CH$49,3,TRUE)</f>
        <v>#N/A</v>
      </c>
      <c r="AY76" s="1" t="e">
        <f t="shared" ref="AY76:AY113" si="3">$A$3*AX76</f>
        <v>#N/A</v>
      </c>
      <c r="BA76" t="e">
        <f>VLOOKUP($AU$2,$AU$52:$CI$73,3,TRUE)</f>
        <v>#N/A</v>
      </c>
      <c r="BB76" s="1" t="e">
        <f t="shared" ref="BB76:BB114" si="4">$A$3*BA76</f>
        <v>#N/A</v>
      </c>
    </row>
    <row r="77" spans="47:80" x14ac:dyDescent="0.25">
      <c r="AU77" t="e">
        <f>VLOOKUP($AU$2,$AU$3:$CI$24,4,TRUE)</f>
        <v>#N/A</v>
      </c>
      <c r="AV77" s="1" t="e">
        <f t="shared" si="2"/>
        <v>#N/A</v>
      </c>
      <c r="AX77" t="e">
        <f>VLOOKUP($AU$2,$AU$28:$CH$49,4,TRUE)</f>
        <v>#N/A</v>
      </c>
      <c r="AY77" s="1" t="e">
        <f t="shared" si="3"/>
        <v>#N/A</v>
      </c>
      <c r="BA77" t="e">
        <f>VLOOKUP($AU$2,$AU$52:$CI$73,4,TRUE)</f>
        <v>#N/A</v>
      </c>
      <c r="BB77" s="1" t="e">
        <f t="shared" si="4"/>
        <v>#N/A</v>
      </c>
    </row>
    <row r="78" spans="47:80" x14ac:dyDescent="0.25">
      <c r="AU78" t="e">
        <f>VLOOKUP($AU$2,$AU$3:$CI$24,5,TRUE)</f>
        <v>#N/A</v>
      </c>
      <c r="AV78" s="1" t="e">
        <f t="shared" si="2"/>
        <v>#N/A</v>
      </c>
      <c r="AX78" t="e">
        <f>VLOOKUP($AU$2,$AU$28:$CH$49,5,TRUE)</f>
        <v>#N/A</v>
      </c>
      <c r="AY78" s="1" t="e">
        <f t="shared" si="3"/>
        <v>#N/A</v>
      </c>
      <c r="BA78" t="e">
        <f>VLOOKUP($AU$2,$AU$52:$CI$73,5,TRUE)</f>
        <v>#N/A</v>
      </c>
      <c r="BB78" s="1" t="e">
        <f t="shared" si="4"/>
        <v>#N/A</v>
      </c>
    </row>
    <row r="79" spans="47:80" x14ac:dyDescent="0.25">
      <c r="AU79" t="e">
        <f>VLOOKUP($AU$2,$AU$3:$CI$24,6,TRUE)</f>
        <v>#N/A</v>
      </c>
      <c r="AV79" s="1" t="e">
        <f t="shared" si="2"/>
        <v>#N/A</v>
      </c>
      <c r="AX79" t="e">
        <f>VLOOKUP($AU$2,$AU$28:$CH$49,6,TRUE)</f>
        <v>#N/A</v>
      </c>
      <c r="AY79" s="1" t="e">
        <f t="shared" si="3"/>
        <v>#N/A</v>
      </c>
      <c r="BA79" t="e">
        <f>VLOOKUP($AU$2,$AU$52:$CI$73,6,TRUE)</f>
        <v>#N/A</v>
      </c>
      <c r="BB79" s="1" t="e">
        <f t="shared" si="4"/>
        <v>#N/A</v>
      </c>
    </row>
    <row r="80" spans="47:80" x14ac:dyDescent="0.25">
      <c r="AU80" t="e">
        <f>VLOOKUP($AU$2,$AU$3:$CI$24,7,TRUE)</f>
        <v>#N/A</v>
      </c>
      <c r="AV80" s="1" t="e">
        <f t="shared" si="2"/>
        <v>#N/A</v>
      </c>
      <c r="AX80" t="e">
        <f>VLOOKUP($AU$2,$AU$28:$CH$49,7,TRUE)</f>
        <v>#N/A</v>
      </c>
      <c r="AY80" s="1" t="e">
        <f t="shared" si="3"/>
        <v>#N/A</v>
      </c>
      <c r="BA80" t="e">
        <f>VLOOKUP($AU$2,$AU$52:$CI$73,7,TRUE)</f>
        <v>#N/A</v>
      </c>
      <c r="BB80" s="1" t="e">
        <f t="shared" si="4"/>
        <v>#N/A</v>
      </c>
    </row>
    <row r="81" spans="47:54" x14ac:dyDescent="0.25">
      <c r="AU81" t="e">
        <f>VLOOKUP($AU$2,$AU$3:$CI$24,8,TRUE)</f>
        <v>#N/A</v>
      </c>
      <c r="AV81" s="1" t="e">
        <f t="shared" si="2"/>
        <v>#N/A</v>
      </c>
      <c r="AX81" t="e">
        <f>VLOOKUP($AU$2,$AU$28:$CH$49,8,TRUE)</f>
        <v>#N/A</v>
      </c>
      <c r="AY81" s="1" t="e">
        <f t="shared" si="3"/>
        <v>#N/A</v>
      </c>
      <c r="BA81" t="e">
        <f>VLOOKUP($AU$2,$AU$52:$CI$73,8,TRUE)</f>
        <v>#N/A</v>
      </c>
      <c r="BB81" s="1" t="e">
        <f t="shared" si="4"/>
        <v>#N/A</v>
      </c>
    </row>
    <row r="82" spans="47:54" x14ac:dyDescent="0.25">
      <c r="AU82" t="e">
        <f>VLOOKUP($AU$2,$AU$3:$CI$24,9,TRUE)</f>
        <v>#N/A</v>
      </c>
      <c r="AV82" s="1" t="e">
        <f t="shared" si="2"/>
        <v>#N/A</v>
      </c>
      <c r="AX82" t="e">
        <f>VLOOKUP($AU$2,$AU$28:$CH$49,9,TRUE)</f>
        <v>#N/A</v>
      </c>
      <c r="AY82" s="1" t="e">
        <f t="shared" si="3"/>
        <v>#N/A</v>
      </c>
      <c r="BA82" t="e">
        <f>VLOOKUP($AU$2,$AU$52:$CI$73,9,TRUE)</f>
        <v>#N/A</v>
      </c>
      <c r="BB82" s="1" t="e">
        <f t="shared" si="4"/>
        <v>#N/A</v>
      </c>
    </row>
    <row r="83" spans="47:54" x14ac:dyDescent="0.25">
      <c r="AU83" t="e">
        <f>VLOOKUP($AU$2,$AU$3:$CI$24,10,TRUE)</f>
        <v>#N/A</v>
      </c>
      <c r="AV83" s="1" t="e">
        <f t="shared" si="2"/>
        <v>#N/A</v>
      </c>
      <c r="AX83" t="e">
        <f>VLOOKUP($AU$2,$AU$28:$CH$49,10,TRUE)</f>
        <v>#N/A</v>
      </c>
      <c r="AY83" s="1" t="e">
        <f t="shared" si="3"/>
        <v>#N/A</v>
      </c>
      <c r="BA83" t="e">
        <f>VLOOKUP($AU$2,$AU$52:$CI$73,10,TRUE)</f>
        <v>#N/A</v>
      </c>
      <c r="BB83" s="1" t="e">
        <f t="shared" si="4"/>
        <v>#N/A</v>
      </c>
    </row>
    <row r="84" spans="47:54" x14ac:dyDescent="0.25">
      <c r="AU84" t="e">
        <f>VLOOKUP($AU$2,$AU$3:$CI$24,11,TRUE)</f>
        <v>#N/A</v>
      </c>
      <c r="AV84" s="1" t="e">
        <f t="shared" si="2"/>
        <v>#N/A</v>
      </c>
      <c r="AX84" t="e">
        <f>VLOOKUP($AU$2,$AU$28:$CH$49,11,TRUE)</f>
        <v>#N/A</v>
      </c>
      <c r="AY84" s="1" t="e">
        <f t="shared" si="3"/>
        <v>#N/A</v>
      </c>
      <c r="BA84" t="e">
        <f>VLOOKUP($AU$2,$AU$52:$CI$73,11,TRUE)</f>
        <v>#N/A</v>
      </c>
      <c r="BB84" s="1" t="e">
        <f t="shared" si="4"/>
        <v>#N/A</v>
      </c>
    </row>
    <row r="85" spans="47:54" x14ac:dyDescent="0.25">
      <c r="AU85" t="e">
        <f>VLOOKUP($AU$2,$AU$3:$CI$24,12,TRUE)</f>
        <v>#N/A</v>
      </c>
      <c r="AV85" s="1" t="e">
        <f t="shared" si="2"/>
        <v>#N/A</v>
      </c>
      <c r="AX85" t="e">
        <f>VLOOKUP($AU$2,$AU$28:$CH$49,12,TRUE)</f>
        <v>#N/A</v>
      </c>
      <c r="AY85" s="1" t="e">
        <f t="shared" si="3"/>
        <v>#N/A</v>
      </c>
      <c r="BA85" t="e">
        <f>VLOOKUP($AU$2,$AU$52:$CI$73,12,TRUE)</f>
        <v>#N/A</v>
      </c>
      <c r="BB85" s="1" t="e">
        <f t="shared" si="4"/>
        <v>#N/A</v>
      </c>
    </row>
    <row r="86" spans="47:54" x14ac:dyDescent="0.25">
      <c r="AU86" t="e">
        <f>VLOOKUP($AU$2,$AU$3:$CI$24,13,TRUE)</f>
        <v>#N/A</v>
      </c>
      <c r="AV86" s="1" t="e">
        <f t="shared" si="2"/>
        <v>#N/A</v>
      </c>
      <c r="AX86" t="e">
        <f>VLOOKUP($AU$2,$AU$28:$CH$49,13,TRUE)</f>
        <v>#N/A</v>
      </c>
      <c r="AY86" s="1" t="e">
        <f t="shared" si="3"/>
        <v>#N/A</v>
      </c>
      <c r="BA86" t="e">
        <f>VLOOKUP($AU$2,$AU$52:$CI$73,13,TRUE)</f>
        <v>#N/A</v>
      </c>
      <c r="BB86" s="1" t="e">
        <f t="shared" si="4"/>
        <v>#N/A</v>
      </c>
    </row>
    <row r="87" spans="47:54" x14ac:dyDescent="0.25">
      <c r="AU87" t="e">
        <f>VLOOKUP($AU$2,$AU$3:$CI$24,14,TRUE)</f>
        <v>#N/A</v>
      </c>
      <c r="AV87" s="1" t="e">
        <f t="shared" si="2"/>
        <v>#N/A</v>
      </c>
      <c r="AX87" t="e">
        <f>VLOOKUP($AU$2,$AU$28:$CH$49,14,TRUE)</f>
        <v>#N/A</v>
      </c>
      <c r="AY87" s="1" t="e">
        <f t="shared" si="3"/>
        <v>#N/A</v>
      </c>
      <c r="BA87" t="e">
        <f>VLOOKUP($AU$2,$AU$52:$CI$73,14,TRUE)</f>
        <v>#N/A</v>
      </c>
      <c r="BB87" s="1" t="e">
        <f t="shared" si="4"/>
        <v>#N/A</v>
      </c>
    </row>
    <row r="88" spans="47:54" x14ac:dyDescent="0.25">
      <c r="AU88" t="e">
        <f>VLOOKUP($AU$2,$AU$3:$CI$24,15,TRUE)</f>
        <v>#N/A</v>
      </c>
      <c r="AV88" s="1" t="e">
        <f t="shared" si="2"/>
        <v>#N/A</v>
      </c>
      <c r="AX88" t="e">
        <f>VLOOKUP($AU$2,$AU$28:$CH$49,15,TRUE)</f>
        <v>#N/A</v>
      </c>
      <c r="AY88" s="1" t="e">
        <f t="shared" si="3"/>
        <v>#N/A</v>
      </c>
      <c r="BA88" t="e">
        <f>VLOOKUP($AU$2,$AU$52:$CI$73,15,TRUE)</f>
        <v>#N/A</v>
      </c>
      <c r="BB88" s="1" t="e">
        <f t="shared" si="4"/>
        <v>#N/A</v>
      </c>
    </row>
    <row r="89" spans="47:54" x14ac:dyDescent="0.25">
      <c r="AU89" t="e">
        <f>VLOOKUP($AU$2,$AU$3:$CI$24,16,TRUE)</f>
        <v>#N/A</v>
      </c>
      <c r="AV89" s="1" t="e">
        <f t="shared" si="2"/>
        <v>#N/A</v>
      </c>
      <c r="AX89" t="e">
        <f>VLOOKUP($AU$2,$AU$28:$CH$49,16,TRUE)</f>
        <v>#N/A</v>
      </c>
      <c r="AY89" s="1" t="e">
        <f t="shared" si="3"/>
        <v>#N/A</v>
      </c>
      <c r="BA89" t="e">
        <f>VLOOKUP($AU$2,$AU$52:$CI$73,16,TRUE)</f>
        <v>#N/A</v>
      </c>
      <c r="BB89" s="1" t="e">
        <f t="shared" si="4"/>
        <v>#N/A</v>
      </c>
    </row>
    <row r="90" spans="47:54" x14ac:dyDescent="0.25">
      <c r="AU90" t="e">
        <f>VLOOKUP($AU$2,$AU$3:$CI$24,17,TRUE)</f>
        <v>#N/A</v>
      </c>
      <c r="AV90" s="1" t="e">
        <f t="shared" si="2"/>
        <v>#N/A</v>
      </c>
      <c r="AX90" t="e">
        <f>VLOOKUP($AU$2,$AU$28:$CH$49,17,TRUE)</f>
        <v>#N/A</v>
      </c>
      <c r="AY90" s="1" t="e">
        <f t="shared" si="3"/>
        <v>#N/A</v>
      </c>
      <c r="BA90" t="e">
        <f>VLOOKUP($AU$2,$AU$52:$CI$73,17,TRUE)</f>
        <v>#N/A</v>
      </c>
      <c r="BB90" s="1" t="e">
        <f t="shared" si="4"/>
        <v>#N/A</v>
      </c>
    </row>
    <row r="91" spans="47:54" x14ac:dyDescent="0.25">
      <c r="AU91" t="e">
        <f>VLOOKUP($AU$2,$AU$3:$CI$24,18,TRUE)</f>
        <v>#N/A</v>
      </c>
      <c r="AV91" s="1" t="e">
        <f t="shared" si="2"/>
        <v>#N/A</v>
      </c>
      <c r="AX91" t="e">
        <f>VLOOKUP($AU$2,$AU$28:$CH$49,18,TRUE)</f>
        <v>#N/A</v>
      </c>
      <c r="AY91" s="1" t="e">
        <f t="shared" si="3"/>
        <v>#N/A</v>
      </c>
      <c r="BA91" t="e">
        <f>VLOOKUP($AU$2,$AU$52:$CI$73,18,TRUE)</f>
        <v>#N/A</v>
      </c>
      <c r="BB91" s="1" t="e">
        <f t="shared" si="4"/>
        <v>#N/A</v>
      </c>
    </row>
    <row r="92" spans="47:54" x14ac:dyDescent="0.25">
      <c r="AU92" t="e">
        <f>VLOOKUP($AU$2,$AU$3:$CI$24,19,TRUE)</f>
        <v>#N/A</v>
      </c>
      <c r="AV92" s="1" t="e">
        <f t="shared" si="2"/>
        <v>#N/A</v>
      </c>
      <c r="AX92" t="e">
        <f>VLOOKUP($AU$2,$AU$28:$CH$49,19,TRUE)</f>
        <v>#N/A</v>
      </c>
      <c r="AY92" s="1" t="e">
        <f t="shared" si="3"/>
        <v>#N/A</v>
      </c>
      <c r="BA92" t="e">
        <f>VLOOKUP($AU$2,$AU$52:$CI$73,19,TRUE)</f>
        <v>#N/A</v>
      </c>
      <c r="BB92" s="1" t="e">
        <f t="shared" si="4"/>
        <v>#N/A</v>
      </c>
    </row>
    <row r="93" spans="47:54" x14ac:dyDescent="0.25">
      <c r="AU93" t="e">
        <f>VLOOKUP($AU$2,$AU$3:$CI$24,20,TRUE)</f>
        <v>#N/A</v>
      </c>
      <c r="AV93" s="1" t="e">
        <f t="shared" si="2"/>
        <v>#N/A</v>
      </c>
      <c r="AX93" t="e">
        <f>VLOOKUP($AU$2,$AU$28:$CH$49,20,TRUE)</f>
        <v>#N/A</v>
      </c>
      <c r="AY93" s="1" t="e">
        <f t="shared" si="3"/>
        <v>#N/A</v>
      </c>
      <c r="BA93" t="e">
        <f>VLOOKUP($AU$2,$AU$52:$CI$73,20,TRUE)</f>
        <v>#N/A</v>
      </c>
      <c r="BB93" s="1" t="e">
        <f t="shared" si="4"/>
        <v>#N/A</v>
      </c>
    </row>
    <row r="94" spans="47:54" x14ac:dyDescent="0.25">
      <c r="AU94" t="e">
        <f>VLOOKUP($AU$2,$AU$3:$CI$24,21,TRUE)</f>
        <v>#N/A</v>
      </c>
      <c r="AV94" s="1" t="e">
        <f t="shared" si="2"/>
        <v>#N/A</v>
      </c>
      <c r="AX94" t="e">
        <f>VLOOKUP($AU$2,$AU$28:$CH$49,21,TRUE)</f>
        <v>#N/A</v>
      </c>
      <c r="AY94" s="1" t="e">
        <f t="shared" si="3"/>
        <v>#N/A</v>
      </c>
      <c r="BA94" t="e">
        <f>VLOOKUP($AU$2,$AU$52:$CI$73,21,TRUE)</f>
        <v>#N/A</v>
      </c>
      <c r="BB94" s="1" t="e">
        <f t="shared" si="4"/>
        <v>#N/A</v>
      </c>
    </row>
    <row r="95" spans="47:54" x14ac:dyDescent="0.25">
      <c r="AU95" t="e">
        <f>VLOOKUP($AU$2,$AU$3:$CI$24,22,TRUE)</f>
        <v>#N/A</v>
      </c>
      <c r="AV95" s="1" t="e">
        <f t="shared" si="2"/>
        <v>#N/A</v>
      </c>
      <c r="AX95" t="e">
        <f>VLOOKUP($AU$2,$AU$28:$CH$49,22,TRUE)</f>
        <v>#N/A</v>
      </c>
      <c r="AY95" s="1" t="e">
        <f t="shared" si="3"/>
        <v>#N/A</v>
      </c>
      <c r="BA95" t="e">
        <f>VLOOKUP($AU$2,$AU$52:$CI$73,22,TRUE)</f>
        <v>#N/A</v>
      </c>
      <c r="BB95" s="1" t="e">
        <f t="shared" si="4"/>
        <v>#N/A</v>
      </c>
    </row>
    <row r="96" spans="47:54" x14ac:dyDescent="0.25">
      <c r="AU96" t="e">
        <f>VLOOKUP($AU$2,$AU$3:$CI$24,23,TRUE)</f>
        <v>#N/A</v>
      </c>
      <c r="AV96" s="1" t="e">
        <f t="shared" si="2"/>
        <v>#N/A</v>
      </c>
      <c r="AX96" t="e">
        <f>VLOOKUP($AU$2,$AU$28:$CH$49,23,TRUE)</f>
        <v>#N/A</v>
      </c>
      <c r="AY96" s="1" t="e">
        <f t="shared" si="3"/>
        <v>#N/A</v>
      </c>
      <c r="BA96" t="e">
        <f>VLOOKUP($AU$2,$AU$52:$CI$73,23,TRUE)</f>
        <v>#N/A</v>
      </c>
      <c r="BB96" s="1" t="e">
        <f t="shared" si="4"/>
        <v>#N/A</v>
      </c>
    </row>
    <row r="97" spans="47:54" x14ac:dyDescent="0.25">
      <c r="AU97" t="e">
        <f>VLOOKUP($AU$2,$AU$3:$CI$24,24,TRUE)</f>
        <v>#N/A</v>
      </c>
      <c r="AV97" s="1" t="e">
        <f t="shared" si="2"/>
        <v>#N/A</v>
      </c>
      <c r="AX97" t="e">
        <f>VLOOKUP($AU$2,$AU$28:$CH$49,24,TRUE)</f>
        <v>#N/A</v>
      </c>
      <c r="AY97" s="1" t="e">
        <f t="shared" si="3"/>
        <v>#N/A</v>
      </c>
      <c r="BA97" t="e">
        <f>VLOOKUP($AU$2,$AU$52:$CI$73,24,TRUE)</f>
        <v>#N/A</v>
      </c>
      <c r="BB97" s="1" t="e">
        <f t="shared" si="4"/>
        <v>#N/A</v>
      </c>
    </row>
    <row r="98" spans="47:54" x14ac:dyDescent="0.25">
      <c r="AU98" t="e">
        <f>VLOOKUP($AU$2,$AU$3:$CI$24,25,TRUE)</f>
        <v>#N/A</v>
      </c>
      <c r="AV98" s="1" t="e">
        <f t="shared" si="2"/>
        <v>#N/A</v>
      </c>
      <c r="AX98" t="e">
        <f>VLOOKUP($AU$2,$AU$28:$CH$49,25,TRUE)</f>
        <v>#N/A</v>
      </c>
      <c r="AY98" s="1" t="e">
        <f t="shared" si="3"/>
        <v>#N/A</v>
      </c>
      <c r="BA98" t="e">
        <f>VLOOKUP($AU$2,$AU$52:$CI$73,25,TRUE)</f>
        <v>#N/A</v>
      </c>
      <c r="BB98" s="1" t="e">
        <f t="shared" si="4"/>
        <v>#N/A</v>
      </c>
    </row>
    <row r="99" spans="47:54" x14ac:dyDescent="0.25">
      <c r="AU99" t="e">
        <f>VLOOKUP($AU$2,$AU$3:$CI$24,26,TRUE)</f>
        <v>#N/A</v>
      </c>
      <c r="AV99" s="1" t="e">
        <f t="shared" si="2"/>
        <v>#N/A</v>
      </c>
      <c r="AX99" t="e">
        <f>VLOOKUP($AU$2,$AU$28:$CH$49,26,TRUE)</f>
        <v>#N/A</v>
      </c>
      <c r="AY99" s="1" t="e">
        <f t="shared" si="3"/>
        <v>#N/A</v>
      </c>
      <c r="BA99" t="e">
        <f>VLOOKUP($AU$2,$AU$52:$CI$73,26,TRUE)</f>
        <v>#N/A</v>
      </c>
      <c r="BB99" s="1" t="e">
        <f t="shared" si="4"/>
        <v>#N/A</v>
      </c>
    </row>
    <row r="100" spans="47:54" x14ac:dyDescent="0.25">
      <c r="AU100" t="e">
        <f>VLOOKUP($AU$2,$AU$3:$CI$24,27,TRUE)</f>
        <v>#N/A</v>
      </c>
      <c r="AV100" s="1" t="e">
        <f t="shared" si="2"/>
        <v>#N/A</v>
      </c>
      <c r="AX100" t="e">
        <f>VLOOKUP($AU$2,$AU$28:$CH$49,27,TRUE)</f>
        <v>#N/A</v>
      </c>
      <c r="AY100" s="1" t="e">
        <f t="shared" si="3"/>
        <v>#N/A</v>
      </c>
      <c r="BA100" t="e">
        <f>VLOOKUP($AU$2,$AU$52:$CI$73,27,TRUE)</f>
        <v>#N/A</v>
      </c>
      <c r="BB100" s="1" t="e">
        <f t="shared" si="4"/>
        <v>#N/A</v>
      </c>
    </row>
    <row r="101" spans="47:54" x14ac:dyDescent="0.25">
      <c r="AU101" t="e">
        <f>VLOOKUP($AU$2,$AU$3:$CI$24,28,TRUE)</f>
        <v>#N/A</v>
      </c>
      <c r="AV101" s="1" t="e">
        <f t="shared" si="2"/>
        <v>#N/A</v>
      </c>
      <c r="AX101" t="e">
        <f>VLOOKUP($AU$2,$AU$28:$CH$49,28,TRUE)</f>
        <v>#N/A</v>
      </c>
      <c r="AY101" s="1" t="e">
        <f t="shared" si="3"/>
        <v>#N/A</v>
      </c>
      <c r="BA101" t="e">
        <f>VLOOKUP($AU$2,$AU$52:$CI$73,28,TRUE)</f>
        <v>#N/A</v>
      </c>
      <c r="BB101" s="1" t="e">
        <f t="shared" si="4"/>
        <v>#N/A</v>
      </c>
    </row>
    <row r="102" spans="47:54" x14ac:dyDescent="0.25">
      <c r="AU102" t="e">
        <f>VLOOKUP($AU$2,$AU$3:$CI$24,29,TRUE)</f>
        <v>#N/A</v>
      </c>
      <c r="AV102" s="1" t="e">
        <f t="shared" si="2"/>
        <v>#N/A</v>
      </c>
      <c r="AX102" t="e">
        <f>VLOOKUP($AU$2,$AU$28:$CH$49,29,TRUE)</f>
        <v>#N/A</v>
      </c>
      <c r="AY102" s="1" t="e">
        <f t="shared" si="3"/>
        <v>#N/A</v>
      </c>
      <c r="BA102" t="e">
        <f>VLOOKUP($AU$2,$AU$52:$CI$73,29,TRUE)</f>
        <v>#N/A</v>
      </c>
      <c r="BB102" s="1" t="e">
        <f t="shared" si="4"/>
        <v>#N/A</v>
      </c>
    </row>
    <row r="103" spans="47:54" x14ac:dyDescent="0.25">
      <c r="AU103" t="e">
        <f>VLOOKUP($AU$2,$AU$3:$CI$24,30,TRUE)</f>
        <v>#N/A</v>
      </c>
      <c r="AV103" s="1" t="e">
        <f t="shared" si="2"/>
        <v>#N/A</v>
      </c>
      <c r="AX103" t="e">
        <f>VLOOKUP($AU$2,$AU$28:$CH$49,30,TRUE)</f>
        <v>#N/A</v>
      </c>
      <c r="AY103" s="1" t="e">
        <f t="shared" si="3"/>
        <v>#N/A</v>
      </c>
      <c r="BA103" t="e">
        <f>VLOOKUP($AU$2,$AU$52:$CI$73,30,TRUE)</f>
        <v>#N/A</v>
      </c>
      <c r="BB103" s="1" t="e">
        <f t="shared" si="4"/>
        <v>#N/A</v>
      </c>
    </row>
    <row r="104" spans="47:54" x14ac:dyDescent="0.25">
      <c r="AU104" t="e">
        <f>VLOOKUP($AU$2,$AU$3:$CI$24,31,TRUE)</f>
        <v>#N/A</v>
      </c>
      <c r="AV104" s="1" t="e">
        <f t="shared" si="2"/>
        <v>#N/A</v>
      </c>
      <c r="AX104" t="e">
        <f>VLOOKUP($AU$2,$AU$28:$CH$49,31,TRUE)</f>
        <v>#N/A</v>
      </c>
      <c r="AY104" s="1" t="e">
        <f t="shared" si="3"/>
        <v>#N/A</v>
      </c>
      <c r="BA104" t="e">
        <f>VLOOKUP($AU$2,$AU$52:$CI$73,31,TRUE)</f>
        <v>#N/A</v>
      </c>
      <c r="BB104" s="1" t="e">
        <f t="shared" si="4"/>
        <v>#N/A</v>
      </c>
    </row>
    <row r="105" spans="47:54" x14ac:dyDescent="0.25">
      <c r="AU105" t="e">
        <f>VLOOKUP($AU$2,$AU$3:$CI$24,32,TRUE)</f>
        <v>#N/A</v>
      </c>
      <c r="AV105" s="1" t="e">
        <f t="shared" si="2"/>
        <v>#N/A</v>
      </c>
      <c r="AX105" t="e">
        <f>VLOOKUP($AU$2,$AU$28:$CH$49,32,TRUE)</f>
        <v>#N/A</v>
      </c>
      <c r="AY105" s="1" t="e">
        <f t="shared" si="3"/>
        <v>#N/A</v>
      </c>
      <c r="BA105" t="e">
        <f>VLOOKUP($AU$2,$AU$52:$CI$73,32,TRUE)</f>
        <v>#N/A</v>
      </c>
      <c r="BB105" s="1" t="e">
        <f t="shared" si="4"/>
        <v>#N/A</v>
      </c>
    </row>
    <row r="106" spans="47:54" x14ac:dyDescent="0.25">
      <c r="AU106" t="e">
        <f>VLOOKUP($AU$2,$AU$3:$CI$24,33,TRUE)</f>
        <v>#N/A</v>
      </c>
      <c r="AV106" s="1" t="e">
        <f t="shared" si="2"/>
        <v>#N/A</v>
      </c>
      <c r="AX106" t="e">
        <f>VLOOKUP($AU$2,$AU$28:$CH$49,33,TRUE)</f>
        <v>#N/A</v>
      </c>
      <c r="AY106" s="1" t="e">
        <f t="shared" si="3"/>
        <v>#N/A</v>
      </c>
      <c r="BA106" t="e">
        <f>VLOOKUP($AU$2,$AU$52:$CI$73,33,TRUE)</f>
        <v>#N/A</v>
      </c>
      <c r="BB106" s="1" t="e">
        <f t="shared" si="4"/>
        <v>#N/A</v>
      </c>
    </row>
    <row r="107" spans="47:54" x14ac:dyDescent="0.25">
      <c r="AU107" t="e">
        <f>VLOOKUP($AU$2,$AU$3:$CI$24,34,TRUE)</f>
        <v>#N/A</v>
      </c>
      <c r="AV107" s="1" t="e">
        <f t="shared" si="2"/>
        <v>#N/A</v>
      </c>
      <c r="AX107" t="e">
        <f>VLOOKUP($AU$2,$AU$28:$CH$49,34,TRUE)</f>
        <v>#N/A</v>
      </c>
      <c r="AY107" s="1" t="e">
        <f t="shared" si="3"/>
        <v>#N/A</v>
      </c>
      <c r="BA107" t="e">
        <f>VLOOKUP($AU$2,$AU$52:$CI$73,34,TRUE)</f>
        <v>#N/A</v>
      </c>
      <c r="BB107" s="1" t="e">
        <f t="shared" si="4"/>
        <v>#N/A</v>
      </c>
    </row>
    <row r="108" spans="47:54" x14ac:dyDescent="0.25">
      <c r="AU108" t="e">
        <f>VLOOKUP($AU$2,$AU$3:$CI$24,35,TRUE)</f>
        <v>#N/A</v>
      </c>
      <c r="AV108" s="1" t="e">
        <f t="shared" si="2"/>
        <v>#N/A</v>
      </c>
      <c r="AX108" t="e">
        <f>VLOOKUP($AU$2,$AU$28:$CH$49,35,TRUE)</f>
        <v>#N/A</v>
      </c>
      <c r="AY108" s="1" t="e">
        <f t="shared" si="3"/>
        <v>#N/A</v>
      </c>
      <c r="BA108" t="e">
        <f>VLOOKUP($AU$2,$AU$52:$CI$73,35,TRUE)</f>
        <v>#N/A</v>
      </c>
      <c r="BB108" s="1" t="e">
        <f t="shared" si="4"/>
        <v>#N/A</v>
      </c>
    </row>
    <row r="109" spans="47:54" x14ac:dyDescent="0.25">
      <c r="AU109" t="e">
        <f>VLOOKUP($AU$2,$AU$3:$CI$24,36,TRUE)</f>
        <v>#N/A</v>
      </c>
      <c r="AV109" s="1" t="e">
        <f t="shared" si="2"/>
        <v>#N/A</v>
      </c>
      <c r="AX109" t="e">
        <f>VLOOKUP($AU$2,$AU$28:$CH$49,36,TRUE)</f>
        <v>#N/A</v>
      </c>
      <c r="AY109" s="1" t="e">
        <f t="shared" si="3"/>
        <v>#N/A</v>
      </c>
      <c r="BA109" t="e">
        <f>VLOOKUP($AU$2,$AU$52:$CI$73,36,TRUE)</f>
        <v>#N/A</v>
      </c>
      <c r="BB109" s="1" t="e">
        <f t="shared" si="4"/>
        <v>#N/A</v>
      </c>
    </row>
    <row r="110" spans="47:54" x14ac:dyDescent="0.25">
      <c r="AU110" t="e">
        <f>VLOOKUP($AU$2,$AU$3:$CI$24,37,TRUE)</f>
        <v>#N/A</v>
      </c>
      <c r="AV110" s="1" t="e">
        <f t="shared" si="2"/>
        <v>#N/A</v>
      </c>
      <c r="AX110" t="e">
        <f>VLOOKUP($AU$2,$AU$28:$CH$49,37,TRUE)</f>
        <v>#N/A</v>
      </c>
      <c r="AY110" s="1" t="e">
        <f t="shared" si="3"/>
        <v>#N/A</v>
      </c>
      <c r="BA110" t="e">
        <f>VLOOKUP($AU$2,$AU$52:$CI$73,37,TRUE)</f>
        <v>#N/A</v>
      </c>
      <c r="BB110" s="1" t="e">
        <f t="shared" si="4"/>
        <v>#N/A</v>
      </c>
    </row>
    <row r="111" spans="47:54" x14ac:dyDescent="0.25">
      <c r="AU111" t="e">
        <f>VLOOKUP($AU$2,$AU$3:$CI$24,38,TRUE)</f>
        <v>#N/A</v>
      </c>
      <c r="AV111" s="1" t="e">
        <f t="shared" si="2"/>
        <v>#N/A</v>
      </c>
      <c r="AX111" t="e">
        <f>VLOOKUP($AU$2,$AU$28:$CH$49,38,TRUE)</f>
        <v>#N/A</v>
      </c>
      <c r="AY111" s="1" t="e">
        <f t="shared" si="3"/>
        <v>#N/A</v>
      </c>
      <c r="BA111" t="e">
        <f>VLOOKUP($AU$2,$AU$52:$CI$73,38,TRUE)</f>
        <v>#N/A</v>
      </c>
      <c r="BB111" s="1" t="e">
        <f t="shared" si="4"/>
        <v>#N/A</v>
      </c>
    </row>
    <row r="112" spans="47:54" x14ac:dyDescent="0.25">
      <c r="AU112" t="e">
        <f>VLOOKUP($AU$2,$AU$3:$CI$24,39,TRUE)</f>
        <v>#N/A</v>
      </c>
      <c r="AV112" s="1" t="e">
        <f t="shared" si="2"/>
        <v>#N/A</v>
      </c>
      <c r="AX112" t="e">
        <f>VLOOKUP($AU$2,$AU$28:$CH$49,39,TRUE)</f>
        <v>#N/A</v>
      </c>
      <c r="AY112" s="1" t="e">
        <f t="shared" si="3"/>
        <v>#N/A</v>
      </c>
      <c r="BA112" t="e">
        <f>VLOOKUP($AU$2,$AU$52:$CI$73,39,TRUE)</f>
        <v>#N/A</v>
      </c>
      <c r="BB112" s="1" t="e">
        <f t="shared" si="4"/>
        <v>#N/A</v>
      </c>
    </row>
    <row r="113" spans="47:54" x14ac:dyDescent="0.25">
      <c r="AU113" t="e">
        <f>VLOOKUP($AU$2,$AU$3:$CI$24,40,TRUE)</f>
        <v>#N/A</v>
      </c>
      <c r="AV113" s="1" t="e">
        <f t="shared" si="2"/>
        <v>#N/A</v>
      </c>
      <c r="AX113" t="e">
        <f>VLOOKUP($AU$2,$AU$28:$CH$49,40,TRUE)</f>
        <v>#N/A</v>
      </c>
      <c r="AY113" s="1" t="e">
        <f t="shared" si="3"/>
        <v>#N/A</v>
      </c>
      <c r="BA113" t="e">
        <f>VLOOKUP($AU$2,$AU$52:$CI$73,40,TRUE)</f>
        <v>#N/A</v>
      </c>
      <c r="BB113" s="1" t="e">
        <f t="shared" si="4"/>
        <v>#N/A</v>
      </c>
    </row>
    <row r="114" spans="47:54" ht="15.75" thickBot="1" x14ac:dyDescent="0.3">
      <c r="AU114" s="33" t="e">
        <f>VLOOKUP($AU$2,$AU$3:$CI$24,41,TRUE)</f>
        <v>#N/A</v>
      </c>
      <c r="AV114" s="34" t="e">
        <f t="shared" si="2"/>
        <v>#N/A</v>
      </c>
      <c r="AW114" s="33"/>
      <c r="AX114" s="33"/>
      <c r="AY114" s="34"/>
      <c r="AZ114" s="33"/>
      <c r="BA114" s="33" t="e">
        <f>VLOOKUP($AU$2,$AU$52:$CI$73,41,TRUE)</f>
        <v>#N/A</v>
      </c>
      <c r="BB114" s="34" t="e">
        <f t="shared" si="4"/>
        <v>#N/A</v>
      </c>
    </row>
    <row r="115" spans="47:54" ht="15.75" thickTop="1" x14ac:dyDescent="0.25"/>
    <row r="116" spans="47:54" x14ac:dyDescent="0.25">
      <c r="AV116" s="1" t="e">
        <f>SUM(AV75:AV114)</f>
        <v>#N/A</v>
      </c>
      <c r="AY116" s="1" t="e">
        <f>SUM(AY75:AY113)</f>
        <v>#N/A</v>
      </c>
      <c r="BB116" s="1" t="e">
        <f>SUM(BB75:BB114)</f>
        <v>#N/A</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17D7B-8BA9-4247-AF6D-F6721DA608F7}">
  <dimension ref="A1:AX52"/>
  <sheetViews>
    <sheetView zoomScaleNormal="100" workbookViewId="0">
      <selection activeCell="J23" sqref="J23"/>
    </sheetView>
  </sheetViews>
  <sheetFormatPr defaultColWidth="11.42578125" defaultRowHeight="15" x14ac:dyDescent="0.25"/>
  <cols>
    <col min="1" max="1" width="11.7109375" bestFit="1" customWidth="1"/>
    <col min="2" max="2" width="11.7109375" customWidth="1"/>
    <col min="12" max="12" width="12.140625" bestFit="1" customWidth="1"/>
    <col min="13" max="37" width="11.140625" bestFit="1" customWidth="1"/>
  </cols>
  <sheetData>
    <row r="1" spans="1:39" x14ac:dyDescent="0.25">
      <c r="B1" t="s">
        <v>72</v>
      </c>
      <c r="C1" t="s">
        <v>73</v>
      </c>
      <c r="D1" t="s">
        <v>52</v>
      </c>
      <c r="I1" t="s">
        <v>70</v>
      </c>
      <c r="K1" s="24">
        <v>5</v>
      </c>
    </row>
    <row r="2" spans="1:39" x14ac:dyDescent="0.25">
      <c r="A2" s="31">
        <f>'Input Sheet'!B3</f>
        <v>2550000</v>
      </c>
      <c r="B2" s="30">
        <v>3.272727272727273E-2</v>
      </c>
      <c r="C2" s="32">
        <v>5.5885499999999998E-2</v>
      </c>
      <c r="D2" s="32">
        <v>0.33623550000000002</v>
      </c>
      <c r="I2">
        <v>2019</v>
      </c>
      <c r="J2">
        <v>0</v>
      </c>
      <c r="K2">
        <v>0</v>
      </c>
      <c r="L2" s="30">
        <v>3.272727272727273E-2</v>
      </c>
      <c r="M2" s="30">
        <v>3.272727272727273E-2</v>
      </c>
      <c r="N2" s="30">
        <v>3.272727272727273E-2</v>
      </c>
      <c r="O2" s="30">
        <v>3.272727272727273E-2</v>
      </c>
      <c r="P2" s="30">
        <v>3.272727272727273E-2</v>
      </c>
      <c r="Q2" s="30">
        <v>3.272727272727273E-2</v>
      </c>
      <c r="R2" s="30">
        <v>3.272727272727273E-2</v>
      </c>
      <c r="S2" s="30">
        <v>3.272727272727273E-2</v>
      </c>
      <c r="T2" s="30">
        <v>3.272727272727273E-2</v>
      </c>
      <c r="U2" s="30">
        <v>3.272727272727273E-2</v>
      </c>
      <c r="V2" s="30">
        <v>3.272727272727273E-2</v>
      </c>
      <c r="W2" s="30">
        <v>3.272727272727273E-2</v>
      </c>
      <c r="X2" s="30">
        <v>3.272727272727273E-2</v>
      </c>
      <c r="Y2" s="30">
        <v>3.272727272727273E-2</v>
      </c>
      <c r="Z2" s="30">
        <v>3.272727272727273E-2</v>
      </c>
      <c r="AA2" s="30">
        <v>3.272727272727273E-2</v>
      </c>
      <c r="AB2" s="30">
        <v>3.272727272727273E-2</v>
      </c>
      <c r="AC2" s="30">
        <v>3.272727272727273E-2</v>
      </c>
      <c r="AD2" s="30">
        <v>3.272727272727273E-2</v>
      </c>
      <c r="AE2" s="30">
        <v>3.272727272727273E-2</v>
      </c>
      <c r="AF2" s="30">
        <v>3.272727272727273E-2</v>
      </c>
      <c r="AG2" s="30">
        <v>3.272727272727273E-2</v>
      </c>
      <c r="AH2" s="30">
        <v>3.272727272727273E-2</v>
      </c>
      <c r="AI2" s="30">
        <v>3.272727272727273E-2</v>
      </c>
      <c r="AJ2" s="30">
        <v>3.272727272727273E-2</v>
      </c>
      <c r="AK2" s="30">
        <v>3.272727272727273E-2</v>
      </c>
      <c r="AL2" s="30">
        <v>3.272727272727273E-2</v>
      </c>
      <c r="AM2" s="30">
        <v>1.6363636363636365E-2</v>
      </c>
    </row>
    <row r="3" spans="1:39" x14ac:dyDescent="0.25">
      <c r="B3" s="30">
        <v>3.272727272727273E-2</v>
      </c>
      <c r="C3" s="32">
        <v>7.9510499999999998E-2</v>
      </c>
      <c r="D3" s="32">
        <v>2.1235500000000001E-2</v>
      </c>
      <c r="I3">
        <v>2018</v>
      </c>
      <c r="J3">
        <v>1</v>
      </c>
      <c r="K3">
        <v>1</v>
      </c>
      <c r="L3" s="30">
        <v>3.272727272727273E-2</v>
      </c>
      <c r="M3" s="30">
        <v>3.272727272727273E-2</v>
      </c>
      <c r="N3" s="30">
        <v>3.272727272727273E-2</v>
      </c>
      <c r="O3" s="30">
        <v>3.272727272727273E-2</v>
      </c>
      <c r="P3" s="30">
        <v>3.272727272727273E-2</v>
      </c>
      <c r="Q3" s="30">
        <v>3.272727272727273E-2</v>
      </c>
      <c r="R3" s="30">
        <v>3.272727272727273E-2</v>
      </c>
      <c r="S3" s="30">
        <v>3.272727272727273E-2</v>
      </c>
      <c r="T3" s="30">
        <v>3.272727272727273E-2</v>
      </c>
      <c r="U3" s="30">
        <v>3.272727272727273E-2</v>
      </c>
      <c r="V3" s="30">
        <v>3.272727272727273E-2</v>
      </c>
      <c r="W3" s="30">
        <v>3.272727272727273E-2</v>
      </c>
      <c r="X3" s="30">
        <v>3.272727272727273E-2</v>
      </c>
      <c r="Y3" s="30">
        <v>3.272727272727273E-2</v>
      </c>
      <c r="Z3" s="30">
        <v>3.272727272727273E-2</v>
      </c>
      <c r="AA3" s="30">
        <v>3.272727272727273E-2</v>
      </c>
      <c r="AB3" s="30">
        <v>3.272727272727273E-2</v>
      </c>
      <c r="AC3" s="30">
        <v>3.272727272727273E-2</v>
      </c>
      <c r="AD3" s="30">
        <v>3.272727272727273E-2</v>
      </c>
      <c r="AE3" s="30">
        <v>3.272727272727273E-2</v>
      </c>
      <c r="AF3" s="30">
        <v>3.272727272727273E-2</v>
      </c>
      <c r="AG3" s="30">
        <v>3.272727272727273E-2</v>
      </c>
      <c r="AH3" s="30">
        <v>3.272727272727273E-2</v>
      </c>
      <c r="AI3" s="30">
        <v>3.272727272727273E-2</v>
      </c>
      <c r="AJ3" s="30">
        <v>3.272727272727273E-2</v>
      </c>
      <c r="AK3" s="30">
        <v>3.272727272727273E-2</v>
      </c>
      <c r="AL3" s="30">
        <v>1.6363636363636365E-2</v>
      </c>
    </row>
    <row r="4" spans="1:39" x14ac:dyDescent="0.25">
      <c r="B4" s="30">
        <v>3.272727272727273E-2</v>
      </c>
      <c r="C4" s="32">
        <v>6.158700000000001E-2</v>
      </c>
      <c r="D4" s="32">
        <v>2.1235500000000001E-2</v>
      </c>
      <c r="I4">
        <v>2017</v>
      </c>
      <c r="J4">
        <v>2</v>
      </c>
      <c r="K4">
        <v>2</v>
      </c>
      <c r="L4" s="30">
        <v>3.272727272727273E-2</v>
      </c>
      <c r="M4" s="30">
        <v>3.272727272727273E-2</v>
      </c>
      <c r="N4" s="30">
        <v>3.272727272727273E-2</v>
      </c>
      <c r="O4" s="30">
        <v>3.272727272727273E-2</v>
      </c>
      <c r="P4" s="30">
        <v>3.272727272727273E-2</v>
      </c>
      <c r="Q4" s="30">
        <v>3.272727272727273E-2</v>
      </c>
      <c r="R4" s="30">
        <v>3.272727272727273E-2</v>
      </c>
      <c r="S4" s="30">
        <v>3.272727272727273E-2</v>
      </c>
      <c r="T4" s="30">
        <v>3.272727272727273E-2</v>
      </c>
      <c r="U4" s="30">
        <v>3.272727272727273E-2</v>
      </c>
      <c r="V4" s="30">
        <v>3.272727272727273E-2</v>
      </c>
      <c r="W4" s="30">
        <v>3.272727272727273E-2</v>
      </c>
      <c r="X4" s="30">
        <v>3.272727272727273E-2</v>
      </c>
      <c r="Y4" s="30">
        <v>3.272727272727273E-2</v>
      </c>
      <c r="Z4" s="30">
        <v>3.272727272727273E-2</v>
      </c>
      <c r="AA4" s="30">
        <v>3.272727272727273E-2</v>
      </c>
      <c r="AB4" s="30">
        <v>3.272727272727273E-2</v>
      </c>
      <c r="AC4" s="30">
        <v>3.272727272727273E-2</v>
      </c>
      <c r="AD4" s="30">
        <v>3.272727272727273E-2</v>
      </c>
      <c r="AE4" s="30">
        <v>3.272727272727273E-2</v>
      </c>
      <c r="AF4" s="30">
        <v>3.272727272727273E-2</v>
      </c>
      <c r="AG4" s="30">
        <v>3.272727272727273E-2</v>
      </c>
      <c r="AH4" s="30">
        <v>3.272727272727273E-2</v>
      </c>
      <c r="AI4" s="30">
        <v>3.272727272727273E-2</v>
      </c>
      <c r="AJ4" s="30">
        <v>3.272727272727273E-2</v>
      </c>
      <c r="AK4" s="30">
        <v>1.6363636363636365E-2</v>
      </c>
    </row>
    <row r="5" spans="1:39" x14ac:dyDescent="0.25">
      <c r="B5" s="30">
        <v>3.272727272727273E-2</v>
      </c>
      <c r="C5" s="32">
        <v>5.03037E-2</v>
      </c>
      <c r="D5" s="32">
        <v>2.1235500000000001E-2</v>
      </c>
      <c r="I5">
        <v>2016</v>
      </c>
      <c r="J5">
        <v>3</v>
      </c>
      <c r="K5">
        <v>3</v>
      </c>
      <c r="L5" s="30">
        <v>3.272727272727273E-2</v>
      </c>
      <c r="M5" s="30">
        <v>3.272727272727273E-2</v>
      </c>
      <c r="N5" s="30">
        <v>3.272727272727273E-2</v>
      </c>
      <c r="O5" s="30">
        <v>3.272727272727273E-2</v>
      </c>
      <c r="P5" s="30">
        <v>3.272727272727273E-2</v>
      </c>
      <c r="Q5" s="30">
        <v>3.272727272727273E-2</v>
      </c>
      <c r="R5" s="30">
        <v>3.272727272727273E-2</v>
      </c>
      <c r="S5" s="30">
        <v>3.272727272727273E-2</v>
      </c>
      <c r="T5" s="30">
        <v>3.272727272727273E-2</v>
      </c>
      <c r="U5" s="30">
        <v>3.272727272727273E-2</v>
      </c>
      <c r="V5" s="30">
        <v>3.272727272727273E-2</v>
      </c>
      <c r="W5" s="30">
        <v>3.272727272727273E-2</v>
      </c>
      <c r="X5" s="30">
        <v>3.272727272727273E-2</v>
      </c>
      <c r="Y5" s="30">
        <v>3.272727272727273E-2</v>
      </c>
      <c r="Z5" s="30">
        <v>3.272727272727273E-2</v>
      </c>
      <c r="AA5" s="30">
        <v>3.272727272727273E-2</v>
      </c>
      <c r="AB5" s="30">
        <v>3.272727272727273E-2</v>
      </c>
      <c r="AC5" s="30">
        <v>3.272727272727273E-2</v>
      </c>
      <c r="AD5" s="30">
        <v>3.272727272727273E-2</v>
      </c>
      <c r="AE5" s="30">
        <v>3.272727272727273E-2</v>
      </c>
      <c r="AF5" s="30">
        <v>3.272727272727273E-2</v>
      </c>
      <c r="AG5" s="30">
        <v>3.272727272727273E-2</v>
      </c>
      <c r="AH5" s="30">
        <v>3.272727272727273E-2</v>
      </c>
      <c r="AI5" s="30">
        <v>3.272727272727273E-2</v>
      </c>
      <c r="AJ5" s="30">
        <v>1.6363636363636365E-2</v>
      </c>
    </row>
    <row r="6" spans="1:39" x14ac:dyDescent="0.25">
      <c r="B6" s="30">
        <v>3.272727272727273E-2</v>
      </c>
      <c r="C6" s="32">
        <v>4.88484E-2</v>
      </c>
      <c r="D6" s="32">
        <v>2.1235500000000001E-2</v>
      </c>
      <c r="I6">
        <v>2015</v>
      </c>
      <c r="J6">
        <v>4</v>
      </c>
      <c r="K6">
        <v>4</v>
      </c>
      <c r="L6" s="30">
        <v>3.272727272727273E-2</v>
      </c>
      <c r="M6" s="30">
        <v>3.272727272727273E-2</v>
      </c>
      <c r="N6" s="30">
        <v>3.272727272727273E-2</v>
      </c>
      <c r="O6" s="30">
        <v>3.272727272727273E-2</v>
      </c>
      <c r="P6" s="30">
        <v>3.272727272727273E-2</v>
      </c>
      <c r="Q6" s="30">
        <v>3.272727272727273E-2</v>
      </c>
      <c r="R6" s="30">
        <v>3.272727272727273E-2</v>
      </c>
      <c r="S6" s="30">
        <v>3.272727272727273E-2</v>
      </c>
      <c r="T6" s="30">
        <v>3.272727272727273E-2</v>
      </c>
      <c r="U6" s="30">
        <v>3.272727272727273E-2</v>
      </c>
      <c r="V6" s="30">
        <v>3.272727272727273E-2</v>
      </c>
      <c r="W6" s="30">
        <v>3.272727272727273E-2</v>
      </c>
      <c r="X6" s="30">
        <v>3.272727272727273E-2</v>
      </c>
      <c r="Y6" s="30">
        <v>3.272727272727273E-2</v>
      </c>
      <c r="Z6" s="30">
        <v>3.272727272727273E-2</v>
      </c>
      <c r="AA6" s="30">
        <v>3.272727272727273E-2</v>
      </c>
      <c r="AB6" s="30">
        <v>3.272727272727273E-2</v>
      </c>
      <c r="AC6" s="30">
        <v>3.272727272727273E-2</v>
      </c>
      <c r="AD6" s="30">
        <v>3.272727272727273E-2</v>
      </c>
      <c r="AE6" s="30">
        <v>3.272727272727273E-2</v>
      </c>
      <c r="AF6" s="30">
        <v>3.272727272727273E-2</v>
      </c>
      <c r="AG6" s="30">
        <v>3.272727272727273E-2</v>
      </c>
      <c r="AH6" s="30">
        <v>3.272727272727273E-2</v>
      </c>
      <c r="AI6" s="30">
        <v>1.6363636363636365E-2</v>
      </c>
    </row>
    <row r="7" spans="1:39" x14ac:dyDescent="0.25">
      <c r="B7" s="30">
        <v>3.272727272727273E-2</v>
      </c>
      <c r="C7" s="32">
        <v>4.0267800000000006E-2</v>
      </c>
      <c r="D7" s="32">
        <v>2.1235500000000001E-2</v>
      </c>
      <c r="I7">
        <v>2014</v>
      </c>
      <c r="J7">
        <v>5</v>
      </c>
      <c r="K7">
        <v>5</v>
      </c>
      <c r="L7" s="30">
        <v>3.272727272727273E-2</v>
      </c>
      <c r="M7" s="30">
        <v>3.272727272727273E-2</v>
      </c>
      <c r="N7" s="30">
        <v>3.272727272727273E-2</v>
      </c>
      <c r="O7" s="30">
        <v>3.272727272727273E-2</v>
      </c>
      <c r="P7" s="30">
        <v>3.272727272727273E-2</v>
      </c>
      <c r="Q7" s="30">
        <v>3.272727272727273E-2</v>
      </c>
      <c r="R7" s="30">
        <v>3.272727272727273E-2</v>
      </c>
      <c r="S7" s="30">
        <v>3.272727272727273E-2</v>
      </c>
      <c r="T7" s="30">
        <v>3.272727272727273E-2</v>
      </c>
      <c r="U7" s="30">
        <v>3.272727272727273E-2</v>
      </c>
      <c r="V7" s="30">
        <v>3.272727272727273E-2</v>
      </c>
      <c r="W7" s="30">
        <v>3.272727272727273E-2</v>
      </c>
      <c r="X7" s="30">
        <v>3.272727272727273E-2</v>
      </c>
      <c r="Y7" s="30">
        <v>3.272727272727273E-2</v>
      </c>
      <c r="Z7" s="30">
        <v>3.272727272727273E-2</v>
      </c>
      <c r="AA7" s="30">
        <v>3.272727272727273E-2</v>
      </c>
      <c r="AB7" s="30">
        <v>3.272727272727273E-2</v>
      </c>
      <c r="AC7" s="30">
        <v>3.272727272727273E-2</v>
      </c>
      <c r="AD7" s="30">
        <v>3.272727272727273E-2</v>
      </c>
      <c r="AE7" s="30">
        <v>3.272727272727273E-2</v>
      </c>
      <c r="AF7" s="30">
        <v>3.272727272727273E-2</v>
      </c>
      <c r="AG7" s="30">
        <v>3.272727272727273E-2</v>
      </c>
      <c r="AH7" s="30">
        <v>1.6363636363636365E-2</v>
      </c>
    </row>
    <row r="8" spans="1:39" x14ac:dyDescent="0.25">
      <c r="B8" s="30">
        <v>3.272727272727273E-2</v>
      </c>
      <c r="C8" s="32">
        <v>3.2386499999999999E-2</v>
      </c>
      <c r="D8" s="32">
        <v>2.1235500000000001E-2</v>
      </c>
      <c r="L8" s="28"/>
    </row>
    <row r="9" spans="1:39" x14ac:dyDescent="0.25">
      <c r="B9" s="30">
        <v>3.272727272727273E-2</v>
      </c>
      <c r="C9" s="32">
        <v>3.2386499999999999E-2</v>
      </c>
      <c r="D9" s="32">
        <v>2.1235500000000001E-2</v>
      </c>
      <c r="K9">
        <v>0</v>
      </c>
      <c r="L9" s="32">
        <v>5.5885499999999998E-2</v>
      </c>
      <c r="M9" s="32">
        <v>7.9510499999999998E-2</v>
      </c>
      <c r="N9" s="32">
        <v>6.158700000000001E-2</v>
      </c>
      <c r="O9" s="32">
        <v>5.03037E-2</v>
      </c>
      <c r="P9" s="32">
        <v>4.88484E-2</v>
      </c>
      <c r="Q9" s="32">
        <v>4.0267800000000006E-2</v>
      </c>
      <c r="R9" s="32">
        <v>3.2386499999999999E-2</v>
      </c>
      <c r="S9" s="32">
        <v>3.2386499999999999E-2</v>
      </c>
      <c r="T9" s="32">
        <v>3.2405400000000001E-2</v>
      </c>
      <c r="U9" s="32">
        <v>3.2386499999999999E-2</v>
      </c>
      <c r="V9" s="32">
        <v>3.2405400000000001E-2</v>
      </c>
      <c r="W9" s="32">
        <v>3.2386499999999999E-2</v>
      </c>
      <c r="X9" s="32">
        <v>3.2405400000000001E-2</v>
      </c>
      <c r="Y9" s="32">
        <v>3.2386499999999999E-2</v>
      </c>
      <c r="Z9" s="32">
        <v>3.2405400000000001E-2</v>
      </c>
      <c r="AA9" s="32">
        <v>2.6811000000000001E-2</v>
      </c>
      <c r="AB9" s="32">
        <v>2.1235500000000001E-2</v>
      </c>
      <c r="AC9" s="32">
        <v>2.1235500000000001E-2</v>
      </c>
      <c r="AD9" s="32">
        <v>2.1235500000000001E-2</v>
      </c>
      <c r="AE9" s="32">
        <v>2.1235500000000001E-2</v>
      </c>
      <c r="AF9" s="32">
        <v>2.1235500000000001E-2</v>
      </c>
      <c r="AG9" s="32">
        <v>2.1235500000000001E-2</v>
      </c>
      <c r="AH9" s="32">
        <v>2.1235500000000001E-2</v>
      </c>
      <c r="AI9" s="32">
        <v>2.1235500000000001E-2</v>
      </c>
      <c r="AJ9" s="32">
        <v>2.1235500000000001E-2</v>
      </c>
      <c r="AK9" s="32">
        <v>2.1235500000000001E-2</v>
      </c>
      <c r="AL9" s="32">
        <v>2.1235500000000001E-2</v>
      </c>
      <c r="AM9" s="32">
        <v>1.1641500000000001E-2</v>
      </c>
    </row>
    <row r="10" spans="1:39" x14ac:dyDescent="0.25">
      <c r="B10" s="30">
        <v>3.272727272727273E-2</v>
      </c>
      <c r="C10" s="32">
        <v>3.2405400000000001E-2</v>
      </c>
      <c r="D10" s="32">
        <v>2.1235500000000001E-2</v>
      </c>
      <c r="H10">
        <f>$A$2*Q23</f>
        <v>575717.54522727267</v>
      </c>
      <c r="I10" t="s">
        <v>71</v>
      </c>
      <c r="K10">
        <v>1</v>
      </c>
      <c r="L10">
        <v>0.10266872727272726</v>
      </c>
      <c r="M10" s="32">
        <v>6.158700000000001E-2</v>
      </c>
      <c r="N10" s="32">
        <v>5.03037E-2</v>
      </c>
      <c r="O10" s="32">
        <v>4.88484E-2</v>
      </c>
      <c r="P10" s="32">
        <v>4.0267800000000006E-2</v>
      </c>
      <c r="Q10" s="32">
        <v>3.2386499999999999E-2</v>
      </c>
      <c r="R10" s="32">
        <v>3.2386499999999999E-2</v>
      </c>
      <c r="S10" s="32">
        <v>3.2405400000000001E-2</v>
      </c>
      <c r="T10" s="32">
        <v>3.2386499999999999E-2</v>
      </c>
      <c r="U10" s="32">
        <v>3.2405400000000001E-2</v>
      </c>
      <c r="V10" s="32">
        <v>3.2386499999999999E-2</v>
      </c>
      <c r="W10" s="32">
        <v>3.2405400000000001E-2</v>
      </c>
      <c r="X10" s="32">
        <v>3.2386499999999999E-2</v>
      </c>
      <c r="Y10" s="32">
        <v>3.2405400000000001E-2</v>
      </c>
      <c r="Z10" s="32">
        <v>2.6811000000000001E-2</v>
      </c>
      <c r="AA10" s="32">
        <v>2.1235500000000001E-2</v>
      </c>
      <c r="AB10" s="32">
        <v>2.1235500000000001E-2</v>
      </c>
      <c r="AC10" s="32">
        <v>2.1235500000000001E-2</v>
      </c>
      <c r="AD10" s="32">
        <v>2.1235500000000001E-2</v>
      </c>
      <c r="AE10" s="32">
        <v>2.1235500000000001E-2</v>
      </c>
      <c r="AF10" s="32">
        <v>2.1235500000000001E-2</v>
      </c>
      <c r="AG10" s="32">
        <v>2.1235500000000001E-2</v>
      </c>
      <c r="AH10" s="32">
        <v>2.1235500000000001E-2</v>
      </c>
      <c r="AI10" s="32">
        <v>2.1235500000000001E-2</v>
      </c>
      <c r="AJ10" s="32">
        <v>2.1235500000000001E-2</v>
      </c>
      <c r="AK10" s="32">
        <v>2.1235500000000001E-2</v>
      </c>
      <c r="AL10" s="32">
        <v>1.1641500000000001E-2</v>
      </c>
    </row>
    <row r="11" spans="1:39" x14ac:dyDescent="0.25">
      <c r="B11" s="30">
        <v>3.272727272727273E-2</v>
      </c>
      <c r="C11" s="32">
        <v>3.2386499999999999E-2</v>
      </c>
      <c r="D11" s="32">
        <v>2.1235500000000001E-2</v>
      </c>
      <c r="I11" s="10" t="e">
        <f>VLOOKUP('Input Sheet'!$P$3, Catchup!I2:J7, 2, FALSE)</f>
        <v>#N/A</v>
      </c>
      <c r="K11">
        <v>2</v>
      </c>
      <c r="L11">
        <v>0.13152845454545456</v>
      </c>
      <c r="M11" s="32">
        <v>5.03037E-2</v>
      </c>
      <c r="N11" s="32">
        <v>4.88484E-2</v>
      </c>
      <c r="O11" s="32">
        <v>4.0267800000000006E-2</v>
      </c>
      <c r="P11" s="32">
        <v>3.2386499999999999E-2</v>
      </c>
      <c r="Q11" s="32">
        <v>3.2386499999999999E-2</v>
      </c>
      <c r="R11" s="32">
        <v>3.2405400000000001E-2</v>
      </c>
      <c r="S11" s="32">
        <v>3.2386499999999999E-2</v>
      </c>
      <c r="T11" s="32">
        <v>3.2405400000000001E-2</v>
      </c>
      <c r="U11" s="32">
        <v>3.2386499999999999E-2</v>
      </c>
      <c r="V11" s="32">
        <v>3.2405400000000001E-2</v>
      </c>
      <c r="W11" s="32">
        <v>3.2386499999999999E-2</v>
      </c>
      <c r="X11" s="32">
        <v>3.2405400000000001E-2</v>
      </c>
      <c r="Y11" s="32">
        <v>2.6811000000000001E-2</v>
      </c>
      <c r="Z11" s="32">
        <v>2.1235500000000001E-2</v>
      </c>
      <c r="AA11" s="32">
        <v>2.1235500000000001E-2</v>
      </c>
      <c r="AB11" s="32">
        <v>2.1235500000000001E-2</v>
      </c>
      <c r="AC11" s="32">
        <v>2.1235500000000001E-2</v>
      </c>
      <c r="AD11" s="32">
        <v>2.1235500000000001E-2</v>
      </c>
      <c r="AE11" s="32">
        <v>2.1235500000000001E-2</v>
      </c>
      <c r="AF11" s="32">
        <v>2.1235500000000001E-2</v>
      </c>
      <c r="AG11" s="32">
        <v>2.1235500000000001E-2</v>
      </c>
      <c r="AH11" s="32">
        <v>2.1235500000000001E-2</v>
      </c>
      <c r="AI11" s="32">
        <v>2.1235500000000001E-2</v>
      </c>
      <c r="AJ11" s="32">
        <v>2.1235500000000001E-2</v>
      </c>
      <c r="AK11" s="32">
        <v>1.1641500000000001E-2</v>
      </c>
    </row>
    <row r="12" spans="1:39" x14ac:dyDescent="0.25">
      <c r="B12" s="30">
        <v>3.272727272727273E-2</v>
      </c>
      <c r="C12" s="32">
        <v>3.2405400000000001E-2</v>
      </c>
      <c r="D12" s="32">
        <v>2.1235500000000001E-2</v>
      </c>
      <c r="K12">
        <v>3</v>
      </c>
      <c r="L12">
        <v>0.14910488181818182</v>
      </c>
      <c r="M12" s="32">
        <v>4.88484E-2</v>
      </c>
      <c r="N12" s="32">
        <v>4.0267800000000006E-2</v>
      </c>
      <c r="O12" s="32">
        <v>3.2386499999999999E-2</v>
      </c>
      <c r="P12" s="32">
        <v>3.2386499999999999E-2</v>
      </c>
      <c r="Q12" s="32">
        <v>3.2405400000000001E-2</v>
      </c>
      <c r="R12" s="32">
        <v>3.2386499999999999E-2</v>
      </c>
      <c r="S12" s="32">
        <v>3.2405400000000001E-2</v>
      </c>
      <c r="T12" s="32">
        <v>3.2386499999999999E-2</v>
      </c>
      <c r="U12" s="32">
        <v>3.2405400000000001E-2</v>
      </c>
      <c r="V12" s="32">
        <v>3.2386499999999999E-2</v>
      </c>
      <c r="W12" s="32">
        <v>3.2405400000000001E-2</v>
      </c>
      <c r="X12" s="32">
        <v>2.6811000000000001E-2</v>
      </c>
      <c r="Y12" s="32">
        <v>2.1235500000000001E-2</v>
      </c>
      <c r="Z12" s="32">
        <v>2.1235500000000001E-2</v>
      </c>
      <c r="AA12" s="32">
        <v>2.1235500000000001E-2</v>
      </c>
      <c r="AB12" s="32">
        <v>2.1235500000000001E-2</v>
      </c>
      <c r="AC12" s="32">
        <v>2.1235500000000001E-2</v>
      </c>
      <c r="AD12" s="32">
        <v>2.1235500000000001E-2</v>
      </c>
      <c r="AE12" s="32">
        <v>2.1235500000000001E-2</v>
      </c>
      <c r="AF12" s="32">
        <v>2.1235500000000001E-2</v>
      </c>
      <c r="AG12" s="32">
        <v>2.1235500000000001E-2</v>
      </c>
      <c r="AH12" s="32">
        <v>2.1235500000000001E-2</v>
      </c>
      <c r="AI12" s="32">
        <v>2.1235500000000001E-2</v>
      </c>
      <c r="AJ12" s="32">
        <v>1.1641500000000001E-2</v>
      </c>
    </row>
    <row r="13" spans="1:39" x14ac:dyDescent="0.25">
      <c r="B13" s="30">
        <v>3.272727272727273E-2</v>
      </c>
      <c r="C13" s="32">
        <v>3.2386499999999999E-2</v>
      </c>
      <c r="D13" s="32">
        <v>2.1235500000000001E-2</v>
      </c>
      <c r="K13">
        <v>4</v>
      </c>
      <c r="L13">
        <v>0.16522600909090909</v>
      </c>
      <c r="M13" s="32">
        <v>4.0267800000000006E-2</v>
      </c>
      <c r="N13" s="32">
        <v>3.2386499999999999E-2</v>
      </c>
      <c r="O13" s="32">
        <v>3.2386499999999999E-2</v>
      </c>
      <c r="P13" s="32">
        <v>3.2405400000000001E-2</v>
      </c>
      <c r="Q13" s="32">
        <v>3.2386499999999999E-2</v>
      </c>
      <c r="R13" s="32">
        <v>3.2405400000000001E-2</v>
      </c>
      <c r="S13" s="32">
        <v>3.2386499999999999E-2</v>
      </c>
      <c r="T13" s="32">
        <v>3.2405400000000001E-2</v>
      </c>
      <c r="U13" s="32">
        <v>3.2386499999999999E-2</v>
      </c>
      <c r="V13" s="32">
        <v>3.2405400000000001E-2</v>
      </c>
      <c r="W13" s="32">
        <v>2.6811000000000001E-2</v>
      </c>
      <c r="X13" s="32">
        <v>2.1235500000000001E-2</v>
      </c>
      <c r="Y13" s="32">
        <v>2.1235500000000001E-2</v>
      </c>
      <c r="Z13" s="32">
        <v>2.1235500000000001E-2</v>
      </c>
      <c r="AA13" s="32">
        <v>2.1235500000000001E-2</v>
      </c>
      <c r="AB13" s="32">
        <v>2.1235500000000001E-2</v>
      </c>
      <c r="AC13" s="32">
        <v>2.1235500000000001E-2</v>
      </c>
      <c r="AD13" s="32">
        <v>2.1235500000000001E-2</v>
      </c>
      <c r="AE13" s="32">
        <v>2.1235500000000001E-2</v>
      </c>
      <c r="AF13" s="32">
        <v>2.1235500000000001E-2</v>
      </c>
      <c r="AG13" s="32">
        <v>2.1235500000000001E-2</v>
      </c>
      <c r="AH13" s="32">
        <v>2.1235500000000001E-2</v>
      </c>
      <c r="AI13" s="32">
        <v>1.1641500000000001E-2</v>
      </c>
    </row>
    <row r="14" spans="1:39" x14ac:dyDescent="0.25">
      <c r="B14" s="30">
        <v>3.272727272727273E-2</v>
      </c>
      <c r="C14" s="32">
        <v>3.2405400000000001E-2</v>
      </c>
      <c r="D14" s="32">
        <v>2.1235500000000001E-2</v>
      </c>
      <c r="K14">
        <v>5</v>
      </c>
      <c r="L14">
        <v>0.17276653636363637</v>
      </c>
      <c r="M14" s="32">
        <v>3.2386499999999999E-2</v>
      </c>
      <c r="N14" s="32">
        <v>3.2386499999999999E-2</v>
      </c>
      <c r="O14" s="32">
        <v>3.2405400000000001E-2</v>
      </c>
      <c r="P14" s="32">
        <v>3.2386499999999999E-2</v>
      </c>
      <c r="Q14" s="32">
        <v>3.2405400000000001E-2</v>
      </c>
      <c r="R14" s="32">
        <v>3.2386499999999999E-2</v>
      </c>
      <c r="S14" s="32">
        <v>3.2405400000000001E-2</v>
      </c>
      <c r="T14" s="32">
        <v>3.2386499999999999E-2</v>
      </c>
      <c r="U14" s="32">
        <v>3.2405400000000001E-2</v>
      </c>
      <c r="V14" s="32">
        <v>2.6811000000000001E-2</v>
      </c>
      <c r="W14" s="32">
        <v>2.1235500000000001E-2</v>
      </c>
      <c r="X14" s="32">
        <v>2.1235500000000001E-2</v>
      </c>
      <c r="Y14" s="32">
        <v>2.1235500000000001E-2</v>
      </c>
      <c r="Z14" s="32">
        <v>2.1235500000000001E-2</v>
      </c>
      <c r="AA14" s="32">
        <v>2.1235500000000001E-2</v>
      </c>
      <c r="AB14" s="32">
        <v>2.1235500000000001E-2</v>
      </c>
      <c r="AC14" s="32">
        <v>2.1235500000000001E-2</v>
      </c>
      <c r="AD14" s="32">
        <v>2.1235500000000001E-2</v>
      </c>
      <c r="AE14" s="32">
        <v>2.1235500000000001E-2</v>
      </c>
      <c r="AF14" s="32">
        <v>2.1235500000000001E-2</v>
      </c>
      <c r="AG14" s="32">
        <v>2.1235500000000001E-2</v>
      </c>
      <c r="AH14" s="32">
        <v>1.1641500000000001E-2</v>
      </c>
    </row>
    <row r="15" spans="1:39" x14ac:dyDescent="0.25">
      <c r="B15" s="30">
        <v>3.272727272727273E-2</v>
      </c>
      <c r="C15" s="32">
        <v>3.2386499999999999E-2</v>
      </c>
      <c r="D15" s="32">
        <v>2.1235500000000001E-2</v>
      </c>
    </row>
    <row r="16" spans="1:39" x14ac:dyDescent="0.25">
      <c r="B16" s="30">
        <v>3.272727272727273E-2</v>
      </c>
      <c r="C16" s="32">
        <v>3.2405400000000001E-2</v>
      </c>
      <c r="D16" s="32">
        <v>2.1235500000000001E-2</v>
      </c>
      <c r="K16">
        <v>0</v>
      </c>
      <c r="L16" s="32">
        <v>0.33623550000000002</v>
      </c>
      <c r="M16" s="32">
        <v>2.1235500000000001E-2</v>
      </c>
      <c r="N16" s="32">
        <v>2.1235500000000001E-2</v>
      </c>
      <c r="O16" s="32">
        <v>2.1235500000000001E-2</v>
      </c>
      <c r="P16" s="32">
        <v>2.1235500000000001E-2</v>
      </c>
      <c r="Q16" s="32">
        <v>2.1235500000000001E-2</v>
      </c>
      <c r="R16" s="32">
        <v>2.1235500000000001E-2</v>
      </c>
      <c r="S16" s="32">
        <v>2.1235500000000001E-2</v>
      </c>
      <c r="T16" s="32">
        <v>2.1235500000000001E-2</v>
      </c>
      <c r="U16" s="32">
        <v>2.1235500000000001E-2</v>
      </c>
      <c r="V16" s="32">
        <v>2.1235500000000001E-2</v>
      </c>
      <c r="W16" s="32">
        <v>2.1235500000000001E-2</v>
      </c>
      <c r="X16" s="32">
        <v>2.1235500000000001E-2</v>
      </c>
      <c r="Y16" s="32">
        <v>2.1235500000000001E-2</v>
      </c>
      <c r="Z16" s="32">
        <v>2.1235500000000001E-2</v>
      </c>
      <c r="AA16" s="32">
        <v>2.1235500000000001E-2</v>
      </c>
      <c r="AB16" s="32">
        <v>2.1235500000000001E-2</v>
      </c>
      <c r="AC16" s="32">
        <v>2.1235500000000001E-2</v>
      </c>
      <c r="AD16" s="32">
        <v>2.1235500000000001E-2</v>
      </c>
      <c r="AE16" s="32">
        <v>2.1235500000000001E-2</v>
      </c>
      <c r="AF16" s="32">
        <v>2.1235500000000001E-2</v>
      </c>
      <c r="AG16" s="32">
        <v>2.1235500000000001E-2</v>
      </c>
      <c r="AH16" s="32">
        <v>2.1235500000000001E-2</v>
      </c>
      <c r="AI16" s="32">
        <v>2.1235500000000001E-2</v>
      </c>
      <c r="AJ16" s="32">
        <v>2.1235500000000001E-2</v>
      </c>
      <c r="AK16" s="32">
        <v>2.1235500000000001E-2</v>
      </c>
      <c r="AL16" s="32">
        <v>2.1235500000000001E-2</v>
      </c>
      <c r="AM16" s="32">
        <v>1.1641500000000001E-2</v>
      </c>
    </row>
    <row r="17" spans="2:50" x14ac:dyDescent="0.25">
      <c r="B17" s="30">
        <v>3.272727272727273E-2</v>
      </c>
      <c r="C17" s="32">
        <v>2.6811000000000001E-2</v>
      </c>
      <c r="D17" s="32">
        <v>2.1235500000000001E-2</v>
      </c>
      <c r="K17">
        <v>1</v>
      </c>
      <c r="L17" s="32">
        <v>0.32474372727272727</v>
      </c>
      <c r="M17" s="32">
        <v>2.1235500000000001E-2</v>
      </c>
      <c r="N17" s="32">
        <v>2.1235500000000001E-2</v>
      </c>
      <c r="O17" s="32">
        <v>2.1235500000000001E-2</v>
      </c>
      <c r="P17" s="32">
        <v>2.1235500000000001E-2</v>
      </c>
      <c r="Q17" s="32">
        <v>2.1235500000000001E-2</v>
      </c>
      <c r="R17" s="32">
        <v>2.1235500000000001E-2</v>
      </c>
      <c r="S17" s="32">
        <v>2.1235500000000001E-2</v>
      </c>
      <c r="T17" s="32">
        <v>2.1235500000000001E-2</v>
      </c>
      <c r="U17" s="32">
        <v>2.1235500000000001E-2</v>
      </c>
      <c r="V17" s="32">
        <v>2.1235500000000001E-2</v>
      </c>
      <c r="W17" s="32">
        <v>2.1235500000000001E-2</v>
      </c>
      <c r="X17" s="32">
        <v>2.1235500000000001E-2</v>
      </c>
      <c r="Y17" s="32">
        <v>2.1235500000000001E-2</v>
      </c>
      <c r="Z17" s="32">
        <v>2.1235500000000001E-2</v>
      </c>
      <c r="AA17" s="32">
        <v>2.1235500000000001E-2</v>
      </c>
      <c r="AB17" s="32">
        <v>2.1235500000000001E-2</v>
      </c>
      <c r="AC17" s="32">
        <v>2.1235500000000001E-2</v>
      </c>
      <c r="AD17" s="32">
        <v>2.1235500000000001E-2</v>
      </c>
      <c r="AE17" s="32">
        <v>2.1235500000000001E-2</v>
      </c>
      <c r="AF17" s="32">
        <v>2.1235500000000001E-2</v>
      </c>
      <c r="AG17" s="32">
        <v>2.1235500000000001E-2</v>
      </c>
      <c r="AH17" s="32">
        <v>2.1235500000000001E-2</v>
      </c>
      <c r="AI17" s="32">
        <v>2.1235500000000001E-2</v>
      </c>
      <c r="AJ17" s="32">
        <v>2.1235500000000001E-2</v>
      </c>
      <c r="AK17" s="32">
        <v>2.1235500000000001E-2</v>
      </c>
      <c r="AL17" s="32">
        <v>1.1641500000000001E-2</v>
      </c>
      <c r="AM17" s="29"/>
      <c r="AN17" s="29"/>
      <c r="AO17" s="29"/>
      <c r="AP17" s="29"/>
      <c r="AQ17" s="29"/>
      <c r="AR17" s="29"/>
      <c r="AS17" s="29"/>
      <c r="AT17" s="29"/>
      <c r="AU17" s="29"/>
      <c r="AV17" s="29"/>
      <c r="AW17" s="29"/>
      <c r="AX17" s="29"/>
    </row>
    <row r="18" spans="2:50" x14ac:dyDescent="0.25">
      <c r="B18" s="30">
        <v>3.272727272727273E-2</v>
      </c>
      <c r="C18" s="32">
        <v>2.1235500000000001E-2</v>
      </c>
      <c r="D18" s="32">
        <v>2.1235500000000001E-2</v>
      </c>
      <c r="K18">
        <v>2</v>
      </c>
      <c r="L18" s="28">
        <v>0.22239020454545452</v>
      </c>
      <c r="M18" s="28">
        <v>3.5769599999999999E-2</v>
      </c>
      <c r="N18" s="28">
        <v>3.5041949999999995E-2</v>
      </c>
      <c r="O18" s="28">
        <v>3.0751650000000002E-2</v>
      </c>
      <c r="P18" s="28">
        <v>2.6811000000000001E-2</v>
      </c>
      <c r="Q18" s="28">
        <v>2.6811000000000001E-2</v>
      </c>
      <c r="R18" s="28">
        <v>2.6820449999999999E-2</v>
      </c>
      <c r="S18" s="28">
        <v>2.6811000000000001E-2</v>
      </c>
      <c r="T18" s="28">
        <v>2.6820449999999999E-2</v>
      </c>
      <c r="U18" s="28">
        <v>2.6811000000000001E-2</v>
      </c>
      <c r="V18" s="28">
        <v>2.6820449999999999E-2</v>
      </c>
      <c r="W18" s="28">
        <v>2.6811000000000001E-2</v>
      </c>
      <c r="X18" s="28">
        <v>2.6820449999999999E-2</v>
      </c>
      <c r="Y18" s="28">
        <v>2.4023249999999999E-2</v>
      </c>
      <c r="Z18" s="28">
        <v>2.1235500000000001E-2</v>
      </c>
      <c r="AA18" s="28">
        <v>2.1235500000000001E-2</v>
      </c>
      <c r="AB18" s="28">
        <v>2.1235500000000001E-2</v>
      </c>
      <c r="AC18" s="28">
        <v>2.1235500000000001E-2</v>
      </c>
      <c r="AD18" s="28">
        <v>2.1235500000000001E-2</v>
      </c>
      <c r="AE18" s="28">
        <v>2.1235500000000001E-2</v>
      </c>
      <c r="AF18" s="28">
        <v>2.1235500000000001E-2</v>
      </c>
      <c r="AG18" s="28">
        <v>2.1235500000000001E-2</v>
      </c>
      <c r="AH18" s="28">
        <v>2.1235500000000001E-2</v>
      </c>
      <c r="AI18" s="28">
        <v>2.1235500000000001E-2</v>
      </c>
      <c r="AJ18" s="28">
        <v>2.1235500000000001E-2</v>
      </c>
      <c r="AK18" s="28">
        <v>1.1641500000000001E-2</v>
      </c>
      <c r="AL18" s="29"/>
      <c r="AM18" s="29"/>
      <c r="AN18" s="29"/>
      <c r="AO18" s="29"/>
      <c r="AP18" s="29"/>
      <c r="AQ18" s="29"/>
      <c r="AR18" s="29"/>
      <c r="AS18" s="29"/>
      <c r="AT18" s="29"/>
      <c r="AU18" s="29"/>
      <c r="AV18" s="29"/>
      <c r="AW18" s="29"/>
    </row>
    <row r="19" spans="2:50" x14ac:dyDescent="0.25">
      <c r="B19" s="30">
        <v>3.272727272727273E-2</v>
      </c>
      <c r="C19" s="32">
        <v>2.1235500000000001E-2</v>
      </c>
      <c r="D19" s="32">
        <v>2.1235500000000001E-2</v>
      </c>
      <c r="K19">
        <v>3</v>
      </c>
      <c r="L19" s="28">
        <v>0.22543253181818182</v>
      </c>
      <c r="M19" s="28">
        <v>3.5041949999999995E-2</v>
      </c>
      <c r="N19" s="28">
        <v>3.0751650000000002E-2</v>
      </c>
      <c r="O19" s="28">
        <v>2.6811000000000001E-2</v>
      </c>
      <c r="P19" s="28">
        <v>2.6811000000000001E-2</v>
      </c>
      <c r="Q19" s="28">
        <v>2.6820449999999999E-2</v>
      </c>
      <c r="R19" s="28">
        <v>2.6811000000000001E-2</v>
      </c>
      <c r="S19" s="28">
        <v>2.6820449999999999E-2</v>
      </c>
      <c r="T19" s="28">
        <v>2.6811000000000001E-2</v>
      </c>
      <c r="U19" s="28">
        <v>2.6820449999999999E-2</v>
      </c>
      <c r="V19" s="28">
        <v>2.6811000000000001E-2</v>
      </c>
      <c r="W19" s="28">
        <v>2.6820449999999999E-2</v>
      </c>
      <c r="X19" s="28">
        <v>2.4023249999999999E-2</v>
      </c>
      <c r="Y19" s="28">
        <v>2.1235500000000001E-2</v>
      </c>
      <c r="Z19" s="28">
        <v>2.1235500000000001E-2</v>
      </c>
      <c r="AA19" s="28">
        <v>2.1235500000000001E-2</v>
      </c>
      <c r="AB19" s="28">
        <v>2.1235500000000001E-2</v>
      </c>
      <c r="AC19" s="28">
        <v>2.1235500000000001E-2</v>
      </c>
      <c r="AD19" s="28">
        <v>2.1235500000000001E-2</v>
      </c>
      <c r="AE19" s="28">
        <v>2.1235500000000001E-2</v>
      </c>
      <c r="AF19" s="28">
        <v>2.1235500000000001E-2</v>
      </c>
      <c r="AG19" s="28">
        <v>2.1235500000000001E-2</v>
      </c>
      <c r="AH19" s="28">
        <v>2.1235500000000001E-2</v>
      </c>
      <c r="AI19" s="28">
        <v>2.1235500000000001E-2</v>
      </c>
      <c r="AJ19" s="28">
        <v>1.1641500000000001E-2</v>
      </c>
      <c r="AK19" s="29"/>
      <c r="AL19" s="29"/>
      <c r="AM19" s="29"/>
      <c r="AN19" s="29"/>
      <c r="AO19" s="29"/>
      <c r="AP19" s="29"/>
      <c r="AQ19" s="29"/>
      <c r="AR19" s="29"/>
      <c r="AS19" s="29"/>
      <c r="AT19" s="29"/>
      <c r="AU19" s="29"/>
      <c r="AV19" s="29"/>
    </row>
    <row r="20" spans="2:50" x14ac:dyDescent="0.25">
      <c r="B20" s="30">
        <v>3.272727272727273E-2</v>
      </c>
      <c r="C20" s="32">
        <v>2.1235500000000001E-2</v>
      </c>
      <c r="D20" s="32">
        <v>2.1235500000000001E-2</v>
      </c>
      <c r="K20">
        <v>4</v>
      </c>
      <c r="L20" s="28">
        <v>0.22774720909090904</v>
      </c>
      <c r="M20" s="28">
        <v>3.0751650000000002E-2</v>
      </c>
      <c r="N20" s="28">
        <v>2.6811000000000001E-2</v>
      </c>
      <c r="O20" s="28">
        <v>2.6811000000000001E-2</v>
      </c>
      <c r="P20" s="28">
        <v>2.6820449999999999E-2</v>
      </c>
      <c r="Q20" s="28">
        <v>2.6811000000000001E-2</v>
      </c>
      <c r="R20" s="28">
        <v>2.6820449999999999E-2</v>
      </c>
      <c r="S20" s="28">
        <v>2.6811000000000001E-2</v>
      </c>
      <c r="T20" s="28">
        <v>2.6820449999999999E-2</v>
      </c>
      <c r="U20" s="28">
        <v>2.6811000000000001E-2</v>
      </c>
      <c r="V20" s="28">
        <v>2.6820449999999999E-2</v>
      </c>
      <c r="W20" s="28">
        <v>2.4023249999999999E-2</v>
      </c>
      <c r="X20" s="28">
        <v>2.1235500000000001E-2</v>
      </c>
      <c r="Y20" s="28">
        <v>2.1235500000000001E-2</v>
      </c>
      <c r="Z20" s="28">
        <v>2.1235500000000001E-2</v>
      </c>
      <c r="AA20" s="28">
        <v>2.1235500000000001E-2</v>
      </c>
      <c r="AB20" s="28">
        <v>2.1235500000000001E-2</v>
      </c>
      <c r="AC20" s="28">
        <v>2.1235500000000001E-2</v>
      </c>
      <c r="AD20" s="28">
        <v>2.1235500000000001E-2</v>
      </c>
      <c r="AE20" s="28">
        <v>2.1235500000000001E-2</v>
      </c>
      <c r="AF20" s="28">
        <v>2.1235500000000001E-2</v>
      </c>
      <c r="AG20" s="28">
        <v>2.1235500000000001E-2</v>
      </c>
      <c r="AH20" s="28">
        <v>2.1235500000000001E-2</v>
      </c>
      <c r="AI20" s="28">
        <v>1.1641500000000001E-2</v>
      </c>
      <c r="AJ20" s="29"/>
      <c r="AK20" s="29"/>
      <c r="AL20" s="29"/>
      <c r="AM20" s="29"/>
      <c r="AN20" s="29"/>
      <c r="AO20" s="29"/>
      <c r="AP20" s="29"/>
      <c r="AQ20" s="29"/>
      <c r="AR20" s="29"/>
      <c r="AS20" s="29"/>
      <c r="AT20" s="29"/>
      <c r="AU20" s="29"/>
    </row>
    <row r="21" spans="2:50" x14ac:dyDescent="0.25">
      <c r="B21" s="30">
        <v>3.272727272727273E-2</v>
      </c>
      <c r="C21" s="32">
        <v>2.1235500000000001E-2</v>
      </c>
      <c r="D21" s="32">
        <v>2.1235500000000001E-2</v>
      </c>
      <c r="K21">
        <v>5</v>
      </c>
      <c r="L21" s="28">
        <v>0.22577158636363634</v>
      </c>
      <c r="M21" s="28">
        <v>2.6811000000000001E-2</v>
      </c>
      <c r="N21" s="28">
        <v>2.6811000000000001E-2</v>
      </c>
      <c r="O21" s="28">
        <v>2.6820449999999999E-2</v>
      </c>
      <c r="P21" s="28">
        <v>2.6811000000000001E-2</v>
      </c>
      <c r="Q21" s="28">
        <v>2.6820449999999999E-2</v>
      </c>
      <c r="R21" s="28">
        <v>2.6811000000000001E-2</v>
      </c>
      <c r="S21" s="28">
        <v>2.6820449999999999E-2</v>
      </c>
      <c r="T21" s="28">
        <v>2.6811000000000001E-2</v>
      </c>
      <c r="U21" s="28">
        <v>2.6820449999999999E-2</v>
      </c>
      <c r="V21" s="28">
        <v>2.4023249999999999E-2</v>
      </c>
      <c r="W21" s="28">
        <v>2.1235500000000001E-2</v>
      </c>
      <c r="X21" s="28">
        <v>2.1235500000000001E-2</v>
      </c>
      <c r="Y21" s="28">
        <v>2.1235500000000001E-2</v>
      </c>
      <c r="Z21" s="28">
        <v>2.1235500000000001E-2</v>
      </c>
      <c r="AA21" s="28">
        <v>2.1235500000000001E-2</v>
      </c>
      <c r="AB21" s="28">
        <v>2.1235500000000001E-2</v>
      </c>
      <c r="AC21" s="28">
        <v>2.1235500000000001E-2</v>
      </c>
      <c r="AD21" s="28">
        <v>2.1235500000000001E-2</v>
      </c>
      <c r="AE21" s="28">
        <v>2.1235500000000001E-2</v>
      </c>
      <c r="AF21" s="28">
        <v>2.1235500000000001E-2</v>
      </c>
      <c r="AG21" s="28">
        <v>2.1235500000000001E-2</v>
      </c>
      <c r="AH21" s="28">
        <v>1.1641500000000001E-2</v>
      </c>
      <c r="AI21" s="29"/>
      <c r="AJ21" s="29"/>
      <c r="AK21" s="29"/>
      <c r="AL21" s="29"/>
      <c r="AM21" s="29"/>
      <c r="AN21" s="29"/>
      <c r="AO21" s="29"/>
      <c r="AP21" s="29"/>
      <c r="AQ21" s="29"/>
      <c r="AR21" s="29"/>
      <c r="AS21" s="29"/>
      <c r="AT21" s="29"/>
    </row>
    <row r="22" spans="2:50" x14ac:dyDescent="0.25">
      <c r="B22" s="30">
        <v>3.272727272727273E-2</v>
      </c>
      <c r="C22" s="32">
        <v>2.1235500000000001E-2</v>
      </c>
      <c r="D22" s="32">
        <v>2.1235500000000001E-2</v>
      </c>
    </row>
    <row r="23" spans="2:50" x14ac:dyDescent="0.25">
      <c r="B23" s="30">
        <v>3.272727272727273E-2</v>
      </c>
      <c r="C23" s="32">
        <v>2.1235500000000001E-2</v>
      </c>
      <c r="D23" s="32">
        <v>2.1235500000000001E-2</v>
      </c>
      <c r="K23">
        <f>VLOOKUP($K$1,$K$2:$AM$7,2,TRUE)</f>
        <v>3.272727272727273E-2</v>
      </c>
      <c r="L23" s="1">
        <f>$A$2*K23</f>
        <v>83454.545454545456</v>
      </c>
      <c r="N23">
        <f>VLOOKUP($K$1,$K$9:$AM$14,2,TRUE)</f>
        <v>0.17276653636363637</v>
      </c>
      <c r="O23" s="1">
        <f>$A$2*N23</f>
        <v>440554.66772727272</v>
      </c>
      <c r="Q23">
        <f>VLOOKUP($K$1,$K$16:$AM$21,2,TRUE)</f>
        <v>0.22577158636363634</v>
      </c>
      <c r="R23" s="1">
        <f>$A$2*Q23</f>
        <v>575717.54522727267</v>
      </c>
    </row>
    <row r="24" spans="2:50" x14ac:dyDescent="0.25">
      <c r="B24" s="30">
        <v>3.272727272727273E-2</v>
      </c>
      <c r="C24" s="32">
        <v>2.1235500000000001E-2</v>
      </c>
      <c r="D24" s="32">
        <v>2.1235500000000001E-2</v>
      </c>
      <c r="K24">
        <f>VLOOKUP($K$1,$K$2:$AM$7,3,TRUE)</f>
        <v>3.272727272727273E-2</v>
      </c>
      <c r="L24" s="1">
        <f t="shared" ref="L24:L50" si="0">$A$2*K24</f>
        <v>83454.545454545456</v>
      </c>
      <c r="N24">
        <f>VLOOKUP($K$1,$K$9:$AM$14,3,TRUE)</f>
        <v>3.2386499999999999E-2</v>
      </c>
      <c r="O24" s="1">
        <f t="shared" ref="O24:O50" si="1">$A$2*N24</f>
        <v>82585.574999999997</v>
      </c>
      <c r="Q24">
        <f>VLOOKUP($K$1,$K$16:$AM$21,3,TRUE)</f>
        <v>2.6811000000000001E-2</v>
      </c>
      <c r="R24" s="1">
        <f t="shared" ref="R24:R50" si="2">$A$2*Q24</f>
        <v>68368.05</v>
      </c>
    </row>
    <row r="25" spans="2:50" x14ac:dyDescent="0.25">
      <c r="B25" s="30">
        <v>3.272727272727273E-2</v>
      </c>
      <c r="C25" s="32">
        <v>2.1235500000000001E-2</v>
      </c>
      <c r="D25" s="32">
        <v>2.1235500000000001E-2</v>
      </c>
      <c r="K25">
        <f>VLOOKUP($K$1,$K$2:$AM$7,4,TRUE)</f>
        <v>3.272727272727273E-2</v>
      </c>
      <c r="L25" s="1">
        <f t="shared" si="0"/>
        <v>83454.545454545456</v>
      </c>
      <c r="N25">
        <f>VLOOKUP($K$1,$K$9:$AM$14,4,TRUE)</f>
        <v>3.2386499999999999E-2</v>
      </c>
      <c r="O25" s="1">
        <f t="shared" si="1"/>
        <v>82585.574999999997</v>
      </c>
      <c r="Q25">
        <f>VLOOKUP($K$1,$K$16:$AM$21,4,TRUE)</f>
        <v>2.6811000000000001E-2</v>
      </c>
      <c r="R25" s="1">
        <f t="shared" si="2"/>
        <v>68368.05</v>
      </c>
    </row>
    <row r="26" spans="2:50" x14ac:dyDescent="0.25">
      <c r="B26" s="30">
        <v>3.272727272727273E-2</v>
      </c>
      <c r="C26" s="32">
        <v>2.1235500000000001E-2</v>
      </c>
      <c r="D26" s="32">
        <v>2.1235500000000001E-2</v>
      </c>
      <c r="K26">
        <f>VLOOKUP($K$1,$K$2:$AM$7,5,TRUE)</f>
        <v>3.272727272727273E-2</v>
      </c>
      <c r="L26" s="1">
        <f t="shared" si="0"/>
        <v>83454.545454545456</v>
      </c>
      <c r="N26">
        <f>VLOOKUP($K$1,$K$9:$AM$14,5,TRUE)</f>
        <v>3.2405400000000001E-2</v>
      </c>
      <c r="O26" s="1">
        <f t="shared" si="1"/>
        <v>82633.77</v>
      </c>
      <c r="Q26">
        <f>VLOOKUP($K$1,$K$16:$AM$21,5,TRUE)</f>
        <v>2.6820449999999999E-2</v>
      </c>
      <c r="R26" s="1">
        <f t="shared" si="2"/>
        <v>68392.147499999992</v>
      </c>
    </row>
    <row r="27" spans="2:50" x14ac:dyDescent="0.25">
      <c r="B27" s="30">
        <v>3.272727272727273E-2</v>
      </c>
      <c r="C27" s="32">
        <v>2.1235500000000001E-2</v>
      </c>
      <c r="D27" s="32">
        <v>2.1235500000000001E-2</v>
      </c>
      <c r="K27">
        <f>VLOOKUP($K$1,$K$2:$AM$7,6,TRUE)</f>
        <v>3.272727272727273E-2</v>
      </c>
      <c r="L27" s="1">
        <f t="shared" si="0"/>
        <v>83454.545454545456</v>
      </c>
      <c r="N27">
        <f>VLOOKUP($K$1,$K$9:$AM$14,6,TRUE)</f>
        <v>3.2386499999999999E-2</v>
      </c>
      <c r="O27" s="1">
        <f t="shared" si="1"/>
        <v>82585.574999999997</v>
      </c>
      <c r="Q27">
        <f>VLOOKUP($K$1,$K$16:$AM$21,6,TRUE)</f>
        <v>2.6811000000000001E-2</v>
      </c>
      <c r="R27" s="1">
        <f t="shared" si="2"/>
        <v>68368.05</v>
      </c>
    </row>
    <row r="28" spans="2:50" x14ac:dyDescent="0.25">
      <c r="B28" s="30">
        <v>3.272727272727273E-2</v>
      </c>
      <c r="C28" s="32">
        <v>2.1235500000000001E-2</v>
      </c>
      <c r="D28" s="32">
        <v>2.1235500000000001E-2</v>
      </c>
      <c r="K28">
        <f>VLOOKUP($K$1,$K$2:$AM$7,7,TRUE)</f>
        <v>3.272727272727273E-2</v>
      </c>
      <c r="L28" s="1">
        <f t="shared" si="0"/>
        <v>83454.545454545456</v>
      </c>
      <c r="N28">
        <f>VLOOKUP($K$1,$K$9:$AM$14,7,TRUE)</f>
        <v>3.2405400000000001E-2</v>
      </c>
      <c r="O28" s="1">
        <f t="shared" si="1"/>
        <v>82633.77</v>
      </c>
      <c r="Q28">
        <f>VLOOKUP($K$1,$K$16:$AM$21,7,TRUE)</f>
        <v>2.6820449999999999E-2</v>
      </c>
      <c r="R28" s="1">
        <f t="shared" si="2"/>
        <v>68392.147499999992</v>
      </c>
    </row>
    <row r="29" spans="2:50" x14ac:dyDescent="0.25">
      <c r="B29" s="30">
        <v>1.6363636363636365E-2</v>
      </c>
      <c r="C29" s="32">
        <v>1.1641500000000001E-2</v>
      </c>
      <c r="D29" s="32">
        <v>1.1641500000000001E-2</v>
      </c>
      <c r="K29">
        <f>VLOOKUP($K$1,$K$2:$AM$7,8,TRUE)</f>
        <v>3.272727272727273E-2</v>
      </c>
      <c r="L29" s="1">
        <f t="shared" si="0"/>
        <v>83454.545454545456</v>
      </c>
      <c r="N29">
        <f>VLOOKUP($K$1,$K$9:$AM$14,8,TRUE)</f>
        <v>3.2386499999999999E-2</v>
      </c>
      <c r="O29" s="1">
        <f t="shared" si="1"/>
        <v>82585.574999999997</v>
      </c>
      <c r="Q29">
        <f>VLOOKUP($K$1,$K$16:$AM$21,8,TRUE)</f>
        <v>2.6811000000000001E-2</v>
      </c>
      <c r="R29" s="1">
        <f t="shared" si="2"/>
        <v>68368.05</v>
      </c>
    </row>
    <row r="30" spans="2:50" x14ac:dyDescent="0.25">
      <c r="C30" s="32"/>
      <c r="K30">
        <f>VLOOKUP($K$1,$K$2:$AM$7,9,TRUE)</f>
        <v>3.272727272727273E-2</v>
      </c>
      <c r="L30" s="1">
        <f t="shared" si="0"/>
        <v>83454.545454545456</v>
      </c>
      <c r="N30">
        <f>VLOOKUP($K$1,$K$9:$AM$14,9,TRUE)</f>
        <v>3.2405400000000001E-2</v>
      </c>
      <c r="O30" s="1">
        <f t="shared" si="1"/>
        <v>82633.77</v>
      </c>
      <c r="Q30">
        <f>VLOOKUP($K$1,$K$16:$AM$21,9,TRUE)</f>
        <v>2.6820449999999999E-2</v>
      </c>
      <c r="R30" s="1">
        <f t="shared" si="2"/>
        <v>68392.147499999992</v>
      </c>
    </row>
    <row r="31" spans="2:50" x14ac:dyDescent="0.25">
      <c r="K31">
        <f>VLOOKUP($K$1,$K$2:$AM$7,10,TRUE)</f>
        <v>3.272727272727273E-2</v>
      </c>
      <c r="L31" s="1">
        <f t="shared" si="0"/>
        <v>83454.545454545456</v>
      </c>
      <c r="N31">
        <f>VLOOKUP($K$1,$K$9:$AM$14,10,TRUE)</f>
        <v>3.2386499999999999E-2</v>
      </c>
      <c r="O31" s="1">
        <f t="shared" si="1"/>
        <v>82585.574999999997</v>
      </c>
      <c r="Q31">
        <f>VLOOKUP($K$1,$K$16:$AM$21,10,TRUE)</f>
        <v>2.6811000000000001E-2</v>
      </c>
      <c r="R31" s="1">
        <f t="shared" si="2"/>
        <v>68368.05</v>
      </c>
    </row>
    <row r="32" spans="2:50" x14ac:dyDescent="0.25">
      <c r="K32">
        <f>VLOOKUP($K$1,$K$2:$AM$7,11,TRUE)</f>
        <v>3.272727272727273E-2</v>
      </c>
      <c r="L32" s="1">
        <f t="shared" si="0"/>
        <v>83454.545454545456</v>
      </c>
      <c r="N32">
        <f>VLOOKUP($K$1,$K$9:$AM$14,11,TRUE)</f>
        <v>3.2405400000000001E-2</v>
      </c>
      <c r="O32" s="1">
        <f t="shared" si="1"/>
        <v>82633.77</v>
      </c>
      <c r="Q32">
        <f>VLOOKUP($K$1,$K$16:$AM$21,11,TRUE)</f>
        <v>2.6820449999999999E-2</v>
      </c>
      <c r="R32" s="1">
        <f t="shared" si="2"/>
        <v>68392.147499999992</v>
      </c>
    </row>
    <row r="33" spans="11:18" x14ac:dyDescent="0.25">
      <c r="K33">
        <f>VLOOKUP($K$1,$K$2:$AM$7,12,TRUE)</f>
        <v>3.272727272727273E-2</v>
      </c>
      <c r="L33" s="1">
        <f t="shared" si="0"/>
        <v>83454.545454545456</v>
      </c>
      <c r="N33">
        <f>VLOOKUP($K$1,$K$9:$AM$14,12,TRUE)</f>
        <v>2.6811000000000001E-2</v>
      </c>
      <c r="O33" s="1">
        <f t="shared" si="1"/>
        <v>68368.05</v>
      </c>
      <c r="Q33">
        <f>VLOOKUP($K$1,$K$16:$AM$21,12,TRUE)</f>
        <v>2.4023249999999999E-2</v>
      </c>
      <c r="R33" s="1">
        <f t="shared" si="2"/>
        <v>61259.287499999999</v>
      </c>
    </row>
    <row r="34" spans="11:18" x14ac:dyDescent="0.25">
      <c r="K34">
        <f>VLOOKUP($K$1,$K$2:$AM$7,13,TRUE)</f>
        <v>3.272727272727273E-2</v>
      </c>
      <c r="L34" s="1">
        <f t="shared" si="0"/>
        <v>83454.545454545456</v>
      </c>
      <c r="N34">
        <f>VLOOKUP($K$1,$K$9:$AM$14,13,TRUE)</f>
        <v>2.1235500000000001E-2</v>
      </c>
      <c r="O34" s="1">
        <f t="shared" si="1"/>
        <v>54150.525000000001</v>
      </c>
      <c r="Q34">
        <f>VLOOKUP($K$1,$K$16:$AM$21,13,TRUE)</f>
        <v>2.1235500000000001E-2</v>
      </c>
      <c r="R34" s="1">
        <f t="shared" si="2"/>
        <v>54150.525000000001</v>
      </c>
    </row>
    <row r="35" spans="11:18" x14ac:dyDescent="0.25">
      <c r="K35">
        <f>VLOOKUP($K$1,$K$2:$AM$7,14,TRUE)</f>
        <v>3.272727272727273E-2</v>
      </c>
      <c r="L35" s="1">
        <f t="shared" si="0"/>
        <v>83454.545454545456</v>
      </c>
      <c r="N35">
        <f>VLOOKUP($K$1,$K$9:$AM$14,14,TRUE)</f>
        <v>2.1235500000000001E-2</v>
      </c>
      <c r="O35" s="1">
        <f t="shared" si="1"/>
        <v>54150.525000000001</v>
      </c>
      <c r="Q35">
        <f>VLOOKUP($K$1,$K$16:$AM$21,14,TRUE)</f>
        <v>2.1235500000000001E-2</v>
      </c>
      <c r="R35" s="1">
        <f t="shared" si="2"/>
        <v>54150.525000000001</v>
      </c>
    </row>
    <row r="36" spans="11:18" x14ac:dyDescent="0.25">
      <c r="K36">
        <f>VLOOKUP($K$1,$K$2:$AM$7,15,TRUE)</f>
        <v>3.272727272727273E-2</v>
      </c>
      <c r="L36" s="1">
        <f t="shared" si="0"/>
        <v>83454.545454545456</v>
      </c>
      <c r="N36">
        <f>VLOOKUP($K$1,$K$9:$AM$14,15,TRUE)</f>
        <v>2.1235500000000001E-2</v>
      </c>
      <c r="O36" s="1">
        <f t="shared" si="1"/>
        <v>54150.525000000001</v>
      </c>
      <c r="Q36">
        <f>VLOOKUP($K$1,$K$16:$AM$21,15,TRUE)</f>
        <v>2.1235500000000001E-2</v>
      </c>
      <c r="R36" s="1">
        <f t="shared" si="2"/>
        <v>54150.525000000001</v>
      </c>
    </row>
    <row r="37" spans="11:18" x14ac:dyDescent="0.25">
      <c r="K37">
        <f>VLOOKUP($K$1,$K$2:$AM$7,16,TRUE)</f>
        <v>3.272727272727273E-2</v>
      </c>
      <c r="L37" s="1">
        <f t="shared" si="0"/>
        <v>83454.545454545456</v>
      </c>
      <c r="N37">
        <f>VLOOKUP($K$1,$K$9:$AM$14,16,TRUE)</f>
        <v>2.1235500000000001E-2</v>
      </c>
      <c r="O37" s="1">
        <f t="shared" si="1"/>
        <v>54150.525000000001</v>
      </c>
      <c r="Q37">
        <f>VLOOKUP($K$1,$K$16:$AM$21,16,TRUE)</f>
        <v>2.1235500000000001E-2</v>
      </c>
      <c r="R37" s="1">
        <f t="shared" si="2"/>
        <v>54150.525000000001</v>
      </c>
    </row>
    <row r="38" spans="11:18" x14ac:dyDescent="0.25">
      <c r="K38">
        <f>VLOOKUP($K$1,$K$2:$AM$7,17,TRUE)</f>
        <v>3.272727272727273E-2</v>
      </c>
      <c r="L38" s="1">
        <f t="shared" si="0"/>
        <v>83454.545454545456</v>
      </c>
      <c r="N38">
        <f>VLOOKUP($K$1,$K$9:$AM$14,17,TRUE)</f>
        <v>2.1235500000000001E-2</v>
      </c>
      <c r="O38" s="1">
        <f t="shared" si="1"/>
        <v>54150.525000000001</v>
      </c>
      <c r="Q38">
        <f>VLOOKUP($K$1,$K$16:$AM$21,17,TRUE)</f>
        <v>2.1235500000000001E-2</v>
      </c>
      <c r="R38" s="1">
        <f t="shared" si="2"/>
        <v>54150.525000000001</v>
      </c>
    </row>
    <row r="39" spans="11:18" x14ac:dyDescent="0.25">
      <c r="K39">
        <f>VLOOKUP($K$1,$K$2:$AM$7,18,TRUE)</f>
        <v>3.272727272727273E-2</v>
      </c>
      <c r="L39" s="1">
        <f t="shared" si="0"/>
        <v>83454.545454545456</v>
      </c>
      <c r="N39">
        <f>VLOOKUP($K$1,$K$9:$AM$14,18,TRUE)</f>
        <v>2.1235500000000001E-2</v>
      </c>
      <c r="O39" s="1">
        <f t="shared" si="1"/>
        <v>54150.525000000001</v>
      </c>
      <c r="Q39">
        <f>VLOOKUP($K$1,$K$16:$AM$21,18,TRUE)</f>
        <v>2.1235500000000001E-2</v>
      </c>
      <c r="R39" s="1">
        <f t="shared" si="2"/>
        <v>54150.525000000001</v>
      </c>
    </row>
    <row r="40" spans="11:18" x14ac:dyDescent="0.25">
      <c r="K40">
        <f>VLOOKUP($K$1,$K$2:$AM$7,19,TRUE)</f>
        <v>3.272727272727273E-2</v>
      </c>
      <c r="L40" s="1">
        <f t="shared" si="0"/>
        <v>83454.545454545456</v>
      </c>
      <c r="N40">
        <f>VLOOKUP($K$1,$K$9:$AM$14,19,TRUE)</f>
        <v>2.1235500000000001E-2</v>
      </c>
      <c r="O40" s="1">
        <f t="shared" si="1"/>
        <v>54150.525000000001</v>
      </c>
      <c r="Q40">
        <f>VLOOKUP($K$1,$K$16:$AM$21,19,TRUE)</f>
        <v>2.1235500000000001E-2</v>
      </c>
      <c r="R40" s="1">
        <f t="shared" si="2"/>
        <v>54150.525000000001</v>
      </c>
    </row>
    <row r="41" spans="11:18" x14ac:dyDescent="0.25">
      <c r="K41">
        <f>VLOOKUP($K$1,$K$2:$AM$7,20,TRUE)</f>
        <v>3.272727272727273E-2</v>
      </c>
      <c r="L41" s="1">
        <f t="shared" si="0"/>
        <v>83454.545454545456</v>
      </c>
      <c r="N41">
        <f>VLOOKUP($K$1,$K$9:$AM$14,20,TRUE)</f>
        <v>2.1235500000000001E-2</v>
      </c>
      <c r="O41" s="1">
        <f t="shared" si="1"/>
        <v>54150.525000000001</v>
      </c>
      <c r="Q41">
        <f>VLOOKUP($K$1,$K$16:$AM$21,20,TRUE)</f>
        <v>2.1235500000000001E-2</v>
      </c>
      <c r="R41" s="1">
        <f t="shared" si="2"/>
        <v>54150.525000000001</v>
      </c>
    </row>
    <row r="42" spans="11:18" x14ac:dyDescent="0.25">
      <c r="K42">
        <f>VLOOKUP($K$1,$K$2:$AM$7,21,TRUE)</f>
        <v>3.272727272727273E-2</v>
      </c>
      <c r="L42" s="1">
        <f t="shared" si="0"/>
        <v>83454.545454545456</v>
      </c>
      <c r="N42">
        <f>VLOOKUP($K$1,$K$9:$AM$14,21,TRUE)</f>
        <v>2.1235500000000001E-2</v>
      </c>
      <c r="O42" s="1">
        <f t="shared" si="1"/>
        <v>54150.525000000001</v>
      </c>
      <c r="Q42">
        <f>VLOOKUP($K$1,$K$16:$AM$21,21,TRUE)</f>
        <v>2.1235500000000001E-2</v>
      </c>
      <c r="R42" s="1">
        <f t="shared" si="2"/>
        <v>54150.525000000001</v>
      </c>
    </row>
    <row r="43" spans="11:18" x14ac:dyDescent="0.25">
      <c r="K43">
        <f>VLOOKUP($K$1,$K$2:$AM$7,22,TRUE)</f>
        <v>3.272727272727273E-2</v>
      </c>
      <c r="L43" s="1">
        <f t="shared" si="0"/>
        <v>83454.545454545456</v>
      </c>
      <c r="N43">
        <f>VLOOKUP($K$1,$K$9:$AM$14,22,TRUE)</f>
        <v>2.1235500000000001E-2</v>
      </c>
      <c r="O43" s="1">
        <f t="shared" si="1"/>
        <v>54150.525000000001</v>
      </c>
      <c r="Q43">
        <f>VLOOKUP($K$1,$K$16:$AM$21,22,TRUE)</f>
        <v>2.1235500000000001E-2</v>
      </c>
      <c r="R43" s="1">
        <f t="shared" si="2"/>
        <v>54150.525000000001</v>
      </c>
    </row>
    <row r="44" spans="11:18" x14ac:dyDescent="0.25">
      <c r="K44">
        <f>VLOOKUP($K$1,$K$2:$AM$7,23,TRUE)</f>
        <v>3.272727272727273E-2</v>
      </c>
      <c r="L44" s="1">
        <f t="shared" si="0"/>
        <v>83454.545454545456</v>
      </c>
      <c r="N44">
        <f>VLOOKUP($K$1,$K$9:$AM$14,23,TRUE)</f>
        <v>2.1235500000000001E-2</v>
      </c>
      <c r="O44" s="1">
        <f t="shared" si="1"/>
        <v>54150.525000000001</v>
      </c>
      <c r="Q44">
        <f>VLOOKUP($K$1,$K$16:$AM$21,23,TRUE)</f>
        <v>2.1235500000000001E-2</v>
      </c>
      <c r="R44" s="1">
        <f t="shared" si="2"/>
        <v>54150.525000000001</v>
      </c>
    </row>
    <row r="45" spans="11:18" x14ac:dyDescent="0.25">
      <c r="K45">
        <f>VLOOKUP($K$1,$K$2:$AM$7,24,TRUE)</f>
        <v>1.6363636363636365E-2</v>
      </c>
      <c r="L45" s="1">
        <f t="shared" si="0"/>
        <v>41727.272727272728</v>
      </c>
      <c r="N45">
        <f>VLOOKUP($K$1,$K$9:$AM$14,24,TRUE)</f>
        <v>1.1641500000000001E-2</v>
      </c>
      <c r="O45" s="1">
        <f t="shared" si="1"/>
        <v>29685.825000000001</v>
      </c>
      <c r="Q45">
        <f>VLOOKUP($K$1,$K$16:$AM$21,24,TRUE)</f>
        <v>1.1641500000000001E-2</v>
      </c>
      <c r="R45" s="1">
        <f t="shared" si="2"/>
        <v>29685.825000000001</v>
      </c>
    </row>
    <row r="46" spans="11:18" x14ac:dyDescent="0.25">
      <c r="K46">
        <f>VLOOKUP($K$1,$K$2:$AM$7,25,TRUE)</f>
        <v>0</v>
      </c>
      <c r="L46" s="1">
        <f t="shared" si="0"/>
        <v>0</v>
      </c>
      <c r="N46">
        <f>VLOOKUP($K$1,$K$9:$AM$14,25,TRUE)</f>
        <v>0</v>
      </c>
      <c r="O46" s="1">
        <f t="shared" si="1"/>
        <v>0</v>
      </c>
      <c r="Q46">
        <f>VLOOKUP($K$1,$K$16:$AM$21,25,TRUE)</f>
        <v>0</v>
      </c>
      <c r="R46" s="1">
        <f t="shared" si="2"/>
        <v>0</v>
      </c>
    </row>
    <row r="47" spans="11:18" x14ac:dyDescent="0.25">
      <c r="K47">
        <f>VLOOKUP($K$1,$K$2:$AM$7,26,TRUE)</f>
        <v>0</v>
      </c>
      <c r="L47" s="1">
        <f t="shared" si="0"/>
        <v>0</v>
      </c>
      <c r="N47">
        <f>VLOOKUP($K$1,$K$9:$AM$14,26,TRUE)</f>
        <v>0</v>
      </c>
      <c r="O47" s="1">
        <f t="shared" si="1"/>
        <v>0</v>
      </c>
      <c r="Q47">
        <f>VLOOKUP($K$1,$K$16:$AM$21,26,TRUE)</f>
        <v>0</v>
      </c>
      <c r="R47" s="1">
        <f t="shared" si="2"/>
        <v>0</v>
      </c>
    </row>
    <row r="48" spans="11:18" x14ac:dyDescent="0.25">
      <c r="K48">
        <f>VLOOKUP($K$1,$K$2:$AM$7,27,TRUE)</f>
        <v>0</v>
      </c>
      <c r="L48" s="1">
        <f t="shared" si="0"/>
        <v>0</v>
      </c>
      <c r="N48">
        <f>VLOOKUP($K$1,$K$9:$AM$14,27,TRUE)</f>
        <v>0</v>
      </c>
      <c r="O48" s="1">
        <f t="shared" si="1"/>
        <v>0</v>
      </c>
      <c r="Q48">
        <f>VLOOKUP($K$1,$K$16:$AM$21,27,TRUE)</f>
        <v>0</v>
      </c>
      <c r="R48" s="1">
        <f t="shared" si="2"/>
        <v>0</v>
      </c>
    </row>
    <row r="49" spans="11:18" x14ac:dyDescent="0.25">
      <c r="K49">
        <f>VLOOKUP($K$1,$K$2:$AM$7,28,TRUE)</f>
        <v>0</v>
      </c>
      <c r="L49" s="1">
        <f t="shared" si="0"/>
        <v>0</v>
      </c>
      <c r="N49">
        <f>VLOOKUP($K$1,$K$9:$AM$14,28,TRUE)</f>
        <v>0</v>
      </c>
      <c r="O49" s="1">
        <f t="shared" si="1"/>
        <v>0</v>
      </c>
      <c r="Q49">
        <f>VLOOKUP($K$1,$K$16:$AM$21,28,TRUE)</f>
        <v>0</v>
      </c>
      <c r="R49" s="1">
        <f t="shared" si="2"/>
        <v>0</v>
      </c>
    </row>
    <row r="50" spans="11:18" ht="15.75" thickBot="1" x14ac:dyDescent="0.3">
      <c r="K50" s="33">
        <f>VLOOKUP($K$1,$K$2:$AM$7,29,TRUE)</f>
        <v>0</v>
      </c>
      <c r="L50" s="34">
        <f t="shared" si="0"/>
        <v>0</v>
      </c>
      <c r="M50" s="33"/>
      <c r="N50" s="33">
        <f>VLOOKUP($K$1,$K$9:$AM$14,29,TRUE)</f>
        <v>0</v>
      </c>
      <c r="O50" s="34">
        <f t="shared" si="1"/>
        <v>0</v>
      </c>
      <c r="P50" s="33"/>
      <c r="Q50" s="33">
        <f>VLOOKUP($K$1,$K$16:$AM$21,29,TRUE)</f>
        <v>0</v>
      </c>
      <c r="R50" s="34">
        <f t="shared" si="2"/>
        <v>0</v>
      </c>
    </row>
    <row r="51" spans="11:18" ht="15.75" thickTop="1" x14ac:dyDescent="0.25"/>
    <row r="52" spans="11:18" x14ac:dyDescent="0.25">
      <c r="L52" s="1">
        <f>SUM(L23:L50)</f>
        <v>1877727.2727272722</v>
      </c>
      <c r="O52" s="1">
        <f>SUM(O23:O50)</f>
        <v>1877727.2727272718</v>
      </c>
      <c r="R52" s="1">
        <f>SUM(R23:R50)</f>
        <v>1877727.2727272718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43EEE0ABE1021429757366D278D3392" ma:contentTypeVersion="9" ma:contentTypeDescription="Create a new document." ma:contentTypeScope="" ma:versionID="787096efc6fa6480f54aace4a8e1ce6e">
  <xsd:schema xmlns:xsd="http://www.w3.org/2001/XMLSchema" xmlns:xs="http://www.w3.org/2001/XMLSchema" xmlns:p="http://schemas.microsoft.com/office/2006/metadata/properties" xmlns:ns3="54597017-03bd-44bb-8afd-2a348b69ffc1" xmlns:ns4="bba313cd-99f4-4025-bdc6-25c6e3c9280c" targetNamespace="http://schemas.microsoft.com/office/2006/metadata/properties" ma:root="true" ma:fieldsID="730d831104472515d2ef6956e7f88ecc" ns3:_="" ns4:_="">
    <xsd:import namespace="54597017-03bd-44bb-8afd-2a348b69ffc1"/>
    <xsd:import namespace="bba313cd-99f4-4025-bdc6-25c6e3c9280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597017-03bd-44bb-8afd-2a348b69ffc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ba313cd-99f4-4025-bdc6-25c6e3c9280c"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element name="SharingHintHash" ma:index="12"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2827BB-7C69-48B3-9A33-A8E73C2955C1}">
  <ds:schemaRefs>
    <ds:schemaRef ds:uri="http://schemas.microsoft.com/sharepoint/v3/contenttype/forms"/>
  </ds:schemaRefs>
</ds:datastoreItem>
</file>

<file path=customXml/itemProps2.xml><?xml version="1.0" encoding="utf-8"?>
<ds:datastoreItem xmlns:ds="http://schemas.openxmlformats.org/officeDocument/2006/customXml" ds:itemID="{38B2B4A1-B28A-47AF-B890-6E4B1A4BCC77}">
  <ds:schemaRefs>
    <ds:schemaRef ds:uri="54597017-03bd-44bb-8afd-2a348b69ffc1"/>
    <ds:schemaRef ds:uri="http://www.w3.org/XML/1998/namespace"/>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bba313cd-99f4-4025-bdc6-25c6e3c9280c"/>
    <ds:schemaRef ds:uri="http://schemas.microsoft.com/office/infopath/2007/PartnerControls"/>
    <ds:schemaRef ds:uri="http://purl.org/dc/dcmitype/"/>
    <ds:schemaRef ds:uri="http://purl.org/dc/terms/"/>
  </ds:schemaRefs>
</ds:datastoreItem>
</file>

<file path=customXml/itemProps3.xml><?xml version="1.0" encoding="utf-8"?>
<ds:datastoreItem xmlns:ds="http://schemas.openxmlformats.org/officeDocument/2006/customXml" ds:itemID="{1CE79AE6-D339-4FAF-8DF0-166CA095E1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597017-03bd-44bb-8afd-2a348b69ffc1"/>
    <ds:schemaRef ds:uri="bba313cd-99f4-4025-bdc6-25c6e3c928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4</vt:i4>
      </vt:variant>
    </vt:vector>
  </HeadingPairs>
  <TitlesOfParts>
    <vt:vector size="17" baseType="lpstr">
      <vt:lpstr>YbyY data</vt:lpstr>
      <vt:lpstr>Input Sheet</vt:lpstr>
      <vt:lpstr>VLOOKUP Tables</vt:lpstr>
      <vt:lpstr>Printable Quote</vt:lpstr>
      <vt:lpstr>Printable Quote (PRO)</vt:lpstr>
      <vt:lpstr>Printable Quote (SMART)</vt:lpstr>
      <vt:lpstr>Printable Quote (SMART) (Steph)</vt:lpstr>
      <vt:lpstr>Sheet2</vt:lpstr>
      <vt:lpstr>Equation Sheet</vt:lpstr>
      <vt:lpstr>Estimate Factor</vt:lpstr>
      <vt:lpstr>Sheet1</vt:lpstr>
      <vt:lpstr>Catchup</vt:lpstr>
      <vt:lpstr>Catchup27.5</vt:lpstr>
      <vt:lpstr>'Printable Quote'!Print_Area</vt:lpstr>
      <vt:lpstr>'Printable Quote (PRO)'!Print_Area</vt:lpstr>
      <vt:lpstr>'Printable Quote (SMART)'!Print_Area</vt:lpstr>
      <vt:lpstr>'Printable Quote (SMART) (Steph)'!Print_Area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Scott Roelofs</cp:lastModifiedBy>
  <cp:lastPrinted>2025-09-19T14:26:55Z</cp:lastPrinted>
  <dcterms:created xsi:type="dcterms:W3CDTF">2019-08-08T15:35:55Z</dcterms:created>
  <dcterms:modified xsi:type="dcterms:W3CDTF">2025-10-16T16:50:20Z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0x010100C43EEE0ABE1021429757366D278D3392</vt:lpwstr>
  </property>
</Properties>
</file>