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updateLinks="always" codeName="ThisWorkbook" defaultThemeVersion="166925"/>
  <mc:AlternateContent xmlns:mc="http://schemas.openxmlformats.org/markup-compatibility/2006">
    <mc:Choice Requires="x15">
      <x15ac:absPath xmlns:x15ac="http://schemas.microsoft.com/office/spreadsheetml/2010/11/ac" url="\\FDNET.COM\CA_Projects\CA_F3KY\215_STRUCTURAL\215E_ENGINEERING_DESIGN_DATA\215E_014_R_Proj_Calculations_Sketches\F3KY-215-CAL-047 CWA 250 PM-6008_6009 Fdn Design\Working\"/>
    </mc:Choice>
  </mc:AlternateContent>
  <xr:revisionPtr revIDLastSave="0" documentId="13_ncr:1_{0E7D1E84-C381-4F3B-8A70-C4EDC07B7C4F}" xr6:coauthVersionLast="47" xr6:coauthVersionMax="47" xr10:uidLastSave="{00000000-0000-0000-0000-000000000000}"/>
  <bookViews>
    <workbookView xWindow="28680" yWindow="-5490" windowWidth="38640" windowHeight="21120" tabRatio="801" xr2:uid="{805B19F5-876E-4B70-ADC4-28036AB85799}"/>
  </bookViews>
  <sheets>
    <sheet name="CP, RH, TofC_R1" sheetId="26" r:id="rId1"/>
    <sheet name="1. Risk &amp; Uncert_R1" sheetId="27" r:id="rId2"/>
    <sheet name="2. Comp F I_R1" sheetId="28" r:id="rId3"/>
    <sheet name="3. Risk Closure_R1" sheetId="25" r:id="rId4"/>
    <sheet name="CP, RH, TofC" sheetId="1" r:id="rId5"/>
    <sheet name="1. Risk &amp; Uncert" sheetId="2" r:id="rId6"/>
    <sheet name="2. Comp F I" sheetId="3" r:id="rId7"/>
    <sheet name="3. Desc of Calc" sheetId="4" r:id="rId8"/>
    <sheet name="4. Basis of Design" sheetId="5" r:id="rId9"/>
    <sheet name="5. Anal &amp; Design Phil" sheetId="6" r:id="rId10"/>
    <sheet name="6. Pump Info" sheetId="21" r:id="rId11"/>
    <sheet name="7. Load Development" sheetId="7" r:id="rId12"/>
    <sheet name="8. Pile Design" sheetId="22" r:id="rId13"/>
    <sheet name="9. Pile Cap" sheetId="9" r:id="rId14"/>
    <sheet name="10. Local FDN" sheetId="24" r:id="rId15"/>
    <sheet name="11. APPENDIX" sheetId="10" r:id="rId16"/>
  </sheets>
  <definedNames>
    <definedName name="_xlnm.Print_Area" localSheetId="5">'1. Risk &amp; Uncert'!$A$1:$AG$16</definedName>
    <definedName name="_xlnm.Print_Area" localSheetId="1">'1. Risk &amp; Uncert_R1'!$A$1:$AG$16</definedName>
    <definedName name="_xlnm.Print_Area" localSheetId="14">'10. Local FDN'!$A$1:$AG$329</definedName>
    <definedName name="_xlnm.Print_Area" localSheetId="15">'11. APPENDIX'!$A$1:$AG$266</definedName>
    <definedName name="_xlnm.Print_Area" localSheetId="6">'2. Comp F I'!$A$1:$AG$32</definedName>
    <definedName name="_xlnm.Print_Area" localSheetId="2">'2. Comp F I_R1'!$A$1:$AG$32</definedName>
    <definedName name="_xlnm.Print_Area" localSheetId="7">'3. Desc of Calc'!$A$1:$AF$199</definedName>
    <definedName name="_xlnm.Print_Area" localSheetId="3">'3. Risk Closure_R1'!$A$1:$AG$233</definedName>
    <definedName name="_xlnm.Print_Area" localSheetId="8">'4. Basis of Design'!$A$1:$AG$239</definedName>
    <definedName name="_xlnm.Print_Area" localSheetId="9">'5. Anal &amp; Design Phil'!$A$1:$AG$86</definedName>
    <definedName name="_xlnm.Print_Area" localSheetId="10">'6. Pump Info'!$A$1:$AG$472</definedName>
    <definedName name="_xlnm.Print_Area" localSheetId="11">'7. Load Development'!$A$1:$AG$457</definedName>
    <definedName name="_xlnm.Print_Area" localSheetId="12">'8. Pile Design'!$A$1:$AG$701</definedName>
    <definedName name="_xlnm.Print_Area" localSheetId="13">'9. Pile Cap'!$A$1:$AG$880</definedName>
    <definedName name="_xlnm.Print_Area" localSheetId="4">'CP, RH, TofC'!$A$1:$AG$116</definedName>
    <definedName name="_xlnm.Print_Area" localSheetId="0">'CP, RH, TofC_R1'!$A$1:$AG$79</definedName>
    <definedName name="Yes_No" localSheetId="14">'10. Local FDN'!$AS$1:$AS$3</definedName>
    <definedName name="Yes_No" localSheetId="3">'3. Risk Closure_R1'!$AS$1:$AS$3</definedName>
    <definedName name="Yes_No" localSheetId="10">'6. Pump Info'!$AS$1:$AS$3</definedName>
    <definedName name="Yes_No">'7. Load Development'!$AS$1:$AS$3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 i="28" l="1"/>
  <c r="D4" i="28"/>
  <c r="N56" i="26"/>
  <c r="B56" i="26"/>
  <c r="G127" i="25"/>
  <c r="G117" i="25"/>
  <c r="F322" i="24"/>
  <c r="F319" i="24"/>
  <c r="F316" i="24"/>
  <c r="H173" i="21"/>
  <c r="I351" i="21"/>
  <c r="G128" i="25" l="1"/>
  <c r="G120" i="25"/>
  <c r="G129" i="25" s="1"/>
  <c r="H45" i="25"/>
  <c r="H36" i="25"/>
  <c r="U204" i="24"/>
  <c r="F324" i="24"/>
  <c r="G36" i="9"/>
  <c r="G279" i="9"/>
  <c r="F262" i="24"/>
  <c r="F261" i="24"/>
  <c r="F260" i="24"/>
  <c r="F234" i="24"/>
  <c r="F230" i="24"/>
  <c r="F229" i="24"/>
  <c r="S162" i="24"/>
  <c r="O163" i="24"/>
  <c r="O162" i="24"/>
  <c r="H165" i="24"/>
  <c r="N118" i="24"/>
  <c r="P115" i="24"/>
  <c r="T115" i="24" s="1"/>
  <c r="T116" i="24" s="1"/>
  <c r="N119" i="24" l="1"/>
  <c r="F198" i="24" s="1"/>
  <c r="F200" i="24" s="1"/>
  <c r="F297" i="24" s="1"/>
  <c r="F235" i="24" l="1"/>
  <c r="F301" i="24"/>
  <c r="J30" i="21"/>
  <c r="J31" i="21"/>
  <c r="H663" i="9"/>
  <c r="H665" i="9" l="1"/>
  <c r="H666" i="9"/>
  <c r="I380" i="21" l="1"/>
  <c r="I382" i="21"/>
  <c r="I379" i="21"/>
  <c r="I348" i="21"/>
  <c r="I349" i="21" s="1"/>
  <c r="H187" i="21"/>
  <c r="H122" i="21"/>
  <c r="H184" i="21" s="1"/>
  <c r="G395" i="9"/>
  <c r="H84" i="9"/>
  <c r="I381" i="21" l="1"/>
  <c r="I384" i="21" s="1"/>
  <c r="I386" i="21" s="1"/>
  <c r="H410" i="21"/>
  <c r="I231" i="21"/>
  <c r="I230" i="21"/>
  <c r="M138" i="21"/>
  <c r="F608" i="22"/>
  <c r="H550" i="9" l="1"/>
  <c r="G499" i="9" l="1"/>
  <c r="M455" i="9" l="1"/>
  <c r="G440" i="9"/>
  <c r="T452" i="9" s="1"/>
  <c r="G366" i="9"/>
  <c r="G344" i="9"/>
  <c r="G345" i="9" s="1"/>
  <c r="G346" i="9" s="1"/>
  <c r="H85" i="9"/>
  <c r="I49" i="9"/>
  <c r="G832" i="9"/>
  <c r="G815" i="9"/>
  <c r="G817" i="9" s="1"/>
  <c r="H743" i="9"/>
  <c r="H742" i="9"/>
  <c r="I564" i="9"/>
  <c r="I565" i="9" s="1"/>
  <c r="I566" i="9" s="1"/>
  <c r="I563" i="9"/>
  <c r="G514" i="9"/>
  <c r="G513" i="9"/>
  <c r="G512" i="9"/>
  <c r="G498" i="9"/>
  <c r="G500" i="9" s="1"/>
  <c r="G484" i="9"/>
  <c r="G485" i="9" s="1"/>
  <c r="G482" i="9"/>
  <c r="H875" i="9" s="1"/>
  <c r="H141" i="9"/>
  <c r="H71" i="9"/>
  <c r="H70" i="9"/>
  <c r="G60" i="9"/>
  <c r="G61" i="9" s="1"/>
  <c r="F110" i="9" s="1"/>
  <c r="G43" i="9"/>
  <c r="G672" i="22"/>
  <c r="G669" i="22"/>
  <c r="G670" i="22" s="1"/>
  <c r="F609" i="22"/>
  <c r="G618" i="22"/>
  <c r="O576" i="22"/>
  <c r="O556" i="22"/>
  <c r="I536" i="22"/>
  <c r="I530" i="22"/>
  <c r="I526" i="22"/>
  <c r="I535" i="22" s="1"/>
  <c r="O507" i="22"/>
  <c r="N486" i="22"/>
  <c r="N485" i="22"/>
  <c r="H480" i="22"/>
  <c r="H456" i="22"/>
  <c r="H457" i="22" s="1"/>
  <c r="J359" i="22"/>
  <c r="J360" i="22" s="1"/>
  <c r="J363" i="22"/>
  <c r="J364" i="22" s="1"/>
  <c r="M329" i="22"/>
  <c r="J324" i="22"/>
  <c r="J320" i="22"/>
  <c r="M315" i="22"/>
  <c r="J299" i="22"/>
  <c r="J300" i="22" s="1"/>
  <c r="J242" i="22"/>
  <c r="J239" i="22"/>
  <c r="J238" i="22"/>
  <c r="J237" i="22"/>
  <c r="T80" i="22"/>
  <c r="T79" i="22"/>
  <c r="T78" i="22"/>
  <c r="G71" i="22"/>
  <c r="K126" i="22" l="1"/>
  <c r="H670" i="9"/>
  <c r="K143" i="22"/>
  <c r="G441" i="9"/>
  <c r="T451" i="9"/>
  <c r="T453" i="9"/>
  <c r="F610" i="22"/>
  <c r="J240" i="22"/>
  <c r="G816" i="9"/>
  <c r="H827" i="9"/>
  <c r="G488" i="9"/>
  <c r="G501" i="9"/>
  <c r="H744" i="9"/>
  <c r="G819" i="9"/>
  <c r="H825" i="9" s="1"/>
  <c r="G490" i="9"/>
  <c r="G491" i="9"/>
  <c r="H708" i="9" s="1"/>
  <c r="H709" i="9" s="1"/>
  <c r="G483" i="9"/>
  <c r="J314" i="22"/>
  <c r="J322" i="22"/>
  <c r="H673" i="9" l="1"/>
  <c r="H677" i="9" s="1"/>
  <c r="G806" i="9"/>
  <c r="H585" i="9"/>
  <c r="J294" i="22"/>
  <c r="J295" i="22" s="1"/>
  <c r="J313" i="22" s="1"/>
  <c r="J315" i="22" s="1"/>
  <c r="J267" i="22"/>
  <c r="J269" i="22" s="1"/>
  <c r="J250" i="22"/>
  <c r="M407" i="22" s="1"/>
  <c r="J252" i="22"/>
  <c r="J464" i="9"/>
  <c r="H746" i="9"/>
  <c r="H829" i="9"/>
  <c r="G837" i="9" s="1"/>
  <c r="G489" i="9"/>
  <c r="P314" i="22"/>
  <c r="J319" i="22" l="1"/>
  <c r="J327" i="22" s="1"/>
  <c r="G847" i="9"/>
  <c r="H402" i="7" l="1"/>
  <c r="G455" i="9" s="1"/>
  <c r="Q455" i="9" s="1"/>
  <c r="H366" i="7"/>
  <c r="H148" i="7"/>
  <c r="N70" i="7"/>
  <c r="P66" i="7"/>
  <c r="L66" i="7"/>
  <c r="H66" i="7"/>
  <c r="G452" i="9" l="1"/>
  <c r="G79" i="22"/>
  <c r="Q79" i="22" s="1"/>
  <c r="P192" i="7"/>
  <c r="P191" i="7"/>
  <c r="P190" i="7"/>
  <c r="P189" i="7"/>
  <c r="H201" i="7" s="1"/>
  <c r="P188" i="7"/>
  <c r="P187" i="7"/>
  <c r="G233" i="7" s="1"/>
  <c r="H417" i="21"/>
  <c r="H415" i="21"/>
  <c r="H416" i="21" s="1"/>
  <c r="H412" i="21"/>
  <c r="H411" i="21"/>
  <c r="H442" i="21"/>
  <c r="H439" i="21"/>
  <c r="H368" i="7" s="1"/>
  <c r="H437" i="21"/>
  <c r="H455" i="21"/>
  <c r="H200" i="7" l="1"/>
  <c r="AH187" i="7"/>
  <c r="T66" i="7"/>
  <c r="H283" i="21" l="1"/>
  <c r="I223" i="21"/>
  <c r="I252" i="21" s="1"/>
  <c r="I222" i="21"/>
  <c r="I248" i="21" s="1"/>
  <c r="H174" i="21"/>
  <c r="H167" i="21"/>
  <c r="H178" i="21" s="1"/>
  <c r="H190" i="21" s="1"/>
  <c r="P134" i="21"/>
  <c r="P65" i="7" s="1"/>
  <c r="L134" i="21"/>
  <c r="H134" i="21"/>
  <c r="H118" i="21"/>
  <c r="J40" i="21"/>
  <c r="J38" i="21"/>
  <c r="J37" i="21"/>
  <c r="J36" i="21"/>
  <c r="H758" i="9" s="1"/>
  <c r="H760" i="9" s="1"/>
  <c r="H764" i="9" s="1"/>
  <c r="G244" i="7"/>
  <c r="O19" i="21"/>
  <c r="O18" i="21"/>
  <c r="O17" i="21"/>
  <c r="O16" i="21"/>
  <c r="J21" i="21"/>
  <c r="H453" i="21" l="1"/>
  <c r="H454" i="21" s="1"/>
  <c r="H456" i="21" s="1"/>
  <c r="G442" i="9"/>
  <c r="H367" i="7"/>
  <c r="H370" i="7" s="1"/>
  <c r="H372" i="7" s="1"/>
  <c r="O21" i="21"/>
  <c r="J145" i="21" s="1"/>
  <c r="I235" i="21" s="1"/>
  <c r="H124" i="7"/>
  <c r="H125" i="7" s="1"/>
  <c r="I302" i="21" s="1"/>
  <c r="H135" i="21"/>
  <c r="H67" i="7" s="1"/>
  <c r="H65" i="7"/>
  <c r="L135" i="21"/>
  <c r="L67" i="7" s="1"/>
  <c r="L65" i="7"/>
  <c r="G37" i="9"/>
  <c r="H87" i="9" s="1"/>
  <c r="G662" i="22"/>
  <c r="G663" i="22" s="1"/>
  <c r="G665" i="22" s="1"/>
  <c r="G389" i="9"/>
  <c r="G248" i="7"/>
  <c r="P135" i="21"/>
  <c r="H438" i="21"/>
  <c r="H441" i="21" s="1"/>
  <c r="I234" i="21"/>
  <c r="H458" i="21"/>
  <c r="I233" i="21"/>
  <c r="H175" i="21"/>
  <c r="H177" i="21" s="1"/>
  <c r="H189" i="21"/>
  <c r="T134" i="21"/>
  <c r="G619" i="22" l="1"/>
  <c r="G211" i="7"/>
  <c r="G213" i="7" s="1"/>
  <c r="H155" i="7"/>
  <c r="G395" i="7" s="1"/>
  <c r="H143" i="9"/>
  <c r="G44" i="9"/>
  <c r="H403" i="7"/>
  <c r="J455" i="9" s="1"/>
  <c r="T455" i="9" s="1"/>
  <c r="H412" i="7"/>
  <c r="Q451" i="9"/>
  <c r="Q452" i="9"/>
  <c r="G214" i="9"/>
  <c r="G215" i="9" s="1"/>
  <c r="T65" i="7"/>
  <c r="G666" i="22"/>
  <c r="G673" i="22"/>
  <c r="G675" i="22" s="1"/>
  <c r="T135" i="21"/>
  <c r="T136" i="21" s="1"/>
  <c r="M139" i="21" s="1"/>
  <c r="H278" i="21" s="1"/>
  <c r="H279" i="21" s="1"/>
  <c r="H282" i="21" s="1"/>
  <c r="P67" i="7"/>
  <c r="G464" i="9" l="1"/>
  <c r="G465" i="9"/>
  <c r="J82" i="22"/>
  <c r="T82" i="22" s="1"/>
  <c r="H154" i="9"/>
  <c r="F315" i="24" s="1"/>
  <c r="G391" i="9"/>
  <c r="G394" i="9" s="1"/>
  <c r="G353" i="9"/>
  <c r="G365" i="9"/>
  <c r="G367" i="9" s="1"/>
  <c r="G369" i="9" s="1"/>
  <c r="G278" i="9"/>
  <c r="G280" i="9" s="1"/>
  <c r="G245" i="7"/>
  <c r="H410" i="7"/>
  <c r="T67" i="7"/>
  <c r="T68" i="7" s="1"/>
  <c r="G453" i="9"/>
  <c r="Q453" i="9" s="1"/>
  <c r="G466" i="9" s="1"/>
  <c r="G80" i="22"/>
  <c r="Q80" i="22" s="1"/>
  <c r="H257" i="7"/>
  <c r="J466" i="9"/>
  <c r="J465" i="9"/>
  <c r="G213" i="9"/>
  <c r="I525" i="22"/>
  <c r="I529" i="22" s="1"/>
  <c r="G620" i="22"/>
  <c r="J325" i="22"/>
  <c r="H175" i="9"/>
  <c r="J321" i="22"/>
  <c r="H176" i="9" s="1"/>
  <c r="H142" i="9"/>
  <c r="H145" i="9" s="1"/>
  <c r="G115" i="9"/>
  <c r="G129" i="9"/>
  <c r="G58" i="9"/>
  <c r="J150" i="21"/>
  <c r="I224" i="21"/>
  <c r="H146" i="9" l="1"/>
  <c r="F318" i="24"/>
  <c r="K128" i="22"/>
  <c r="K127" i="22"/>
  <c r="H413" i="7"/>
  <c r="M82" i="22" s="1"/>
  <c r="Q82" i="22" s="1"/>
  <c r="G396" i="9"/>
  <c r="G399" i="9" s="1"/>
  <c r="H177" i="9"/>
  <c r="N71" i="7"/>
  <c r="I301" i="21" s="1"/>
  <c r="I303" i="21" s="1"/>
  <c r="G282" i="9"/>
  <c r="F321" i="24" s="1"/>
  <c r="K144" i="22"/>
  <c r="H148" i="22" s="1"/>
  <c r="H355" i="22" s="1"/>
  <c r="G354" i="9"/>
  <c r="G376" i="9"/>
  <c r="G378" i="9" s="1"/>
  <c r="H291" i="7"/>
  <c r="J454" i="9"/>
  <c r="T454" i="9" s="1"/>
  <c r="H258" i="7"/>
  <c r="H292" i="7" s="1"/>
  <c r="M454" i="9" s="1"/>
  <c r="Q454" i="9" s="1"/>
  <c r="G467" i="9" s="1"/>
  <c r="AH325" i="22"/>
  <c r="AH326" i="22" s="1"/>
  <c r="J328" i="22"/>
  <c r="G167" i="9"/>
  <c r="AH154" i="9"/>
  <c r="I241" i="21"/>
  <c r="I249" i="21" s="1"/>
  <c r="I250" i="21" s="1"/>
  <c r="I242" i="21"/>
  <c r="I253" i="21" s="1"/>
  <c r="I254" i="21" s="1"/>
  <c r="I388" i="21" l="1"/>
  <c r="I389" i="21" s="1"/>
  <c r="I353" i="21"/>
  <c r="I354" i="21" s="1"/>
  <c r="G78" i="22"/>
  <c r="Q78" i="22" s="1"/>
  <c r="G237" i="7"/>
  <c r="G238" i="7" s="1"/>
  <c r="H252" i="7" s="1"/>
  <c r="H286" i="7" s="1"/>
  <c r="G468" i="9"/>
  <c r="H470" i="9" s="1"/>
  <c r="F531" i="9" s="1"/>
  <c r="K575" i="9" s="1"/>
  <c r="J332" i="22"/>
  <c r="N340" i="22" s="1"/>
  <c r="J329" i="22"/>
  <c r="J468" i="9"/>
  <c r="J467" i="9"/>
  <c r="B56" i="1"/>
  <c r="N56" i="1"/>
  <c r="H128" i="22" l="1"/>
  <c r="H127" i="22"/>
  <c r="H126" i="22"/>
  <c r="H679" i="9"/>
  <c r="H748" i="9"/>
  <c r="H587" i="9"/>
  <c r="H711" i="9"/>
  <c r="G218" i="9"/>
  <c r="J81" i="22"/>
  <c r="T81" i="22" s="1"/>
  <c r="H253" i="7"/>
  <c r="M81" i="22" s="1"/>
  <c r="Q81" i="22" s="1"/>
  <c r="H130" i="22" s="1"/>
  <c r="H471" i="9"/>
  <c r="F796" i="9"/>
  <c r="H144" i="22"/>
  <c r="H143" i="22"/>
  <c r="I6" i="3"/>
  <c r="K129" i="22" l="1"/>
  <c r="K130" i="22"/>
  <c r="H129" i="22"/>
  <c r="I558" i="22"/>
  <c r="H287" i="7"/>
  <c r="H134" i="22"/>
  <c r="H447" i="22" s="1"/>
  <c r="H146" i="22"/>
  <c r="H354" i="22" s="1"/>
  <c r="K858" i="9"/>
  <c r="G808" i="9"/>
  <c r="G839" i="9"/>
  <c r="G849" i="9"/>
  <c r="D4" i="3"/>
  <c r="H133" i="22" l="1"/>
  <c r="J271" i="22" s="1"/>
  <c r="M406" i="22"/>
  <c r="M408" i="22" s="1"/>
  <c r="M413" i="22" s="1"/>
  <c r="M417" i="22" s="1"/>
  <c r="H132" i="22"/>
  <c r="J254" i="22" s="1"/>
  <c r="K859" i="9"/>
  <c r="K860" i="9" s="1"/>
  <c r="H446" i="22" l="1"/>
  <c r="H458" i="22" s="1"/>
  <c r="H460" i="22" s="1"/>
  <c r="H182" i="9"/>
  <c r="G323" i="9" s="1"/>
  <c r="G379" i="9" s="1"/>
  <c r="H445" i="22"/>
  <c r="J255" i="22"/>
  <c r="R259" i="22"/>
  <c r="R275" i="22"/>
  <c r="J272" i="22"/>
  <c r="F271" i="9" l="1"/>
  <c r="G284" i="9" s="1"/>
  <c r="G220" i="9"/>
  <c r="G222" i="9" s="1"/>
  <c r="AH222" i="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F62C6B-4667-4B05-A4EE-637BE643B06A}" keepAlive="1" name="Query - LB_Motor" description="Connection to the 'LB_Motor' query in the workbook." type="5" refreshedVersion="8" background="1" saveData="1">
    <dbPr connection="Provider=Microsoft.Mashup.OleDb.1;Data Source=$Workbook$;Location=LB_Motor;Extended Properties=&quot;&quot;" command="SELECT * FROM [LB_Motor]"/>
  </connection>
  <connection id="2" xr16:uid="{570E300E-2F9C-4D91-8C91-2BFC9F7116DA}" keepAlive="1" name="Query - LB_Pump_4215" description="Connection to the 'LB_Pump_4215' query in the workbook." type="5" refreshedVersion="8" background="1" saveData="1">
    <dbPr connection="Provider=Microsoft.Mashup.OleDb.1;Data Source=$Workbook$;Location=LB_Pump_4215;Extended Properties=&quot;&quot;" command="SELECT * FROM [LB_Pump_4215]"/>
  </connection>
  <connection id="3" xr16:uid="{F0B06AEA-889B-4C0C-9D98-05C85872041D}" keepAlive="1" name="Query - LB_Pump_5500" description="Connection to the 'LB_Pump_5500' query in the workbook." type="5" refreshedVersion="8" background="1" saveData="1">
    <dbPr connection="Provider=Microsoft.Mashup.OleDb.1;Data Source=$Workbook$;Location=LB_Pump_5500;Extended Properties=&quot;&quot;" command="SELECT * FROM [LB_Pump_5500]"/>
  </connection>
  <connection id="4" xr16:uid="{FBA046DE-8B4C-483F-94FC-579F1331DF49}" keepAlive="1" name="Query - UB_Motor" description="Connection to the 'UB_Motor' query in the workbook." type="5" refreshedVersion="8" background="1" saveData="1">
    <dbPr connection="Provider=Microsoft.Mashup.OleDb.1;Data Source=$Workbook$;Location=UB_Motor;Extended Properties=&quot;&quot;" command="SELECT * FROM [UB_Motor]"/>
  </connection>
  <connection id="5" xr16:uid="{75102A7C-22D8-4E58-A47B-98B8512B2F2C}" keepAlive="1" name="Query - UB_Pump_4215" description="Connection to the 'UB_Pump_4215' query in the workbook." type="5" refreshedVersion="8" background="1" saveData="1">
    <dbPr connection="Provider=Microsoft.Mashup.OleDb.1;Data Source=$Workbook$;Location=UB_Pump_4215;Extended Properties=&quot;&quot;" command="SELECT * FROM [UB_Pump_4215]"/>
  </connection>
  <connection id="6" xr16:uid="{8C7A72C0-390E-436F-8508-DB152D8F6E0D}" keepAlive="1" name="Query - UB_Pump_5500" description="Connection to the 'UB_Pump_5500' query in the workbook." type="5" refreshedVersion="8" background="1" saveData="1">
    <dbPr connection="Provider=Microsoft.Mashup.OleDb.1;Data Source=$Workbook$;Location=UB_Pump_5500;Extended Properties=&quot;&quot;" command="SELECT * FROM [UB_Pump_5500]"/>
  </connection>
</connections>
</file>

<file path=xl/sharedStrings.xml><?xml version="1.0" encoding="utf-8"?>
<sst xmlns="http://schemas.openxmlformats.org/spreadsheetml/2006/main" count="3066" uniqueCount="1710">
  <si>
    <t>Reminder to go into Page Setup and modify the Header/Footer</t>
  </si>
  <si>
    <t>P.Eng Stamp</t>
  </si>
  <si>
    <t>Permit to Practice Stamp</t>
  </si>
  <si>
    <t>Lead to fill in</t>
  </si>
  <si>
    <t>Engineer to fill in</t>
  </si>
  <si>
    <t>Lead to determine if Calculations are handed over, if not this can be removed.</t>
  </si>
  <si>
    <t xml:space="preserve">Engineer to put in Checking Level per Activity Plan </t>
  </si>
  <si>
    <t>Doc</t>
  </si>
  <si>
    <t>Rev</t>
  </si>
  <si>
    <t>Revision</t>
  </si>
  <si>
    <t>Description/</t>
  </si>
  <si>
    <t>Status</t>
  </si>
  <si>
    <t>Date</t>
  </si>
  <si>
    <t>Issued</t>
  </si>
  <si>
    <t>Fluor</t>
  </si>
  <si>
    <t>Originator</t>
  </si>
  <si>
    <t>Checker</t>
  </si>
  <si>
    <t>Approval</t>
  </si>
  <si>
    <t>Lead to confirm: 2nd Approval only if required by Activity Plan</t>
  </si>
  <si>
    <t>Engineering</t>
  </si>
  <si>
    <t>Discipline</t>
  </si>
  <si>
    <t>Lead</t>
  </si>
  <si>
    <t>Risk Notice</t>
  </si>
  <si>
    <t>Does this Calculation have any assumptions or risk items that need to be followed up with?</t>
  </si>
  <si>
    <t>Yes</t>
  </si>
  <si>
    <t>No</t>
  </si>
  <si>
    <t xml:space="preserve">Followed up by: </t>
  </si>
  <si>
    <t>Date:</t>
  </si>
  <si>
    <t xml:space="preserve">Signature: </t>
  </si>
  <si>
    <t>Revision History</t>
  </si>
  <si>
    <t>Description of revision, especially to original calculation</t>
  </si>
  <si>
    <t>(Name)</t>
  </si>
  <si>
    <t>Revision Description</t>
  </si>
  <si>
    <t>1A</t>
  </si>
  <si>
    <t>RISK AND UNCERTAINTY LOG</t>
  </si>
  <si>
    <t>COMPUTER FILE INDEX</t>
  </si>
  <si>
    <t>DESCRIPTION OF CALCULATION</t>
  </si>
  <si>
    <t>Location on Plot Plan</t>
  </si>
  <si>
    <t>Need to expand row. . .Some reason not doing automatically</t>
  </si>
  <si>
    <t>Description of the Structure</t>
  </si>
  <si>
    <t>Model Snapshots</t>
  </si>
  <si>
    <t>BASIS OF DESIGN</t>
  </si>
  <si>
    <t>Site Location</t>
  </si>
  <si>
    <t>Checking Level</t>
  </si>
  <si>
    <t>Codes and Specifications</t>
  </si>
  <si>
    <t>Material Properties</t>
  </si>
  <si>
    <t>Software</t>
  </si>
  <si>
    <t>ANALYSIS AND DESIGN PHILOSOPHY</t>
  </si>
  <si>
    <t>LOAD DEVELOPMENT</t>
  </si>
  <si>
    <t>TABLE OF CONTENTS</t>
  </si>
  <si>
    <t>APPENDIX</t>
  </si>
  <si>
    <t xml:space="preserve">Unfortunately need to hand number. . . </t>
  </si>
  <si>
    <t xml:space="preserve">If Yes, anticipated date the information will be available: </t>
  </si>
  <si>
    <t>Seq #</t>
  </si>
  <si>
    <t>(PDR # if avail)</t>
  </si>
  <si>
    <t>Uncertainty</t>
  </si>
  <si>
    <t>Mitigation</t>
  </si>
  <si>
    <t>Remaining Risk</t>
  </si>
  <si>
    <t>Resolution</t>
  </si>
  <si>
    <t>(include approx date)</t>
  </si>
  <si>
    <t>Example to be deleted</t>
  </si>
  <si>
    <t>2. COMPUTER FILE INDEX</t>
  </si>
  <si>
    <t xml:space="preserve">Title: </t>
  </si>
  <si>
    <t>Calculation Number:</t>
  </si>
  <si>
    <t>The purpose of this form is to keep track of calculation computer files and to assign filenames using a standard format.  This will assist in organizing data and in retrieving data at a later date.  The file naming scheme shown below should be used.</t>
  </si>
  <si>
    <t>Lead to decide on format for this section should follow MDR/PDDM numbering, should not be any longer than below sequencing since can get into issues with long file names in directory</t>
  </si>
  <si>
    <t>FILENAME</t>
  </si>
  <si>
    <t>DESCRIPTION</t>
  </si>
  <si>
    <t>DIRECTORY LOCATION</t>
  </si>
  <si>
    <t xml:space="preserve">The purpose of the table outlines the uncertainties, mitigation strategy, remaining risk at the time of design. Assumptions to be re-validated once the appropriate information is made available. </t>
  </si>
  <si>
    <t>Examples</t>
  </si>
  <si>
    <t>Adjust row height as necessary</t>
  </si>
  <si>
    <t>Once calculation is completed, select all the tabs and then print to Adobe, pages will all be numbered on bottom</t>
  </si>
  <si>
    <t>3. DESCRIPTION OF CALCULATION</t>
  </si>
  <si>
    <t>3.1  Location on Plot Plan</t>
  </si>
  <si>
    <t>3.2  Description of the Structure</t>
  </si>
  <si>
    <t>3.3  Model Snapshots</t>
  </si>
  <si>
    <t>Reminder to check page breaks before printing to Adobe</t>
  </si>
  <si>
    <t>Lead to fill in as much of this section as possible, so that the information is the same for all the calculations on the project.</t>
  </si>
  <si>
    <t>4. BASIS OF DESIGN</t>
  </si>
  <si>
    <t>4.2  Checking Level</t>
  </si>
  <si>
    <t>4.1  Site Location</t>
  </si>
  <si>
    <t>Lead to ensure matches Activity Plan Checking descriptions</t>
  </si>
  <si>
    <t>The following calculation checking levels are applied to the following calculation. Descriptions for the checking levels are found in the Activity Plan – Civil Structural Engineering.</t>
  </si>
  <si>
    <t>Engineer to check where applicable, with confirmation from Lead</t>
  </si>
  <si>
    <t>Check where applicable</t>
  </si>
  <si>
    <t>Description</t>
  </si>
  <si>
    <t>Detailed check in accordance with governing work instruction or practice</t>
  </si>
  <si>
    <t>Selective Check with particular attention to critical and interface points.</t>
  </si>
  <si>
    <t>Spot check, applied as established by project lead</t>
  </si>
  <si>
    <t>Self Check only</t>
  </si>
  <si>
    <t>This is a requirement of the Calgary CSA DM</t>
  </si>
  <si>
    <t>4.3  Codes and Specifications</t>
  </si>
  <si>
    <t>4.3.2   Specifications</t>
  </si>
  <si>
    <t>Reminder to go into Page Setup and modify the Header/Footer (if you select all the tabs and do this, you only need to do it once)</t>
  </si>
  <si>
    <t>Engineers to add any additional specifications utilized</t>
  </si>
  <si>
    <t>4.3.3   Other Reference Data</t>
  </si>
  <si>
    <t>4.4  Material Properties</t>
  </si>
  <si>
    <t>Concrete:</t>
  </si>
  <si>
    <t>Reinforcing Steel:</t>
  </si>
  <si>
    <t>Anchor Bolts (UNO):</t>
  </si>
  <si>
    <t>Structural Steel (UNO):</t>
  </si>
  <si>
    <t>Structural Bolts (UNO):</t>
  </si>
  <si>
    <t>Connection plate:</t>
  </si>
  <si>
    <t>Min. fillet weld size shall be 6mm</t>
  </si>
  <si>
    <t>Refer to Geotechnical Report</t>
  </si>
  <si>
    <t>Refer to JDB 2.04.1 – Deep Foundation Philosophy</t>
  </si>
  <si>
    <t>4.5  Software</t>
  </si>
  <si>
    <t>The following outlines the list of computer software used for analysis. Refer to the Computer File Index for files:</t>
  </si>
  <si>
    <t>5. ANALYSIS AND DESIGN PHILOSOPHY</t>
  </si>
  <si>
    <t>Basic Load Case</t>
  </si>
  <si>
    <t>Symbol</t>
  </si>
  <si>
    <t>Applied</t>
  </si>
  <si>
    <t>BLC 1</t>
  </si>
  <si>
    <t>BLC 2</t>
  </si>
  <si>
    <t>BLC 3</t>
  </si>
  <si>
    <t>BLC 4</t>
  </si>
  <si>
    <t>BLC 5</t>
  </si>
  <si>
    <t>BLC 6</t>
  </si>
  <si>
    <t>BLC 7</t>
  </si>
  <si>
    <t>BLC 8</t>
  </si>
  <si>
    <t>BLC 10</t>
  </si>
  <si>
    <t>BLC 11</t>
  </si>
  <si>
    <t>BLC 12</t>
  </si>
  <si>
    <t>BLC 13</t>
  </si>
  <si>
    <t>BLC 14</t>
  </si>
  <si>
    <t>BLC 15</t>
  </si>
  <si>
    <t>BLC 16</t>
  </si>
  <si>
    <t>BLC 17</t>
  </si>
  <si>
    <t>BLC 18</t>
  </si>
  <si>
    <t>BLC 19</t>
  </si>
  <si>
    <t>SW</t>
  </si>
  <si>
    <t>PO</t>
  </si>
  <si>
    <t>PE</t>
  </si>
  <si>
    <t>EL</t>
  </si>
  <si>
    <t>EO</t>
  </si>
  <si>
    <t>EE</t>
  </si>
  <si>
    <t>AT</t>
  </si>
  <si>
    <t>AF</t>
  </si>
  <si>
    <t>WT</t>
  </si>
  <si>
    <t>WL</t>
  </si>
  <si>
    <t>SG</t>
  </si>
  <si>
    <t>Lead to review this with the JDB items and layout on BLC’s to ensure alignment.</t>
  </si>
  <si>
    <t>This will be relooked at when the JDB 2.20 load combinations is reviewed</t>
  </si>
  <si>
    <t>BLC 25</t>
  </si>
  <si>
    <t>Transportation</t>
  </si>
  <si>
    <t>-</t>
  </si>
  <si>
    <t>Y</t>
  </si>
  <si>
    <t>N</t>
  </si>
  <si>
    <t>Engineer to pick Y or N</t>
  </si>
  <si>
    <t>This section should go through each of the BLC's and how/where they are applied</t>
  </si>
  <si>
    <t>KFS Frac 3 Project</t>
  </si>
  <si>
    <t>1. RISK AND UNCERTAINTY LOG</t>
  </si>
  <si>
    <t>NBC (AE) 2023 – National Building Code - Alberta Edition 2023</t>
  </si>
  <si>
    <t>4.3.1   Governing Codes and Standards</t>
  </si>
  <si>
    <t>CSA G30.18, Grade 400</t>
  </si>
  <si>
    <t xml:space="preserve">ASTM F1554 Grade 36 </t>
  </si>
  <si>
    <t>Structural Steel W, HP, S, WT ASTM A992 or CSA G40.21 Grade 350W</t>
  </si>
  <si>
    <t>Structural HSS – CSA G40.21 Class C, Grade 350W</t>
  </si>
  <si>
    <t>Angles, Channels and Angles – CSA G40.21 Grade 300W</t>
  </si>
  <si>
    <t>Steel Plate and flat bar – CSA G40.21 Grade 300W</t>
  </si>
  <si>
    <t>Checkered floor plate material – ASTM A786</t>
  </si>
  <si>
    <t>Grating and Stair Tread – 32x5 steel grating, Type 30-102M, top edge serrated), ASTM A1011</t>
  </si>
  <si>
    <t>High Strength bolts –ASTM F3125 Grade A325, Type 1</t>
  </si>
  <si>
    <t>Soil Bearing:</t>
  </si>
  <si>
    <t>Pile Capacity</t>
  </si>
  <si>
    <t>ET</t>
  </si>
  <si>
    <t>F</t>
  </si>
  <si>
    <t>AS</t>
  </si>
  <si>
    <t>BLC 9</t>
  </si>
  <si>
    <t>GL</t>
  </si>
  <si>
    <t>EM</t>
  </si>
  <si>
    <t>L</t>
  </si>
  <si>
    <t>S</t>
  </si>
  <si>
    <t>STOpe</t>
  </si>
  <si>
    <t>BLC 20</t>
  </si>
  <si>
    <t>BLC 21</t>
  </si>
  <si>
    <t>SLOpe</t>
  </si>
  <si>
    <t>BLC 22</t>
  </si>
  <si>
    <t>BLC 23</t>
  </si>
  <si>
    <t>Di</t>
  </si>
  <si>
    <t>BLC 24</t>
  </si>
  <si>
    <t>BLC 26</t>
  </si>
  <si>
    <t>BLC 30</t>
  </si>
  <si>
    <t>BLC 31</t>
  </si>
  <si>
    <t>BLC 32</t>
  </si>
  <si>
    <t>BLC 33</t>
  </si>
  <si>
    <t>BLC 34</t>
  </si>
  <si>
    <t>BLC 35</t>
  </si>
  <si>
    <t>BLC 36</t>
  </si>
  <si>
    <t>BLC 37</t>
  </si>
  <si>
    <t>BLC 38</t>
  </si>
  <si>
    <t>BLC 39</t>
  </si>
  <si>
    <t>T1</t>
  </si>
  <si>
    <t>T2</t>
  </si>
  <si>
    <t>T3</t>
  </si>
  <si>
    <t>T4</t>
  </si>
  <si>
    <t>T5</t>
  </si>
  <si>
    <t>T6</t>
  </si>
  <si>
    <t>T7</t>
  </si>
  <si>
    <t>T8</t>
  </si>
  <si>
    <t>T9</t>
  </si>
  <si>
    <t>T10</t>
  </si>
  <si>
    <t>With reference to the replication philosophy for the project (P-19005-GEN-PLN-0014) – is the structure in the scope of this calculation intended to be replicated from Frac 2?  Have you obtained the applicable Frac 2 design drawings and vendor data for comparison and reference?</t>
  </si>
  <si>
    <t xml:space="preserve">Does this calculation have scope that is to be replicated? </t>
  </si>
  <si>
    <t>Are the Frac 2 design drawings and vendor data used as a reference and comparison?</t>
  </si>
  <si>
    <t>Have the reasons for any differences between Frac 2 and Frac 3 structural design been reviewed?</t>
  </si>
  <si>
    <t>Include this form with each set of calculations which has computer files.  List all data files that were used to complete the calculation.  Filenames shall be in accordance with the job data book.</t>
  </si>
  <si>
    <t>2A</t>
  </si>
  <si>
    <t>3A</t>
  </si>
  <si>
    <t>4A</t>
  </si>
  <si>
    <t>R. Gray</t>
  </si>
  <si>
    <t>C. Walsh</t>
  </si>
  <si>
    <t>Coltin Walsh</t>
  </si>
  <si>
    <t>Where:</t>
  </si>
  <si>
    <t>21J = Discipline Identifier (210 - Civil; 215 - Structural)</t>
  </si>
  <si>
    <t>NNN = Sequence Number</t>
  </si>
  <si>
    <t>R = Revision Number</t>
  </si>
  <si>
    <t>EXT = File extension (eg: xls, xlsx, r3d, docx, pdf, etc.)</t>
  </si>
  <si>
    <t>YY = Sub-Package Number (for filename)</t>
  </si>
  <si>
    <t>CAL = Document Type (calculation)</t>
  </si>
  <si>
    <t>XX = Unit Number (01 for OSBL/Existing, 02 for ISBL)</t>
  </si>
  <si>
    <t>Native file calculation file</t>
  </si>
  <si>
    <t xml:space="preserve">F3KY = Project Code </t>
  </si>
  <si>
    <t>Figure 3-1: Key Plan</t>
  </si>
  <si>
    <t>3.3.1 BU-6258 Isometric View:</t>
  </si>
  <si>
    <t>3.3.2 BU-6258 Plan View:</t>
  </si>
  <si>
    <t>3.3.3 Injection Pump Isometric View</t>
  </si>
  <si>
    <t>The Keyera Frac 3 unit is located within the existing Keyera Fort Saskatchewan facility in Fort Saskatchewan, Alberta. It is a brown field site with some existing facilities due to be demolished to make room for the new unit.</t>
  </si>
  <si>
    <t>The address is: 12310 River Road, Fort Saskatchewan, AB T8L 4J1.</t>
  </si>
  <si>
    <t xml:space="preserve">NBCC 2020 – Structural Commentaries </t>
  </si>
  <si>
    <t>CAN/CSA-A23.3-19 – Design of Concrete Structures</t>
  </si>
  <si>
    <t>ACI 351.3R-18 – Report on Foundations for Dynamic Equipment</t>
  </si>
  <si>
    <t>19005-019-GEN-SPC-04-050</t>
  </si>
  <si>
    <t>Civil and Structural Design Criteria</t>
  </si>
  <si>
    <t>03-300</t>
  </si>
  <si>
    <t>Design Criteria and Loads for Structures</t>
  </si>
  <si>
    <t>03-301</t>
  </si>
  <si>
    <t>Pile Foundations</t>
  </si>
  <si>
    <t>03-304</t>
  </si>
  <si>
    <t>Grouting and Baseplates for Structural Steel and Equipment</t>
  </si>
  <si>
    <t>03-309</t>
  </si>
  <si>
    <t>Reinforced Concrete Foundations</t>
  </si>
  <si>
    <t>03-310</t>
  </si>
  <si>
    <t>Concrete Construction Requirements</t>
  </si>
  <si>
    <t>03-111</t>
  </si>
  <si>
    <t>API 610 Centrifugal Pumps</t>
  </si>
  <si>
    <t>Fluor Guidelines:</t>
  </si>
  <si>
    <t>Structural Job Data Book:</t>
  </si>
  <si>
    <t>Geotechnical Report:</t>
  </si>
  <si>
    <t>KEYERA FORT SASKATCHEWAN PLANT</t>
  </si>
  <si>
    <t>C3+ FRACTIONATION TRAIN 3 ADDITION PROJECT</t>
  </si>
  <si>
    <t>GEOTECHNICAL INVESTIGATION</t>
  </si>
  <si>
    <t>File No.: 34430</t>
  </si>
  <si>
    <t>Keyera Doc No.: P-19005-GEN-RPT-0023</t>
  </si>
  <si>
    <t>Date: April 11, 2025</t>
  </si>
  <si>
    <t>Thurber Engineering Ld.</t>
  </si>
  <si>
    <t>Revision 2</t>
  </si>
  <si>
    <t>Piperack and Process Structure Design Loads</t>
  </si>
  <si>
    <t>JDB 2.B.03</t>
  </si>
  <si>
    <t>JDB 2.B.01</t>
  </si>
  <si>
    <t>Process Structure BLCs-LCs</t>
  </si>
  <si>
    <t>Typical Foundation Design</t>
  </si>
  <si>
    <t>JDB 2.C.02</t>
  </si>
  <si>
    <t>Vibratory Equipment Foundation Design</t>
  </si>
  <si>
    <t>JDB 2.I.03</t>
  </si>
  <si>
    <t>Seismic Design Guideline</t>
  </si>
  <si>
    <t>JDB 2.H.02</t>
  </si>
  <si>
    <t>000.215.1234</t>
  </si>
  <si>
    <t>Rigid Foundations for Vibratory Equipment</t>
  </si>
  <si>
    <t>000.215.1227</t>
  </si>
  <si>
    <t>Excel</t>
  </si>
  <si>
    <t>v. 2016</t>
  </si>
  <si>
    <t>JDB 2.A.04.1</t>
  </si>
  <si>
    <t>Deep Foundation Philosophy</t>
  </si>
  <si>
    <r>
      <rPr>
        <b/>
        <i/>
        <u/>
        <sz val="10"/>
        <rFont val="Arial"/>
        <family val="2"/>
      </rPr>
      <t>Concrete Foundation Static Design Methodology:</t>
    </r>
    <r>
      <rPr>
        <sz val="10"/>
        <rFont val="Arial"/>
        <family val="2"/>
      </rPr>
      <t xml:space="preserve">
</t>
    </r>
  </si>
  <si>
    <t>Replication Basis:</t>
  </si>
  <si>
    <t>The existing pile layout and schedule drawings are available. Refer to pile layout dwg. P07019MEC-CV04390 and pile schedule P07019MEC-CV04401.</t>
  </si>
  <si>
    <t>The existing foundation drawings are available. Refer to foundation dwg. P07019MEC-CV04330.</t>
  </si>
  <si>
    <r>
      <rPr>
        <b/>
        <u/>
        <sz val="10"/>
        <color theme="1"/>
        <rFont val="Arial"/>
        <family val="2"/>
      </rPr>
      <t>Basic Load Cases</t>
    </r>
    <r>
      <rPr>
        <sz val="10"/>
        <color theme="1"/>
        <rFont val="Arial"/>
        <family val="2"/>
      </rPr>
      <t>: The table below shows the basic load cases that were specified from the job data book 
JDB 2.B.01</t>
    </r>
  </si>
  <si>
    <t>Structural Self Weight (SW) - Excludes FP</t>
  </si>
  <si>
    <t>Piping Operating (PO)</t>
  </si>
  <si>
    <t>Piping Empty (PE)</t>
  </si>
  <si>
    <t>Electrical (EL)</t>
  </si>
  <si>
    <t>Equipment Operating (EO)</t>
  </si>
  <si>
    <t>Equipment Empty (EE)</t>
  </si>
  <si>
    <t>Eqpt Maintenance (EM)</t>
  </si>
  <si>
    <t>Live Load (L)</t>
  </si>
  <si>
    <t>Snow Load (S)</t>
  </si>
  <si>
    <t>Pipe Anchor Thermal (AT)</t>
  </si>
  <si>
    <t>Pipe Anchor Friction (AF)</t>
  </si>
  <si>
    <t>Pipe Anchor Seismic (AS)</t>
  </si>
  <si>
    <t>Pipe Friction Load (F)</t>
  </si>
  <si>
    <t>Wind Transverse (WT)</t>
  </si>
  <si>
    <t>Wind Longitudinal (WL)</t>
  </si>
  <si>
    <t>Seismic Transverse Operating (STOpe)</t>
  </si>
  <si>
    <t>STEmpty</t>
  </si>
  <si>
    <t>Seismic Transverse Empty (STEmpty)</t>
  </si>
  <si>
    <t>Seismic Long Operating (SLOpe)</t>
  </si>
  <si>
    <t>SLEmpty</t>
  </si>
  <si>
    <t>Seismic Long Empty (SLEmpty)</t>
  </si>
  <si>
    <t>Slug or Upset (SG)</t>
  </si>
  <si>
    <t>Guide Load (GL)</t>
  </si>
  <si>
    <t>FP</t>
  </si>
  <si>
    <t>Fireproofing (FP)</t>
  </si>
  <si>
    <t>NT</t>
  </si>
  <si>
    <t>Notional Transverse (NT)</t>
  </si>
  <si>
    <t>NL</t>
  </si>
  <si>
    <t>Notional Longitudinal (NL)</t>
  </si>
  <si>
    <t>T, STcon</t>
  </si>
  <si>
    <t>Thermal Contraction (T, STcon)</t>
  </si>
  <si>
    <t>BLC 27</t>
  </si>
  <si>
    <t>T, STexp</t>
  </si>
  <si>
    <t>Thermal Expansion (T, STexp)</t>
  </si>
  <si>
    <t>BLC 28</t>
  </si>
  <si>
    <t>Selfweight Long</t>
  </si>
  <si>
    <t>BLC 29</t>
  </si>
  <si>
    <t>Selfweight Trans</t>
  </si>
  <si>
    <t>Pipe Empty Long</t>
  </si>
  <si>
    <t>Pipe Empty Trans</t>
  </si>
  <si>
    <t>Equip. Empty Long</t>
  </si>
  <si>
    <t>Equip. Empty Trans</t>
  </si>
  <si>
    <t>Elect. Long</t>
  </si>
  <si>
    <t>Elect. Trans</t>
  </si>
  <si>
    <t>Atmospheric Ice (Di), if applicable</t>
  </si>
  <si>
    <t>BLC 40</t>
  </si>
  <si>
    <t>T11</t>
  </si>
  <si>
    <t>T12</t>
  </si>
  <si>
    <t>Snow Long</t>
  </si>
  <si>
    <t>Snow Trans</t>
  </si>
  <si>
    <t>Fireproofing Long</t>
  </si>
  <si>
    <t>Fireproofing Trans</t>
  </si>
  <si>
    <t>=</t>
  </si>
  <si>
    <t>hp</t>
  </si>
  <si>
    <t>kg</t>
  </si>
  <si>
    <t>kN</t>
  </si>
  <si>
    <t>rpm</t>
  </si>
  <si>
    <t>mm</t>
  </si>
  <si>
    <t>Pump</t>
  </si>
  <si>
    <t>Void Form</t>
  </si>
  <si>
    <t>m</t>
  </si>
  <si>
    <t>Nordic Void Form 200</t>
  </si>
  <si>
    <r>
      <t>t</t>
    </r>
    <r>
      <rPr>
        <vertAlign val="subscript"/>
        <sz val="10"/>
        <rFont val="Arial"/>
        <family val="2"/>
      </rPr>
      <t>VF</t>
    </r>
  </si>
  <si>
    <r>
      <t>γ'</t>
    </r>
    <r>
      <rPr>
        <vertAlign val="subscript"/>
        <sz val="10"/>
        <rFont val="Arial"/>
        <family val="2"/>
      </rPr>
      <t>c</t>
    </r>
  </si>
  <si>
    <r>
      <t>kN/m</t>
    </r>
    <r>
      <rPr>
        <vertAlign val="superscript"/>
        <sz val="10"/>
        <rFont val="Arial"/>
        <family val="2"/>
      </rPr>
      <t>3</t>
    </r>
  </si>
  <si>
    <r>
      <t>h</t>
    </r>
    <r>
      <rPr>
        <vertAlign val="subscript"/>
        <sz val="10"/>
        <rFont val="Arial"/>
        <family val="2"/>
      </rPr>
      <t>c</t>
    </r>
  </si>
  <si>
    <r>
      <t>P</t>
    </r>
    <r>
      <rPr>
        <vertAlign val="subscript"/>
        <sz val="10"/>
        <rFont val="Arial"/>
        <family val="2"/>
      </rPr>
      <t>c</t>
    </r>
  </si>
  <si>
    <t>kPa</t>
  </si>
  <si>
    <r>
      <t>LL</t>
    </r>
    <r>
      <rPr>
        <vertAlign val="subscript"/>
        <sz val="10"/>
        <rFont val="Arial"/>
        <family val="2"/>
      </rPr>
      <t>i</t>
    </r>
  </si>
  <si>
    <r>
      <rPr>
        <sz val="10"/>
        <rFont val="Arial"/>
        <family val="2"/>
      </rPr>
      <t>σ</t>
    </r>
    <r>
      <rPr>
        <vertAlign val="subscript"/>
        <sz val="10"/>
        <rFont val="Arial"/>
        <family val="2"/>
      </rPr>
      <t>i</t>
    </r>
  </si>
  <si>
    <t>psi</t>
  </si>
  <si>
    <r>
      <rPr>
        <sz val="10"/>
        <rFont val="Arial"/>
        <family val="2"/>
      </rPr>
      <t>Δ</t>
    </r>
    <r>
      <rPr>
        <vertAlign val="subscript"/>
        <sz val="10"/>
        <rFont val="Arial"/>
        <family val="2"/>
      </rPr>
      <t>i</t>
    </r>
  </si>
  <si>
    <t>%</t>
  </si>
  <si>
    <r>
      <rPr>
        <sz val="10"/>
        <rFont val="Arial"/>
        <family val="2"/>
      </rPr>
      <t>Δ</t>
    </r>
    <r>
      <rPr>
        <vertAlign val="subscript"/>
        <sz val="10"/>
        <rFont val="Arial"/>
        <family val="2"/>
      </rPr>
      <t>FH</t>
    </r>
  </si>
  <si>
    <r>
      <t>: % deformation = Δ</t>
    </r>
    <r>
      <rPr>
        <vertAlign val="subscript"/>
        <sz val="10"/>
        <color theme="1"/>
        <rFont val="Arial"/>
        <family val="2"/>
      </rPr>
      <t>FH</t>
    </r>
    <r>
      <rPr>
        <sz val="10"/>
        <color theme="1"/>
        <rFont val="Arial"/>
        <family val="2"/>
      </rPr>
      <t xml:space="preserve"> / t</t>
    </r>
    <r>
      <rPr>
        <vertAlign val="subscript"/>
        <sz val="10"/>
        <color theme="1"/>
        <rFont val="Arial"/>
        <family val="2"/>
      </rPr>
      <t>VF</t>
    </r>
  </si>
  <si>
    <r>
      <rPr>
        <sz val="10"/>
        <rFont val="Arial"/>
        <family val="2"/>
      </rPr>
      <t>Δ</t>
    </r>
    <r>
      <rPr>
        <vertAlign val="subscript"/>
        <sz val="10"/>
        <rFont val="Arial"/>
        <family val="2"/>
      </rPr>
      <t>total</t>
    </r>
  </si>
  <si>
    <r>
      <t>σ</t>
    </r>
    <r>
      <rPr>
        <vertAlign val="subscript"/>
        <sz val="10"/>
        <rFont val="Arial"/>
        <family val="2"/>
      </rPr>
      <t>total</t>
    </r>
  </si>
  <si>
    <r>
      <t>σ</t>
    </r>
    <r>
      <rPr>
        <vertAlign val="subscript"/>
        <sz val="10"/>
        <rFont val="Arial"/>
        <family val="2"/>
      </rPr>
      <t>FH</t>
    </r>
  </si>
  <si>
    <r>
      <t>T</t>
    </r>
    <r>
      <rPr>
        <vertAlign val="subscript"/>
        <sz val="10"/>
        <rFont val="Arial"/>
        <family val="2"/>
      </rPr>
      <t>frost</t>
    </r>
  </si>
  <si>
    <t>The pump foundations are located within a heated building. However, the foundation may be subjected to a freeze-thaw cycle throughout it’s lifetime during construction, turnaround activities, etc. To avoid potential frost heave issues, a void form is provided beneath the pile cap - calculated below.</t>
  </si>
  <si>
    <t>&lt; 30%</t>
  </si>
  <si>
    <t>Pile Cap</t>
  </si>
  <si>
    <t xml:space="preserve">TOTAL Volume = </t>
  </si>
  <si>
    <t xml:space="preserve">Density of Reinforced Concrete = </t>
  </si>
  <si>
    <t xml:space="preserve">Total weight of foundation = </t>
  </si>
  <si>
    <t>Therefore, under factored static load, the resistance of the piles are limited to 0.50 unity for the pump foundation.</t>
  </si>
  <si>
    <t>Self-Weight of Pile Cap Foundation:</t>
  </si>
  <si>
    <t>L [m]</t>
  </si>
  <si>
    <t>W [m]</t>
  </si>
  <si>
    <t>H [m]</t>
  </si>
  <si>
    <r>
      <t>Vol [m</t>
    </r>
    <r>
      <rPr>
        <vertAlign val="superscript"/>
        <sz val="10"/>
        <color theme="1"/>
        <rFont val="Arial"/>
        <family val="2"/>
      </rPr>
      <t>3</t>
    </r>
    <r>
      <rPr>
        <sz val="10"/>
        <color theme="1"/>
        <rFont val="Arial"/>
        <family val="2"/>
      </rPr>
      <t>]</t>
    </r>
  </si>
  <si>
    <t>Grout</t>
  </si>
  <si>
    <r>
      <t>kN/m</t>
    </r>
    <r>
      <rPr>
        <vertAlign val="superscript"/>
        <sz val="10"/>
        <color theme="1"/>
        <rFont val="Arial"/>
        <family val="2"/>
      </rPr>
      <t>3</t>
    </r>
  </si>
  <si>
    <r>
      <t>m</t>
    </r>
    <r>
      <rPr>
        <vertAlign val="superscript"/>
        <sz val="10"/>
        <color theme="1"/>
        <rFont val="Arial"/>
        <family val="2"/>
      </rPr>
      <t>3</t>
    </r>
  </si>
  <si>
    <t xml:space="preserve">End Bearing </t>
  </si>
  <si>
    <t>Shaft Friction:</t>
  </si>
  <si>
    <t>: Clay</t>
  </si>
  <si>
    <t>: Clay till</t>
  </si>
  <si>
    <t>Ultimate Shaft Friction</t>
  </si>
  <si>
    <t>Ultimate End Bearing</t>
  </si>
  <si>
    <r>
      <t>φ</t>
    </r>
    <r>
      <rPr>
        <vertAlign val="subscript"/>
        <sz val="10"/>
        <color theme="1"/>
        <rFont val="Arial"/>
        <family val="2"/>
      </rPr>
      <t>c</t>
    </r>
  </si>
  <si>
    <r>
      <t>C</t>
    </r>
    <r>
      <rPr>
        <vertAlign val="subscript"/>
        <sz val="10"/>
        <color theme="1"/>
        <rFont val="Arial"/>
        <family val="2"/>
      </rPr>
      <t>r</t>
    </r>
  </si>
  <si>
    <r>
      <t>C</t>
    </r>
    <r>
      <rPr>
        <vertAlign val="subscript"/>
        <sz val="10"/>
        <color theme="1"/>
        <rFont val="Arial"/>
        <family val="2"/>
      </rPr>
      <t>f</t>
    </r>
  </si>
  <si>
    <t>: Maximum applied compression force</t>
  </si>
  <si>
    <r>
      <t>C</t>
    </r>
    <r>
      <rPr>
        <vertAlign val="subscript"/>
        <sz val="10"/>
        <color theme="1"/>
        <rFont val="Arial"/>
        <family val="2"/>
      </rPr>
      <t>r</t>
    </r>
    <r>
      <rPr>
        <sz val="10"/>
        <color theme="1"/>
        <rFont val="Arial"/>
        <family val="2"/>
      </rPr>
      <t xml:space="preserve"> / C</t>
    </r>
    <r>
      <rPr>
        <vertAlign val="subscript"/>
        <sz val="10"/>
        <color theme="1"/>
        <rFont val="Arial"/>
        <family val="2"/>
      </rPr>
      <t>f</t>
    </r>
  </si>
  <si>
    <t>&lt; 0.50, OK</t>
  </si>
  <si>
    <t>: Unity ratio</t>
  </si>
  <si>
    <t>(0 - 1.5 m)</t>
  </si>
  <si>
    <t xml:space="preserve"> (1.5 - 7 m)</t>
  </si>
  <si>
    <t>: End bearing at pile tip (Clay Till)</t>
  </si>
  <si>
    <t>: Clay/Clay Fill</t>
  </si>
  <si>
    <t>: Clay/Clay Till</t>
  </si>
  <si>
    <t>: Clay Till</t>
  </si>
  <si>
    <t>(1.5 - 7 m)</t>
  </si>
  <si>
    <r>
      <t>C</t>
    </r>
    <r>
      <rPr>
        <vertAlign val="subscript"/>
        <sz val="10"/>
        <color theme="1"/>
        <rFont val="Arial"/>
        <family val="2"/>
      </rPr>
      <t>nom</t>
    </r>
  </si>
  <si>
    <t>The pile Geotechnical capacities (compression, tension, and lateral) are calculated with reference to JDB 2.04.1 Deep Foundation Philosophy.</t>
  </si>
  <si>
    <t>(7 - 'L' m)</t>
  </si>
  <si>
    <t>: Neglect top 1.5 m for potential soil shrinkage</t>
  </si>
  <si>
    <t>: Nominal compression resistance = Shaft Friction + End Bearing</t>
  </si>
  <si>
    <t>: Geotechnical resistance factor, compression</t>
  </si>
  <si>
    <r>
      <t>: Compression resistance of single pile, φ</t>
    </r>
    <r>
      <rPr>
        <vertAlign val="subscript"/>
        <sz val="10"/>
        <color theme="1"/>
        <rFont val="Arial"/>
        <family val="2"/>
      </rPr>
      <t>c</t>
    </r>
    <r>
      <rPr>
        <sz val="10"/>
        <color theme="1"/>
        <rFont val="Arial"/>
        <family val="2"/>
      </rPr>
      <t>C</t>
    </r>
    <r>
      <rPr>
        <vertAlign val="subscript"/>
        <sz val="10"/>
        <color theme="1"/>
        <rFont val="Arial"/>
        <family val="2"/>
      </rPr>
      <t>nom</t>
    </r>
  </si>
  <si>
    <r>
      <t>Z</t>
    </r>
    <r>
      <rPr>
        <vertAlign val="subscript"/>
        <sz val="10"/>
        <rFont val="Arial"/>
        <family val="2"/>
      </rPr>
      <t>fp</t>
    </r>
  </si>
  <si>
    <t>: Frost penetration depth, 1:50 year event</t>
  </si>
  <si>
    <t>Adfreeze Stress</t>
  </si>
  <si>
    <t>Frost Heave</t>
  </si>
  <si>
    <r>
      <t>RF</t>
    </r>
    <r>
      <rPr>
        <vertAlign val="subscript"/>
        <sz val="10"/>
        <color indexed="8"/>
        <rFont val="Arial"/>
        <family val="2"/>
      </rPr>
      <t>f</t>
    </r>
  </si>
  <si>
    <t>: Resistance factor against frost uplift</t>
  </si>
  <si>
    <t>Frost Resistance:</t>
  </si>
  <si>
    <r>
      <t>T</t>
    </r>
    <r>
      <rPr>
        <vertAlign val="subscript"/>
        <sz val="10"/>
        <color indexed="8"/>
        <rFont val="Arial"/>
        <family val="2"/>
      </rPr>
      <t>r, nom</t>
    </r>
  </si>
  <si>
    <r>
      <t>T</t>
    </r>
    <r>
      <rPr>
        <vertAlign val="subscript"/>
        <sz val="10"/>
        <color indexed="8"/>
        <rFont val="Arial"/>
        <family val="2"/>
      </rPr>
      <t>r</t>
    </r>
  </si>
  <si>
    <r>
      <t>: Factored frost resistance; 0.8 T</t>
    </r>
    <r>
      <rPr>
        <vertAlign val="subscript"/>
        <sz val="10"/>
        <rFont val="Arial"/>
        <family val="2"/>
      </rPr>
      <t>r,nom</t>
    </r>
  </si>
  <si>
    <t>Jacking Force on Pile due to Adfreeze:</t>
  </si>
  <si>
    <r>
      <t>L</t>
    </r>
    <r>
      <rPr>
        <vertAlign val="subscript"/>
        <sz val="10"/>
        <rFont val="Arial"/>
        <family val="2"/>
      </rPr>
      <t>p,f</t>
    </r>
  </si>
  <si>
    <t>: Length of pile in frost susceptible layer (assume no soil cover)</t>
  </si>
  <si>
    <r>
      <t>T</t>
    </r>
    <r>
      <rPr>
        <vertAlign val="subscript"/>
        <sz val="10"/>
        <rFont val="Arial"/>
        <family val="2"/>
      </rPr>
      <t>f,ad</t>
    </r>
  </si>
  <si>
    <r>
      <t xml:space="preserve">: Jacking force on pile due to adfreeze; </t>
    </r>
    <r>
      <rPr>
        <sz val="10"/>
        <rFont val="Arial"/>
        <family val="2"/>
      </rPr>
      <t>σ</t>
    </r>
    <r>
      <rPr>
        <vertAlign val="subscript"/>
        <sz val="10"/>
        <rFont val="Arial"/>
        <family val="2"/>
      </rPr>
      <t>ad</t>
    </r>
    <r>
      <rPr>
        <sz val="10"/>
        <rFont val="Arial"/>
        <family val="2"/>
      </rPr>
      <t xml:space="preserve"> * πDL</t>
    </r>
    <r>
      <rPr>
        <vertAlign val="subscript"/>
        <sz val="10"/>
        <rFont val="Arial"/>
        <family val="2"/>
      </rPr>
      <t>p,f</t>
    </r>
  </si>
  <si>
    <t>Jacking Force on Pile Cap Perimeter due to Adfreeze:</t>
  </si>
  <si>
    <t>Jacking Force</t>
  </si>
  <si>
    <t>Case 1 - Single Pile Subjected to Ad-freeze (ie. No pile cap):</t>
  </si>
  <si>
    <r>
      <t>T</t>
    </r>
    <r>
      <rPr>
        <vertAlign val="subscript"/>
        <sz val="10"/>
        <rFont val="Arial"/>
        <family val="2"/>
      </rPr>
      <t>r</t>
    </r>
  </si>
  <si>
    <t>Rounded up for pile schedule.</t>
  </si>
  <si>
    <t>Unity Ratio</t>
  </si>
  <si>
    <t>Case 2 - Piled Foundation (ie. With pile cap) Subject to Ad-Freeze &amp; Frost Heave</t>
  </si>
  <si>
    <t>: Tensile resistance of single pile to frost heave</t>
  </si>
  <si>
    <t>: Number of piles</t>
  </si>
  <si>
    <r>
      <t>SW</t>
    </r>
    <r>
      <rPr>
        <vertAlign val="subscript"/>
        <sz val="10"/>
        <rFont val="Arial"/>
        <family val="2"/>
      </rPr>
      <t>SI</t>
    </r>
  </si>
  <si>
    <r>
      <t>T</t>
    </r>
    <r>
      <rPr>
        <vertAlign val="subscript"/>
        <sz val="10"/>
        <rFont val="Arial"/>
        <family val="2"/>
      </rPr>
      <t>FJ</t>
    </r>
  </si>
  <si>
    <t>: Uplift due to frost jacking on perimeter of pile cap</t>
  </si>
  <si>
    <r>
      <t>T</t>
    </r>
    <r>
      <rPr>
        <vertAlign val="subscript"/>
        <sz val="10"/>
        <rFont val="Arial"/>
        <family val="2"/>
      </rPr>
      <t>FH</t>
    </r>
  </si>
  <si>
    <r>
      <t>T</t>
    </r>
    <r>
      <rPr>
        <vertAlign val="subscript"/>
        <sz val="10"/>
        <rFont val="Arial"/>
        <family val="2"/>
      </rPr>
      <t>r,total</t>
    </r>
  </si>
  <si>
    <r>
      <t>: Total pile resistance to uplift, T</t>
    </r>
    <r>
      <rPr>
        <vertAlign val="subscript"/>
        <sz val="10"/>
        <rFont val="Arial"/>
        <family val="2"/>
      </rPr>
      <t>r</t>
    </r>
    <r>
      <rPr>
        <sz val="10"/>
        <color theme="1"/>
        <rFont val="Arial"/>
        <family val="2"/>
      </rPr>
      <t xml:space="preserve"> x N</t>
    </r>
  </si>
  <si>
    <r>
      <t>T</t>
    </r>
    <r>
      <rPr>
        <vertAlign val="subscript"/>
        <sz val="10"/>
        <rFont val="Arial"/>
        <family val="2"/>
      </rPr>
      <t>f, total</t>
    </r>
  </si>
  <si>
    <r>
      <t>: Total frost uplift force, T</t>
    </r>
    <r>
      <rPr>
        <vertAlign val="subscript"/>
        <sz val="10"/>
        <rFont val="Arial"/>
        <family val="2"/>
      </rPr>
      <t>f,ad</t>
    </r>
    <r>
      <rPr>
        <sz val="10"/>
        <color theme="1"/>
        <rFont val="Arial"/>
        <family val="2"/>
      </rPr>
      <t xml:space="preserve"> x N +T</t>
    </r>
    <r>
      <rPr>
        <vertAlign val="subscript"/>
        <sz val="10"/>
        <color theme="1"/>
        <rFont val="Arial"/>
        <family val="2"/>
      </rPr>
      <t>FJ</t>
    </r>
    <r>
      <rPr>
        <sz val="10"/>
        <color theme="1"/>
        <rFont val="Arial"/>
        <family val="2"/>
      </rPr>
      <t xml:space="preserve"> + T</t>
    </r>
    <r>
      <rPr>
        <vertAlign val="subscript"/>
        <sz val="10"/>
        <rFont val="Arial"/>
        <family val="2"/>
      </rPr>
      <t>FH</t>
    </r>
    <r>
      <rPr>
        <sz val="10"/>
        <color theme="1"/>
        <rFont val="Arial"/>
        <family val="2"/>
      </rPr>
      <t xml:space="preserve"> - 0.9SW</t>
    </r>
    <r>
      <rPr>
        <vertAlign val="subscript"/>
        <sz val="10"/>
        <rFont val="Arial"/>
        <family val="2"/>
      </rPr>
      <t>cap</t>
    </r>
  </si>
  <si>
    <t>For pile schedule loading:</t>
  </si>
  <si>
    <r>
      <t>T</t>
    </r>
    <r>
      <rPr>
        <vertAlign val="subscript"/>
        <sz val="10"/>
        <rFont val="Arial"/>
        <family val="2"/>
      </rPr>
      <t>f , total</t>
    </r>
    <r>
      <rPr>
        <sz val="10"/>
        <color theme="1"/>
        <rFont val="Arial"/>
        <family val="2"/>
      </rPr>
      <t xml:space="preserve"> / N</t>
    </r>
  </si>
  <si>
    <t>Case 3: Pile Foundation Subject to Adfreeze and Sustained Tension:</t>
  </si>
  <si>
    <t>: Super-imposed dead load; pile cap only</t>
  </si>
  <si>
    <r>
      <t>C</t>
    </r>
    <r>
      <rPr>
        <vertAlign val="subscript"/>
        <sz val="10"/>
        <color theme="1"/>
        <rFont val="Arial"/>
        <family val="2"/>
      </rPr>
      <t>s</t>
    </r>
  </si>
  <si>
    <t>Pile Settlement</t>
  </si>
  <si>
    <t>Pile Spacing</t>
  </si>
  <si>
    <t>x D</t>
  </si>
  <si>
    <t>Group Settlement Ratio</t>
  </si>
  <si>
    <t>Group Settlement</t>
  </si>
  <si>
    <t>&lt; 12 mm, OK.</t>
  </si>
  <si>
    <t>Differential Settlement:</t>
  </si>
  <si>
    <t>For an SLS compression load = 50% of the ultimate compression resistance, pile settlement = 12 mm.</t>
  </si>
  <si>
    <r>
      <t>C</t>
    </r>
    <r>
      <rPr>
        <vertAlign val="subscript"/>
        <sz val="10"/>
        <color theme="1"/>
        <rFont val="Arial"/>
        <family val="2"/>
      </rPr>
      <t>s</t>
    </r>
    <r>
      <rPr>
        <sz val="10"/>
        <color theme="1"/>
        <rFont val="Arial"/>
        <family val="2"/>
      </rPr>
      <t xml:space="preserve"> / C</t>
    </r>
    <r>
      <rPr>
        <vertAlign val="subscript"/>
        <sz val="10"/>
        <color theme="1"/>
        <rFont val="Arial"/>
        <family val="2"/>
      </rPr>
      <t>nom</t>
    </r>
  </si>
  <si>
    <r>
      <t>t</t>
    </r>
    <r>
      <rPr>
        <vertAlign val="subscript"/>
        <sz val="10"/>
        <color theme="1"/>
        <rFont val="Arial"/>
        <family val="2"/>
      </rPr>
      <t>min</t>
    </r>
  </si>
  <si>
    <t xml:space="preserve">i. The foundation mat thickness shall be &gt; 0.60 m. </t>
  </si>
  <si>
    <r>
      <t>t</t>
    </r>
    <r>
      <rPr>
        <vertAlign val="subscript"/>
        <sz val="10"/>
        <color theme="1"/>
        <rFont val="Arial"/>
        <family val="2"/>
      </rPr>
      <t>cap</t>
    </r>
  </si>
  <si>
    <t>&gt; 0.60 m, OK.</t>
  </si>
  <si>
    <r>
      <t>L</t>
    </r>
    <r>
      <rPr>
        <vertAlign val="subscript"/>
        <sz val="10"/>
        <color theme="1"/>
        <rFont val="Arial"/>
        <family val="2"/>
      </rPr>
      <t>1</t>
    </r>
  </si>
  <si>
    <r>
      <t>L</t>
    </r>
    <r>
      <rPr>
        <vertAlign val="subscript"/>
        <sz val="10"/>
        <color theme="1"/>
        <rFont val="Arial"/>
        <family val="2"/>
      </rPr>
      <t>2</t>
    </r>
  </si>
  <si>
    <t>As per Fluor Practice 000.215.1234 and Specification 03-309, the mass ratio between weight of foundation and weight of equipment shall be greater than 3:1 for rotary machines.</t>
  </si>
  <si>
    <t>Pile compression capacity is calculated as the sum of shaft friction and end bearing resistance. A geotechnical reduction factor = 0.5 is applied to the ultimate resistance values, as per the Geotechnical Report.</t>
  </si>
  <si>
    <t>&lt; 5%, OK</t>
  </si>
  <si>
    <t>Pipe / Equipment Test Load (ET) - "Content Weight alone"</t>
  </si>
  <si>
    <t>For simplicity, the unit weight of grout is taken the same as concrete.</t>
  </si>
  <si>
    <t>Not applicable. There are no pipe supports supported on the pump foundation.</t>
  </si>
  <si>
    <t>Not applicable. The operating, empty, and test weight of the pump are all assumed equal.</t>
  </si>
  <si>
    <t>8.1.6 BLC 6: Pipe Anchor Thermal (AT)</t>
  </si>
  <si>
    <t>8.1.7 BLC 7: Pipe Anchor Friction (AF)</t>
  </si>
  <si>
    <t>8.1.8 BLC 8: Pipe Anchor Seismic (AS)</t>
  </si>
  <si>
    <t>8.1.9 BLC 9: Guide Load (GL)</t>
  </si>
  <si>
    <t>8.1.10 BLC 10: Slug or Upset (SG)</t>
  </si>
  <si>
    <t>There are no upset conditions for the pump.</t>
  </si>
  <si>
    <t>Not applicable. There are no primary electrical trays supported on the pump foundation.</t>
  </si>
  <si>
    <t>Any miscellaneous field run electrical scope is considered negligeable.</t>
  </si>
  <si>
    <t>Not applicable. Pump maintenance is performed by the building overhead crane.</t>
  </si>
  <si>
    <t>Not applicable. The pumps are located within a building.</t>
  </si>
  <si>
    <t>Seismic operating force in the longitudinal direction is the same as calculated for the transverse direction.</t>
  </si>
  <si>
    <t>8.1.24 BLC 24: Thermal Contraction (T, STcon)</t>
  </si>
  <si>
    <t>Not applicable, notional loads are considered negligible for the pump foundations.</t>
  </si>
  <si>
    <t>Not applicable.</t>
  </si>
  <si>
    <t>BLC 5: Pipe Friction (F)</t>
  </si>
  <si>
    <t>BLC 6: Pipe Anchor Thermal (AT)</t>
  </si>
  <si>
    <t>BLC 7: Pipe Anchor Friction (AF)</t>
  </si>
  <si>
    <t>BLC 8: Pipe Anchor Seismic (AS)</t>
  </si>
  <si>
    <t>BLC 9: Guide Load (GL)</t>
  </si>
  <si>
    <t>8.1.5 BLC 5: Pipe Friction (F)</t>
  </si>
  <si>
    <t>BLC 10: Slug or Upset (SG)</t>
  </si>
  <si>
    <t>8.1.25 BLC 25: Thermal Expansion (T, STexp)</t>
  </si>
  <si>
    <t>BLC 23: Atmospheric Ice (Di)</t>
  </si>
  <si>
    <t>BLC 24: Thermal Contraction (T, STcon)</t>
  </si>
  <si>
    <t>BLC 25: Thermal Expansion (T, STexp)</t>
  </si>
  <si>
    <t>Seismic Design Force:</t>
  </si>
  <si>
    <t>Per the Geotechnical Report, the site is Site Class D:</t>
  </si>
  <si>
    <t>PGA</t>
  </si>
  <si>
    <r>
      <t>M</t>
    </r>
    <r>
      <rPr>
        <vertAlign val="subscript"/>
        <sz val="10"/>
        <color indexed="8"/>
        <rFont val="Arial"/>
        <family val="2"/>
      </rPr>
      <t>v</t>
    </r>
  </si>
  <si>
    <t>Check if Equivalent Static Force Procedure is applicable, per Article 4.1.8.7 (1a):</t>
  </si>
  <si>
    <t>: Importance Factor, High</t>
  </si>
  <si>
    <r>
      <t>S</t>
    </r>
    <r>
      <rPr>
        <vertAlign val="subscript"/>
        <sz val="10"/>
        <color indexed="8"/>
        <rFont val="Arial"/>
        <family val="2"/>
      </rPr>
      <t>a</t>
    </r>
    <r>
      <rPr>
        <sz val="10"/>
        <color indexed="8"/>
        <rFont val="Arial"/>
        <family val="2"/>
      </rPr>
      <t>(0.2, X</t>
    </r>
    <r>
      <rPr>
        <vertAlign val="subscript"/>
        <sz val="10"/>
        <color rgb="FF000000"/>
        <rFont val="Arial"/>
        <family val="2"/>
      </rPr>
      <t>D</t>
    </r>
    <r>
      <rPr>
        <sz val="10"/>
        <color indexed="8"/>
        <rFont val="Arial"/>
        <family val="2"/>
      </rPr>
      <t>)</t>
    </r>
  </si>
  <si>
    <r>
      <t>S</t>
    </r>
    <r>
      <rPr>
        <vertAlign val="subscript"/>
        <sz val="10"/>
        <color indexed="8"/>
        <rFont val="Arial"/>
        <family val="2"/>
      </rPr>
      <t>a</t>
    </r>
    <r>
      <rPr>
        <sz val="10"/>
        <color indexed="8"/>
        <rFont val="Arial"/>
        <family val="2"/>
      </rPr>
      <t>(0.5, X</t>
    </r>
    <r>
      <rPr>
        <vertAlign val="subscript"/>
        <sz val="10"/>
        <color rgb="FF000000"/>
        <rFont val="Arial"/>
        <family val="2"/>
      </rPr>
      <t>D</t>
    </r>
    <r>
      <rPr>
        <sz val="10"/>
        <color indexed="8"/>
        <rFont val="Arial"/>
        <family val="2"/>
      </rPr>
      <t>)</t>
    </r>
  </si>
  <si>
    <r>
      <t>S</t>
    </r>
    <r>
      <rPr>
        <vertAlign val="subscript"/>
        <sz val="10"/>
        <color indexed="8"/>
        <rFont val="Arial"/>
        <family val="2"/>
      </rPr>
      <t>a</t>
    </r>
    <r>
      <rPr>
        <sz val="10"/>
        <color indexed="8"/>
        <rFont val="Arial"/>
        <family val="2"/>
      </rPr>
      <t>(1.0, X</t>
    </r>
    <r>
      <rPr>
        <vertAlign val="subscript"/>
        <sz val="10"/>
        <color rgb="FF000000"/>
        <rFont val="Arial"/>
        <family val="2"/>
      </rPr>
      <t>D</t>
    </r>
    <r>
      <rPr>
        <sz val="10"/>
        <color indexed="8"/>
        <rFont val="Arial"/>
        <family val="2"/>
      </rPr>
      <t>)</t>
    </r>
  </si>
  <si>
    <r>
      <t>S</t>
    </r>
    <r>
      <rPr>
        <vertAlign val="subscript"/>
        <sz val="10"/>
        <color indexed="8"/>
        <rFont val="Arial"/>
        <family val="2"/>
      </rPr>
      <t>a</t>
    </r>
    <r>
      <rPr>
        <sz val="10"/>
        <color indexed="8"/>
        <rFont val="Arial"/>
        <family val="2"/>
      </rPr>
      <t>(2.0, X</t>
    </r>
    <r>
      <rPr>
        <vertAlign val="subscript"/>
        <sz val="10"/>
        <color rgb="FF000000"/>
        <rFont val="Arial"/>
        <family val="2"/>
      </rPr>
      <t>D</t>
    </r>
    <r>
      <rPr>
        <sz val="10"/>
        <color indexed="8"/>
        <rFont val="Arial"/>
        <family val="2"/>
      </rPr>
      <t>)</t>
    </r>
  </si>
  <si>
    <t>The equivalent static force procedure may be used for structures in Seismic Design Category SC1 or SC2.</t>
  </si>
  <si>
    <t>S(≤0.2)</t>
  </si>
  <si>
    <t>S(0.5)</t>
  </si>
  <si>
    <t>S(2.0)</t>
  </si>
  <si>
    <t>S(1.0)</t>
  </si>
  <si>
    <t>:NBC(AE) 2023 - Table 4.1.8.4-C</t>
  </si>
  <si>
    <t>: SC2</t>
  </si>
  <si>
    <r>
      <t>I</t>
    </r>
    <r>
      <rPr>
        <vertAlign val="subscript"/>
        <sz val="10"/>
        <rFont val="Arial"/>
        <family val="2"/>
      </rPr>
      <t>E</t>
    </r>
  </si>
  <si>
    <r>
      <t>I</t>
    </r>
    <r>
      <rPr>
        <vertAlign val="subscript"/>
        <sz val="10"/>
        <color indexed="8"/>
        <rFont val="Arial"/>
        <family val="2"/>
      </rPr>
      <t>E</t>
    </r>
    <r>
      <rPr>
        <sz val="10"/>
        <color indexed="8"/>
        <rFont val="Arial"/>
        <family val="2"/>
      </rPr>
      <t>*S(0.2)</t>
    </r>
  </si>
  <si>
    <r>
      <t>I</t>
    </r>
    <r>
      <rPr>
        <vertAlign val="subscript"/>
        <sz val="10"/>
        <color indexed="8"/>
        <rFont val="Arial"/>
        <family val="2"/>
      </rPr>
      <t>E</t>
    </r>
    <r>
      <rPr>
        <sz val="10"/>
        <color indexed="8"/>
        <rFont val="Arial"/>
        <family val="2"/>
      </rPr>
      <t>*S(1.0)</t>
    </r>
  </si>
  <si>
    <r>
      <t>0.3S(0.2)I</t>
    </r>
    <r>
      <rPr>
        <vertAlign val="subscript"/>
        <sz val="10"/>
        <color theme="1"/>
        <rFont val="Arial"/>
        <family val="2"/>
      </rPr>
      <t>E</t>
    </r>
    <r>
      <rPr>
        <sz val="10"/>
        <color theme="1"/>
        <rFont val="Arial"/>
        <family val="2"/>
      </rPr>
      <t>S</t>
    </r>
    <r>
      <rPr>
        <vertAlign val="subscript"/>
        <sz val="10"/>
        <color theme="1"/>
        <rFont val="Arial"/>
        <family val="2"/>
      </rPr>
      <t>p</t>
    </r>
    <r>
      <rPr>
        <sz val="10"/>
        <color theme="1"/>
        <rFont val="Arial"/>
        <family val="2"/>
      </rPr>
      <t>W</t>
    </r>
    <r>
      <rPr>
        <vertAlign val="subscript"/>
        <sz val="10"/>
        <color theme="1"/>
        <rFont val="Arial"/>
        <family val="2"/>
      </rPr>
      <t>p</t>
    </r>
  </si>
  <si>
    <r>
      <t>S</t>
    </r>
    <r>
      <rPr>
        <vertAlign val="subscript"/>
        <sz val="10"/>
        <color indexed="8"/>
        <rFont val="Arial"/>
        <family val="2"/>
      </rPr>
      <t>p</t>
    </r>
  </si>
  <si>
    <t>The seismic base shear of the equipment is calculated using Article 4.1.8.18:</t>
  </si>
  <si>
    <r>
      <t>W</t>
    </r>
    <r>
      <rPr>
        <vertAlign val="subscript"/>
        <sz val="10"/>
        <color theme="1"/>
        <rFont val="Arial"/>
        <family val="2"/>
      </rPr>
      <t>p</t>
    </r>
  </si>
  <si>
    <t>: weight of equipment</t>
  </si>
  <si>
    <r>
      <t>As per JDB 2.H.02, the seismic force due to the weight of the pile cap is calculated assuming a period of 0.2s and R</t>
    </r>
    <r>
      <rPr>
        <vertAlign val="subscript"/>
        <sz val="10"/>
        <color theme="1"/>
        <rFont val="Arial"/>
        <family val="2"/>
      </rPr>
      <t>d</t>
    </r>
    <r>
      <rPr>
        <sz val="10"/>
        <color theme="1"/>
        <rFont val="Arial"/>
        <family val="2"/>
      </rPr>
      <t>R</t>
    </r>
    <r>
      <rPr>
        <vertAlign val="subscript"/>
        <sz val="10"/>
        <color theme="1"/>
        <rFont val="Arial"/>
        <family val="2"/>
      </rPr>
      <t>o</t>
    </r>
    <r>
      <rPr>
        <sz val="10"/>
        <color theme="1"/>
        <rFont val="Arial"/>
        <family val="2"/>
      </rPr>
      <t xml:space="preserve"> = 1.3.</t>
    </r>
  </si>
  <si>
    <r>
      <t>S(T</t>
    </r>
    <r>
      <rPr>
        <vertAlign val="subscript"/>
        <sz val="10"/>
        <color theme="1"/>
        <rFont val="Arial"/>
        <family val="2"/>
      </rPr>
      <t>a</t>
    </r>
    <r>
      <rPr>
        <sz val="10"/>
        <color theme="1"/>
        <rFont val="Arial"/>
        <family val="2"/>
      </rPr>
      <t>)M</t>
    </r>
    <r>
      <rPr>
        <vertAlign val="subscript"/>
        <sz val="10"/>
        <color theme="1"/>
        <rFont val="Arial"/>
        <family val="2"/>
      </rPr>
      <t>v</t>
    </r>
    <r>
      <rPr>
        <sz val="10"/>
        <color theme="1"/>
        <rFont val="Arial"/>
        <family val="2"/>
      </rPr>
      <t>I</t>
    </r>
    <r>
      <rPr>
        <vertAlign val="subscript"/>
        <sz val="10"/>
        <color theme="1"/>
        <rFont val="Arial"/>
        <family val="2"/>
      </rPr>
      <t>E</t>
    </r>
    <r>
      <rPr>
        <sz val="10"/>
        <color theme="1"/>
        <rFont val="Arial"/>
        <family val="2"/>
      </rPr>
      <t>W</t>
    </r>
    <r>
      <rPr>
        <vertAlign val="subscript"/>
        <sz val="10"/>
        <color theme="1"/>
        <rFont val="Arial"/>
        <family val="2"/>
      </rPr>
      <t>cap</t>
    </r>
    <r>
      <rPr>
        <sz val="10"/>
        <color theme="1"/>
        <rFont val="Arial"/>
        <family val="2"/>
      </rPr>
      <t xml:space="preserve"> / R</t>
    </r>
    <r>
      <rPr>
        <vertAlign val="subscript"/>
        <sz val="10"/>
        <color theme="1"/>
        <rFont val="Arial"/>
        <family val="2"/>
      </rPr>
      <t>d</t>
    </r>
    <r>
      <rPr>
        <sz val="10"/>
        <color theme="1"/>
        <rFont val="Arial"/>
        <family val="2"/>
      </rPr>
      <t>R</t>
    </r>
    <r>
      <rPr>
        <vertAlign val="subscript"/>
        <sz val="10"/>
        <color theme="1"/>
        <rFont val="Arial"/>
        <family val="2"/>
      </rPr>
      <t>o</t>
    </r>
  </si>
  <si>
    <r>
      <t>T</t>
    </r>
    <r>
      <rPr>
        <vertAlign val="subscript"/>
        <sz val="10"/>
        <color theme="1"/>
        <rFont val="Arial"/>
        <family val="2"/>
      </rPr>
      <t>a</t>
    </r>
  </si>
  <si>
    <t>s</t>
  </si>
  <si>
    <r>
      <t>S(T</t>
    </r>
    <r>
      <rPr>
        <vertAlign val="subscript"/>
        <sz val="10"/>
        <color theme="1"/>
        <rFont val="Arial"/>
        <family val="2"/>
      </rPr>
      <t>a</t>
    </r>
    <r>
      <rPr>
        <sz val="10"/>
        <color theme="1"/>
        <rFont val="Arial"/>
        <family val="2"/>
      </rPr>
      <t>)</t>
    </r>
  </si>
  <si>
    <r>
      <t>R</t>
    </r>
    <r>
      <rPr>
        <vertAlign val="subscript"/>
        <sz val="10"/>
        <color theme="1"/>
        <rFont val="Arial"/>
        <family val="2"/>
      </rPr>
      <t>d</t>
    </r>
    <r>
      <rPr>
        <sz val="10"/>
        <color theme="1"/>
        <rFont val="Arial"/>
        <family val="2"/>
      </rPr>
      <t>R</t>
    </r>
    <r>
      <rPr>
        <vertAlign val="subscript"/>
        <sz val="10"/>
        <color theme="1"/>
        <rFont val="Arial"/>
        <family val="2"/>
      </rPr>
      <t>o</t>
    </r>
  </si>
  <si>
    <r>
      <t>S</t>
    </r>
    <r>
      <rPr>
        <vertAlign val="subscript"/>
        <sz val="10"/>
        <color indexed="8"/>
        <rFont val="Arial"/>
        <family val="2"/>
      </rPr>
      <t>a</t>
    </r>
    <r>
      <rPr>
        <sz val="10"/>
        <color indexed="8"/>
        <rFont val="Arial"/>
        <family val="2"/>
      </rPr>
      <t>(5.0, X</t>
    </r>
    <r>
      <rPr>
        <vertAlign val="subscript"/>
        <sz val="10"/>
        <color rgb="FF000000"/>
        <rFont val="Arial"/>
        <family val="2"/>
      </rPr>
      <t>D</t>
    </r>
    <r>
      <rPr>
        <sz val="10"/>
        <color indexed="8"/>
        <rFont val="Arial"/>
        <family val="2"/>
      </rPr>
      <t>)</t>
    </r>
  </si>
  <si>
    <r>
      <t>S</t>
    </r>
    <r>
      <rPr>
        <vertAlign val="subscript"/>
        <sz val="10"/>
        <color indexed="8"/>
        <rFont val="Arial"/>
        <family val="2"/>
      </rPr>
      <t>a</t>
    </r>
    <r>
      <rPr>
        <sz val="10"/>
        <color indexed="8"/>
        <rFont val="Arial"/>
        <family val="2"/>
      </rPr>
      <t>(10.0, X</t>
    </r>
    <r>
      <rPr>
        <vertAlign val="subscript"/>
        <sz val="10"/>
        <color rgb="FF000000"/>
        <rFont val="Arial"/>
        <family val="2"/>
      </rPr>
      <t>D</t>
    </r>
    <r>
      <rPr>
        <sz val="10"/>
        <color indexed="8"/>
        <rFont val="Arial"/>
        <family val="2"/>
      </rPr>
      <t>)</t>
    </r>
  </si>
  <si>
    <t>S(5.0)</t>
  </si>
  <si>
    <t>S(10.0)</t>
  </si>
  <si>
    <t>The respective seismic forces are applied at the component centroids, measured from underside of foundation:</t>
  </si>
  <si>
    <r>
      <t>h</t>
    </r>
    <r>
      <rPr>
        <vertAlign val="subscript"/>
        <sz val="10"/>
        <color theme="1"/>
        <rFont val="Arial"/>
        <family val="2"/>
      </rPr>
      <t>pump</t>
    </r>
  </si>
  <si>
    <r>
      <t>V</t>
    </r>
    <r>
      <rPr>
        <vertAlign val="subscript"/>
        <sz val="10"/>
        <color theme="1"/>
        <rFont val="Arial"/>
        <family val="2"/>
      </rPr>
      <t>tot</t>
    </r>
  </si>
  <si>
    <r>
      <t>M</t>
    </r>
    <r>
      <rPr>
        <vertAlign val="subscript"/>
        <sz val="10"/>
        <color theme="1"/>
        <rFont val="Arial"/>
        <family val="2"/>
      </rPr>
      <t>tot</t>
    </r>
  </si>
  <si>
    <t>kN.m</t>
  </si>
  <si>
    <t>i. Equipment Seismic Force:</t>
  </si>
  <si>
    <t>iii. Total Base Shear and Moment:</t>
  </si>
  <si>
    <t>Operating:</t>
  </si>
  <si>
    <t xml:space="preserve">LC 1: </t>
  </si>
  <si>
    <t xml:space="preserve">LC 2: </t>
  </si>
  <si>
    <t>Seismic:</t>
  </si>
  <si>
    <t xml:space="preserve">LC 3: </t>
  </si>
  <si>
    <r>
      <t>P</t>
    </r>
    <r>
      <rPr>
        <vertAlign val="subscript"/>
        <sz val="10"/>
        <color theme="1"/>
        <rFont val="Arial"/>
        <family val="2"/>
      </rPr>
      <t>f</t>
    </r>
  </si>
  <si>
    <r>
      <t>V</t>
    </r>
    <r>
      <rPr>
        <vertAlign val="subscript"/>
        <sz val="10"/>
        <color theme="1"/>
        <rFont val="Arial"/>
        <family val="2"/>
      </rPr>
      <t>f</t>
    </r>
  </si>
  <si>
    <r>
      <t>The pile compression loading = P</t>
    </r>
    <r>
      <rPr>
        <vertAlign val="subscript"/>
        <sz val="10"/>
        <color theme="1"/>
        <rFont val="Arial"/>
        <family val="2"/>
      </rPr>
      <t>f</t>
    </r>
    <r>
      <rPr>
        <sz val="10"/>
        <color theme="1"/>
        <rFont val="Arial"/>
        <family val="2"/>
      </rPr>
      <t xml:space="preserve"> / N</t>
    </r>
    <r>
      <rPr>
        <vertAlign val="subscript"/>
        <sz val="10"/>
        <color theme="1"/>
        <rFont val="Arial"/>
        <family val="2"/>
      </rPr>
      <t>p</t>
    </r>
    <r>
      <rPr>
        <sz val="10"/>
        <color theme="1"/>
        <rFont val="Arial"/>
        <family val="2"/>
      </rPr>
      <t xml:space="preserve"> + M</t>
    </r>
    <r>
      <rPr>
        <vertAlign val="subscript"/>
        <sz val="10"/>
        <color theme="1"/>
        <rFont val="Arial"/>
        <family val="2"/>
      </rPr>
      <t>f</t>
    </r>
    <r>
      <rPr>
        <sz val="10"/>
        <color theme="1"/>
        <rFont val="Arial"/>
        <family val="2"/>
      </rPr>
      <t xml:space="preserve"> / s / N</t>
    </r>
    <r>
      <rPr>
        <vertAlign val="subscript"/>
        <sz val="10"/>
        <color theme="1"/>
        <rFont val="Arial"/>
        <family val="2"/>
      </rPr>
      <t>p,M</t>
    </r>
  </si>
  <si>
    <r>
      <t>M</t>
    </r>
    <r>
      <rPr>
        <vertAlign val="subscript"/>
        <sz val="10"/>
        <color theme="1"/>
        <rFont val="Arial"/>
        <family val="2"/>
      </rPr>
      <t>f</t>
    </r>
  </si>
  <si>
    <t>total factored vertical force</t>
  </si>
  <si>
    <t>total factored lateral force</t>
  </si>
  <si>
    <t>total factored moment, at underside of foundation</t>
  </si>
  <si>
    <t>: pile spacing in transverse direction</t>
  </si>
  <si>
    <r>
      <t>N</t>
    </r>
    <r>
      <rPr>
        <vertAlign val="subscript"/>
        <sz val="10"/>
        <color theme="1"/>
        <rFont val="Arial"/>
        <family val="2"/>
      </rPr>
      <t>p</t>
    </r>
  </si>
  <si>
    <r>
      <t>N</t>
    </r>
    <r>
      <rPr>
        <vertAlign val="subscript"/>
        <sz val="10"/>
        <color theme="1"/>
        <rFont val="Arial"/>
        <family val="2"/>
      </rPr>
      <t>p,M</t>
    </r>
  </si>
  <si>
    <t>: number of piles</t>
  </si>
  <si>
    <r>
      <t>: number of piles resisting moment couple force = N</t>
    </r>
    <r>
      <rPr>
        <vertAlign val="subscript"/>
        <sz val="10"/>
        <color theme="1"/>
        <rFont val="Arial"/>
        <family val="2"/>
      </rPr>
      <t>p</t>
    </r>
    <r>
      <rPr>
        <sz val="10"/>
        <color theme="1"/>
        <rFont val="Arial"/>
        <family val="2"/>
      </rPr>
      <t xml:space="preserve"> / 2</t>
    </r>
  </si>
  <si>
    <r>
      <t>P</t>
    </r>
    <r>
      <rPr>
        <vertAlign val="subscript"/>
        <sz val="10"/>
        <color theme="1"/>
        <rFont val="Arial"/>
        <family val="2"/>
      </rPr>
      <t>f</t>
    </r>
    <r>
      <rPr>
        <sz val="10"/>
        <color theme="1"/>
        <rFont val="Arial"/>
        <family val="2"/>
      </rPr>
      <t xml:space="preserve">
[kN]</t>
    </r>
  </si>
  <si>
    <r>
      <t>V</t>
    </r>
    <r>
      <rPr>
        <vertAlign val="subscript"/>
        <sz val="10"/>
        <color theme="1"/>
        <rFont val="Arial"/>
        <family val="2"/>
      </rPr>
      <t>f</t>
    </r>
    <r>
      <rPr>
        <sz val="10"/>
        <color theme="1"/>
        <rFont val="Arial"/>
        <family val="2"/>
      </rPr>
      <t xml:space="preserve">
[kN]</t>
    </r>
  </si>
  <si>
    <r>
      <t>C</t>
    </r>
    <r>
      <rPr>
        <vertAlign val="subscript"/>
        <sz val="10"/>
        <color theme="1"/>
        <rFont val="Arial"/>
        <family val="2"/>
      </rPr>
      <t>f</t>
    </r>
    <r>
      <rPr>
        <sz val="10"/>
        <color theme="1"/>
        <rFont val="Arial"/>
        <family val="2"/>
      </rPr>
      <t xml:space="preserve">
[kN]</t>
    </r>
  </si>
  <si>
    <t>Pile Forces</t>
  </si>
  <si>
    <t>LC 1</t>
  </si>
  <si>
    <t>LC 2</t>
  </si>
  <si>
    <t>LC 3</t>
  </si>
  <si>
    <t>kN/m</t>
  </si>
  <si>
    <t>: length of pile cap</t>
  </si>
  <si>
    <r>
      <t>D</t>
    </r>
    <r>
      <rPr>
        <vertAlign val="subscript"/>
        <sz val="10"/>
        <color theme="1"/>
        <rFont val="Arial"/>
        <family val="2"/>
      </rPr>
      <t>p</t>
    </r>
  </si>
  <si>
    <t>: Pile diameter</t>
  </si>
  <si>
    <r>
      <t>mm</t>
    </r>
    <r>
      <rPr>
        <vertAlign val="superscript"/>
        <sz val="10"/>
        <color theme="1"/>
        <rFont val="Arial"/>
        <family val="2"/>
      </rPr>
      <t>2</t>
    </r>
  </si>
  <si>
    <r>
      <t>mm</t>
    </r>
    <r>
      <rPr>
        <vertAlign val="superscript"/>
        <sz val="10"/>
        <color theme="1"/>
        <rFont val="Arial"/>
        <family val="2"/>
      </rPr>
      <t>4</t>
    </r>
  </si>
  <si>
    <t>MPa</t>
  </si>
  <si>
    <t>k</t>
  </si>
  <si>
    <t>λ</t>
  </si>
  <si>
    <r>
      <t>M</t>
    </r>
    <r>
      <rPr>
        <vertAlign val="subscript"/>
        <sz val="10"/>
        <color theme="1"/>
        <rFont val="Arial"/>
        <family val="2"/>
      </rPr>
      <t>r</t>
    </r>
  </si>
  <si>
    <t>&lt; 1.0, OK</t>
  </si>
  <si>
    <r>
      <t>L</t>
    </r>
    <r>
      <rPr>
        <vertAlign val="subscript"/>
        <sz val="10"/>
        <color theme="1"/>
        <rFont val="Arial"/>
        <family val="2"/>
      </rPr>
      <t>weld</t>
    </r>
  </si>
  <si>
    <r>
      <t>V</t>
    </r>
    <r>
      <rPr>
        <vertAlign val="subscript"/>
        <sz val="10"/>
        <color theme="1"/>
        <rFont val="Arial"/>
        <family val="2"/>
      </rPr>
      <t>r,weld</t>
    </r>
  </si>
  <si>
    <r>
      <t>(V</t>
    </r>
    <r>
      <rPr>
        <vertAlign val="subscript"/>
        <sz val="10"/>
        <color theme="1"/>
        <rFont val="Arial"/>
        <family val="2"/>
      </rPr>
      <t>f</t>
    </r>
    <r>
      <rPr>
        <vertAlign val="superscript"/>
        <sz val="10"/>
        <color theme="1"/>
        <rFont val="Arial"/>
        <family val="2"/>
      </rPr>
      <t>2</t>
    </r>
    <r>
      <rPr>
        <sz val="10"/>
        <color theme="1"/>
        <rFont val="Arial"/>
        <family val="2"/>
      </rPr>
      <t xml:space="preserve"> + T</t>
    </r>
    <r>
      <rPr>
        <vertAlign val="subscript"/>
        <sz val="10"/>
        <color theme="1"/>
        <rFont val="Arial"/>
        <family val="2"/>
      </rPr>
      <t>f</t>
    </r>
    <r>
      <rPr>
        <vertAlign val="superscript"/>
        <sz val="10"/>
        <color theme="1"/>
        <rFont val="Arial"/>
        <family val="2"/>
      </rPr>
      <t>2</t>
    </r>
    <r>
      <rPr>
        <sz val="10"/>
        <color theme="1"/>
        <rFont val="Arial"/>
        <family val="2"/>
      </rPr>
      <t>)</t>
    </r>
    <r>
      <rPr>
        <vertAlign val="superscript"/>
        <sz val="10"/>
        <color theme="1"/>
        <rFont val="Arial"/>
        <family val="2"/>
      </rPr>
      <t>0.5</t>
    </r>
  </si>
  <si>
    <t>As per P07-019-MEC-FDN-04-3000, the pile is welded to the pile cap with an 8 mm fillet weld, all around.</t>
  </si>
  <si>
    <r>
      <t>: L</t>
    </r>
    <r>
      <rPr>
        <vertAlign val="subscript"/>
        <sz val="10"/>
        <color theme="1"/>
        <rFont val="Arial"/>
        <family val="2"/>
      </rPr>
      <t>weld</t>
    </r>
    <r>
      <rPr>
        <sz val="10"/>
        <color theme="1"/>
        <rFont val="Arial"/>
        <family val="2"/>
      </rPr>
      <t xml:space="preserve"> * 1.24 kN/mm</t>
    </r>
  </si>
  <si>
    <t>: number of bars</t>
  </si>
  <si>
    <t>: anchor bar diameter spacing</t>
  </si>
  <si>
    <t>B</t>
  </si>
  <si>
    <t>: maximum anchor tension</t>
  </si>
  <si>
    <r>
      <t>d</t>
    </r>
    <r>
      <rPr>
        <vertAlign val="subscript"/>
        <sz val="10"/>
        <color theme="1"/>
        <rFont val="Arial"/>
        <family val="2"/>
      </rPr>
      <t>bar</t>
    </r>
  </si>
  <si>
    <r>
      <t>A</t>
    </r>
    <r>
      <rPr>
        <vertAlign val="subscript"/>
        <sz val="10"/>
        <color theme="1"/>
        <rFont val="Arial"/>
        <family val="2"/>
      </rPr>
      <t>bar</t>
    </r>
  </si>
  <si>
    <t>&lt; 1.0. OK</t>
  </si>
  <si>
    <t>The pile structural capacity is acceptable for the applied forces. OK.</t>
  </si>
  <si>
    <t>Summary:</t>
  </si>
  <si>
    <t>The pile cap is expected to follow minimum reinforcement as per CSA A23.3-19 requirements and ACI 351.3R-18 guidelines.</t>
  </si>
  <si>
    <t>The resulting section bending capacity is checked against the maximum factored bending moment.</t>
  </si>
  <si>
    <t>b</t>
  </si>
  <si>
    <t>h</t>
  </si>
  <si>
    <r>
      <t>A</t>
    </r>
    <r>
      <rPr>
        <vertAlign val="subscript"/>
        <sz val="10"/>
        <rFont val="Arial"/>
        <family val="2"/>
      </rPr>
      <t>s,min</t>
    </r>
  </si>
  <si>
    <r>
      <t>0.002A</t>
    </r>
    <r>
      <rPr>
        <vertAlign val="subscript"/>
        <sz val="10"/>
        <color theme="1"/>
        <rFont val="Arial"/>
        <family val="2"/>
      </rPr>
      <t>g</t>
    </r>
  </si>
  <si>
    <t>25M</t>
  </si>
  <si>
    <t>Pile Cap Geometry and Reinforcement Design:</t>
  </si>
  <si>
    <t>Rebar</t>
  </si>
  <si>
    <t>: nominal area of 25M bar</t>
  </si>
  <si>
    <r>
      <t>n</t>
    </r>
    <r>
      <rPr>
        <vertAlign val="subscript"/>
        <sz val="10"/>
        <color theme="1"/>
        <rFont val="Arial"/>
        <family val="2"/>
      </rPr>
      <t>bar</t>
    </r>
  </si>
  <si>
    <r>
      <t>A</t>
    </r>
    <r>
      <rPr>
        <vertAlign val="subscript"/>
        <sz val="10"/>
        <color theme="1"/>
        <rFont val="Arial"/>
        <family val="2"/>
      </rPr>
      <t>s</t>
    </r>
  </si>
  <si>
    <t>cc</t>
  </si>
  <si>
    <t>: bar clear cover</t>
  </si>
  <si>
    <t>d</t>
  </si>
  <si>
    <r>
      <t>A</t>
    </r>
    <r>
      <rPr>
        <vertAlign val="subscript"/>
        <sz val="10"/>
        <color theme="1"/>
        <rFont val="Arial"/>
        <family val="2"/>
      </rPr>
      <t>s,tot</t>
    </r>
    <r>
      <rPr>
        <sz val="10"/>
        <color theme="1"/>
        <rFont val="Arial"/>
        <family val="2"/>
      </rPr>
      <t xml:space="preserve"> &gt; A</t>
    </r>
    <r>
      <rPr>
        <vertAlign val="subscript"/>
        <sz val="10"/>
        <color theme="1"/>
        <rFont val="Arial"/>
        <family val="2"/>
      </rPr>
      <t>s,min</t>
    </r>
    <r>
      <rPr>
        <sz val="10"/>
        <color theme="1"/>
        <rFont val="Arial"/>
        <family val="2"/>
      </rPr>
      <t>; OK</t>
    </r>
  </si>
  <si>
    <t>ii. Minimum Reinforcement Recommendations per ACI 351.3R-18 Cl. 7.3.2:</t>
  </si>
  <si>
    <t>ACI 351.3R-18 provides recommended reinforcement ratios for large equipment. These recommendations are conservatively used for the pump foundation.</t>
  </si>
  <si>
    <r>
      <t>0.0038A</t>
    </r>
    <r>
      <rPr>
        <vertAlign val="subscript"/>
        <sz val="10"/>
        <color theme="1"/>
        <rFont val="Arial"/>
        <family val="2"/>
      </rPr>
      <t>g</t>
    </r>
  </si>
  <si>
    <t>iii. Minimum Flexural Reinforcement; CSA A23.3-19 Cl. 10.5.1.1</t>
  </si>
  <si>
    <t>The pile cap is considered a flexural member:</t>
  </si>
  <si>
    <t>&gt;</t>
  </si>
  <si>
    <r>
      <t>1.2M</t>
    </r>
    <r>
      <rPr>
        <vertAlign val="subscript"/>
        <sz val="10"/>
        <color theme="1"/>
        <rFont val="Arial"/>
        <family val="2"/>
      </rPr>
      <t>cr</t>
    </r>
  </si>
  <si>
    <r>
      <t>M</t>
    </r>
    <r>
      <rPr>
        <vertAlign val="subscript"/>
        <sz val="10"/>
        <color theme="1"/>
        <rFont val="Arial"/>
        <family val="2"/>
      </rPr>
      <t>cr</t>
    </r>
  </si>
  <si>
    <r>
      <t>f</t>
    </r>
    <r>
      <rPr>
        <vertAlign val="subscript"/>
        <sz val="10"/>
        <color theme="1"/>
        <rFont val="Arial"/>
        <family val="2"/>
      </rPr>
      <t>r</t>
    </r>
    <r>
      <rPr>
        <sz val="10"/>
        <color theme="1"/>
        <rFont val="Arial"/>
        <family val="2"/>
      </rPr>
      <t>I</t>
    </r>
    <r>
      <rPr>
        <vertAlign val="subscript"/>
        <sz val="10"/>
        <color theme="1"/>
        <rFont val="Arial"/>
        <family val="2"/>
      </rPr>
      <t>g</t>
    </r>
    <r>
      <rPr>
        <sz val="10"/>
        <color theme="1"/>
        <rFont val="Arial"/>
        <family val="2"/>
      </rPr>
      <t xml:space="preserve"> / y</t>
    </r>
    <r>
      <rPr>
        <vertAlign val="subscript"/>
        <sz val="10"/>
        <color theme="1"/>
        <rFont val="Arial"/>
        <family val="2"/>
      </rPr>
      <t>t</t>
    </r>
  </si>
  <si>
    <r>
      <t>f</t>
    </r>
    <r>
      <rPr>
        <vertAlign val="subscript"/>
        <sz val="10"/>
        <color theme="1"/>
        <rFont val="Arial"/>
        <family val="2"/>
      </rPr>
      <t>r</t>
    </r>
  </si>
  <si>
    <r>
      <t>0.6λ√f'</t>
    </r>
    <r>
      <rPr>
        <vertAlign val="subscript"/>
        <sz val="10"/>
        <color theme="1"/>
        <rFont val="Arial"/>
        <family val="2"/>
      </rPr>
      <t>c</t>
    </r>
  </si>
  <si>
    <r>
      <t>I</t>
    </r>
    <r>
      <rPr>
        <vertAlign val="subscript"/>
        <sz val="10"/>
        <color theme="1"/>
        <rFont val="Arial"/>
        <family val="2"/>
      </rPr>
      <t>g</t>
    </r>
  </si>
  <si>
    <r>
      <t>: Section gross moment of inertia, 1/12*b*h</t>
    </r>
    <r>
      <rPr>
        <vertAlign val="superscript"/>
        <sz val="10"/>
        <color theme="1"/>
        <rFont val="Arial"/>
        <family val="2"/>
      </rPr>
      <t>3</t>
    </r>
  </si>
  <si>
    <r>
      <t>y</t>
    </r>
    <r>
      <rPr>
        <vertAlign val="subscript"/>
        <sz val="10"/>
        <color theme="1"/>
        <rFont val="Arial"/>
        <family val="2"/>
      </rPr>
      <t>t</t>
    </r>
  </si>
  <si>
    <t>: distance to extreme tension fiber, h / 2</t>
  </si>
  <si>
    <t>: cracking moment</t>
  </si>
  <si>
    <t>: minimum moment resistance</t>
  </si>
  <si>
    <t>: concrete modulus of rupture, Cl. 8.6.4</t>
  </si>
  <si>
    <r>
      <rPr>
        <sz val="10"/>
        <rFont val="Arial"/>
        <family val="2"/>
      </rPr>
      <t>φ</t>
    </r>
    <r>
      <rPr>
        <vertAlign val="subscript"/>
        <sz val="10"/>
        <rFont val="Arial"/>
        <family val="2"/>
      </rPr>
      <t>c</t>
    </r>
  </si>
  <si>
    <r>
      <t>f'</t>
    </r>
    <r>
      <rPr>
        <vertAlign val="subscript"/>
        <sz val="10"/>
        <rFont val="Arial"/>
        <family val="2"/>
      </rPr>
      <t>c</t>
    </r>
  </si>
  <si>
    <r>
      <rPr>
        <sz val="10"/>
        <rFont val="Arial"/>
        <family val="2"/>
      </rPr>
      <t>α</t>
    </r>
    <r>
      <rPr>
        <vertAlign val="subscript"/>
        <sz val="10"/>
        <rFont val="Arial"/>
        <family val="2"/>
      </rPr>
      <t>1</t>
    </r>
  </si>
  <si>
    <t>β</t>
  </si>
  <si>
    <t>Steel Rebar:</t>
  </si>
  <si>
    <r>
      <rPr>
        <sz val="10"/>
        <rFont val="Arial"/>
        <family val="2"/>
      </rPr>
      <t>φ</t>
    </r>
    <r>
      <rPr>
        <vertAlign val="subscript"/>
        <sz val="10"/>
        <rFont val="Arial"/>
        <family val="2"/>
      </rPr>
      <t>s</t>
    </r>
  </si>
  <si>
    <r>
      <t>f</t>
    </r>
    <r>
      <rPr>
        <vertAlign val="subscript"/>
        <sz val="10"/>
        <rFont val="Arial"/>
        <family val="2"/>
      </rPr>
      <t>y</t>
    </r>
  </si>
  <si>
    <r>
      <t>: 0.85 - 0.0015f'</t>
    </r>
    <r>
      <rPr>
        <vertAlign val="subscript"/>
        <sz val="10"/>
        <rFont val="Arial"/>
        <family val="2"/>
      </rPr>
      <t>c</t>
    </r>
    <r>
      <rPr>
        <sz val="10"/>
        <color theme="1"/>
        <rFont val="Arial"/>
        <family val="2"/>
      </rPr>
      <t>; A23.3-19 Cl. 10.1.7</t>
    </r>
  </si>
  <si>
    <r>
      <t>: 0.97 - 0.0025f'</t>
    </r>
    <r>
      <rPr>
        <vertAlign val="subscript"/>
        <sz val="10"/>
        <rFont val="Arial"/>
        <family val="2"/>
      </rPr>
      <t>c</t>
    </r>
    <r>
      <rPr>
        <sz val="10"/>
        <color theme="1"/>
        <rFont val="Arial"/>
        <family val="2"/>
      </rPr>
      <t>; A23.3-19 Cl. 10.1.7</t>
    </r>
  </si>
  <si>
    <t>Cracking Moment:</t>
  </si>
  <si>
    <t>Moment Resistance:</t>
  </si>
  <si>
    <r>
      <t>&lt; 1.2 M</t>
    </r>
    <r>
      <rPr>
        <vertAlign val="subscript"/>
        <sz val="10"/>
        <color theme="1"/>
        <rFont val="Arial"/>
        <family val="2"/>
      </rPr>
      <t>cr</t>
    </r>
    <r>
      <rPr>
        <sz val="10"/>
        <color theme="1"/>
        <rFont val="Arial"/>
        <family val="2"/>
      </rPr>
      <t>; Not OK</t>
    </r>
  </si>
  <si>
    <r>
      <t>However, as per CSA A23.3-19 Cl. 10.5.1.3, the requirement may be waived if M</t>
    </r>
    <r>
      <rPr>
        <vertAlign val="subscript"/>
        <sz val="10"/>
        <color theme="1"/>
        <rFont val="Arial"/>
        <family val="2"/>
      </rPr>
      <t>r</t>
    </r>
    <r>
      <rPr>
        <sz val="10"/>
        <color theme="1"/>
        <rFont val="Arial"/>
        <family val="2"/>
      </rPr>
      <t xml:space="preserve"> &gt; 1.33 M</t>
    </r>
    <r>
      <rPr>
        <vertAlign val="subscript"/>
        <sz val="10"/>
        <color theme="1"/>
        <rFont val="Arial"/>
        <family val="2"/>
      </rPr>
      <t>f</t>
    </r>
    <r>
      <rPr>
        <sz val="10"/>
        <color theme="1"/>
        <rFont val="Arial"/>
        <family val="2"/>
      </rPr>
      <t>.</t>
    </r>
  </si>
  <si>
    <r>
      <t>Refer below for calculation of M</t>
    </r>
    <r>
      <rPr>
        <vertAlign val="subscript"/>
        <sz val="10"/>
        <color theme="1"/>
        <rFont val="Arial"/>
        <family val="2"/>
      </rPr>
      <t>f</t>
    </r>
    <r>
      <rPr>
        <sz val="10"/>
        <color theme="1"/>
        <rFont val="Arial"/>
        <family val="2"/>
      </rPr>
      <t>.</t>
    </r>
  </si>
  <si>
    <t>: factored moment capacity of section</t>
  </si>
  <si>
    <t>&lt; 1.0 OK.</t>
  </si>
  <si>
    <t>In fact, the cracking moment resistance of the section is much larger than the factored moment.</t>
  </si>
  <si>
    <r>
      <t>d</t>
    </r>
    <r>
      <rPr>
        <vertAlign val="subscript"/>
        <sz val="10"/>
        <color theme="1"/>
        <rFont val="Arial"/>
        <family val="2"/>
      </rPr>
      <t>v</t>
    </r>
  </si>
  <si>
    <t>: width of shear critical section, b</t>
  </si>
  <si>
    <r>
      <t>M</t>
    </r>
    <r>
      <rPr>
        <b/>
        <vertAlign val="subscript"/>
        <sz val="10"/>
        <color theme="1"/>
        <rFont val="Arial"/>
        <family val="2"/>
      </rPr>
      <t>f</t>
    </r>
    <r>
      <rPr>
        <b/>
        <sz val="10"/>
        <color theme="1"/>
        <rFont val="Arial"/>
        <family val="2"/>
      </rPr>
      <t xml:space="preserve"> / M</t>
    </r>
    <r>
      <rPr>
        <b/>
        <vertAlign val="subscript"/>
        <sz val="10"/>
        <color theme="1"/>
        <rFont val="Arial"/>
        <family val="2"/>
      </rPr>
      <t>r</t>
    </r>
  </si>
  <si>
    <t>One-way shear resistance is calculated as per CSA A23.3-19 Cl. 11.3.4:</t>
  </si>
  <si>
    <r>
      <t>V</t>
    </r>
    <r>
      <rPr>
        <vertAlign val="subscript"/>
        <sz val="10"/>
        <color theme="1"/>
        <rFont val="Arial"/>
        <family val="2"/>
      </rPr>
      <t>c</t>
    </r>
  </si>
  <si>
    <r>
      <t>φ</t>
    </r>
    <r>
      <rPr>
        <vertAlign val="subscript"/>
        <sz val="10"/>
        <color theme="1"/>
        <rFont val="Arial"/>
        <family val="2"/>
      </rPr>
      <t>c</t>
    </r>
    <r>
      <rPr>
        <sz val="10"/>
        <color theme="1"/>
        <rFont val="Arial"/>
        <family val="2"/>
      </rPr>
      <t>λβ√f'</t>
    </r>
    <r>
      <rPr>
        <vertAlign val="subscript"/>
        <sz val="10"/>
        <color theme="1"/>
        <rFont val="Arial"/>
        <family val="2"/>
      </rPr>
      <t>c</t>
    </r>
    <r>
      <rPr>
        <sz val="10"/>
        <color theme="1"/>
        <rFont val="Arial"/>
        <family val="2"/>
      </rPr>
      <t>b</t>
    </r>
    <r>
      <rPr>
        <vertAlign val="subscript"/>
        <sz val="10"/>
        <color theme="1"/>
        <rFont val="Arial"/>
        <family val="2"/>
      </rPr>
      <t>w</t>
    </r>
    <r>
      <rPr>
        <sz val="10"/>
        <color theme="1"/>
        <rFont val="Arial"/>
        <family val="2"/>
      </rPr>
      <t>d</t>
    </r>
    <r>
      <rPr>
        <vertAlign val="subscript"/>
        <sz val="10"/>
        <color theme="1"/>
        <rFont val="Arial"/>
        <family val="2"/>
      </rPr>
      <t>v</t>
    </r>
  </si>
  <si>
    <t>: section shear capacity, Cl. 11.3.4</t>
  </si>
  <si>
    <r>
      <t>b</t>
    </r>
    <r>
      <rPr>
        <vertAlign val="subscript"/>
        <sz val="10"/>
        <color theme="1"/>
        <rFont val="Arial"/>
        <family val="2"/>
      </rPr>
      <t>w</t>
    </r>
  </si>
  <si>
    <r>
      <t>V</t>
    </r>
    <r>
      <rPr>
        <b/>
        <vertAlign val="subscript"/>
        <sz val="10"/>
        <rFont val="Arial"/>
        <family val="2"/>
      </rPr>
      <t>f</t>
    </r>
    <r>
      <rPr>
        <b/>
        <sz val="10"/>
        <rFont val="Arial"/>
        <family val="2"/>
      </rPr>
      <t xml:space="preserve"> / V</t>
    </r>
    <r>
      <rPr>
        <b/>
        <vertAlign val="subscript"/>
        <sz val="10"/>
        <rFont val="Arial"/>
        <family val="2"/>
      </rPr>
      <t>c</t>
    </r>
  </si>
  <si>
    <r>
      <t>: Cl. 11.3.6.3b; 230 / (1000+d</t>
    </r>
    <r>
      <rPr>
        <vertAlign val="subscript"/>
        <sz val="10"/>
        <rFont val="Arial"/>
        <family val="2"/>
      </rPr>
      <t>v</t>
    </r>
    <r>
      <rPr>
        <sz val="10"/>
        <color theme="1"/>
        <rFont val="Arial"/>
        <family val="2"/>
      </rPr>
      <t>), no shear reinforcement provided</t>
    </r>
  </si>
  <si>
    <t>Check for "Deep Flexural Member"</t>
  </si>
  <si>
    <r>
      <t>s</t>
    </r>
    <r>
      <rPr>
        <vertAlign val="subscript"/>
        <sz val="10"/>
        <color theme="1"/>
        <rFont val="Arial"/>
        <family val="2"/>
      </rPr>
      <t>pile</t>
    </r>
  </si>
  <si>
    <r>
      <t>d</t>
    </r>
    <r>
      <rPr>
        <vertAlign val="subscript"/>
        <sz val="10"/>
        <color theme="1"/>
        <rFont val="Arial"/>
        <family val="2"/>
      </rPr>
      <t>pile</t>
    </r>
  </si>
  <si>
    <r>
      <t>s</t>
    </r>
    <r>
      <rPr>
        <vertAlign val="subscript"/>
        <sz val="10"/>
        <color theme="1"/>
        <rFont val="Arial"/>
        <family val="2"/>
      </rPr>
      <t>clear</t>
    </r>
  </si>
  <si>
    <t>: pile diameter</t>
  </si>
  <si>
    <r>
      <t>: clear span = s</t>
    </r>
    <r>
      <rPr>
        <vertAlign val="subscript"/>
        <sz val="10"/>
        <color theme="1"/>
        <rFont val="Arial"/>
        <family val="2"/>
      </rPr>
      <t>pile</t>
    </r>
    <r>
      <rPr>
        <sz val="10"/>
        <color theme="1"/>
        <rFont val="Arial"/>
        <family val="2"/>
      </rPr>
      <t xml:space="preserve"> - d</t>
    </r>
    <r>
      <rPr>
        <vertAlign val="subscript"/>
        <sz val="10"/>
        <color theme="1"/>
        <rFont val="Arial"/>
        <family val="2"/>
      </rPr>
      <t>pile</t>
    </r>
  </si>
  <si>
    <t>: pile spacing, longitudinal direction</t>
  </si>
  <si>
    <r>
      <t>s</t>
    </r>
    <r>
      <rPr>
        <vertAlign val="subscript"/>
        <sz val="10"/>
        <color theme="1"/>
        <rFont val="Arial"/>
        <family val="2"/>
      </rPr>
      <t>clear</t>
    </r>
    <r>
      <rPr>
        <sz val="10"/>
        <color theme="1"/>
        <rFont val="Arial"/>
        <family val="2"/>
      </rPr>
      <t xml:space="preserve"> / h</t>
    </r>
  </si>
  <si>
    <t>Punching shear at the pile is checked as per CSA A23.3-19 Cl. 13.3.6 Alternate Analysis for Corner Columns.</t>
  </si>
  <si>
    <t>: section shear capacity, Cl. 13.3.6</t>
  </si>
  <si>
    <r>
      <t>b</t>
    </r>
    <r>
      <rPr>
        <vertAlign val="subscript"/>
        <sz val="10"/>
        <color theme="1"/>
        <rFont val="Arial"/>
        <family val="2"/>
      </rPr>
      <t>o</t>
    </r>
  </si>
  <si>
    <r>
      <t>φ</t>
    </r>
    <r>
      <rPr>
        <vertAlign val="subscript"/>
        <sz val="10"/>
        <color theme="1"/>
        <rFont val="Arial"/>
        <family val="2"/>
      </rPr>
      <t>c</t>
    </r>
    <r>
      <rPr>
        <sz val="10"/>
        <color theme="1"/>
        <rFont val="Arial"/>
        <family val="2"/>
      </rPr>
      <t>λβ√f'</t>
    </r>
    <r>
      <rPr>
        <vertAlign val="subscript"/>
        <sz val="10"/>
        <color theme="1"/>
        <rFont val="Arial"/>
        <family val="2"/>
      </rPr>
      <t>c</t>
    </r>
    <r>
      <rPr>
        <sz val="10"/>
        <color theme="1"/>
        <rFont val="Arial"/>
        <family val="2"/>
      </rPr>
      <t>b</t>
    </r>
    <r>
      <rPr>
        <vertAlign val="subscript"/>
        <sz val="10"/>
        <color theme="1"/>
        <rFont val="Arial"/>
        <family val="2"/>
      </rPr>
      <t>o</t>
    </r>
    <r>
      <rPr>
        <sz val="10"/>
        <color theme="1"/>
        <rFont val="Arial"/>
        <family val="2"/>
      </rPr>
      <t>d</t>
    </r>
    <r>
      <rPr>
        <vertAlign val="subscript"/>
        <sz val="10"/>
        <color theme="1"/>
        <rFont val="Arial"/>
        <family val="2"/>
      </rPr>
      <t>v</t>
    </r>
  </si>
  <si>
    <t>: effective shear depth, max(0.9d, 0.72h)</t>
  </si>
  <si>
    <t>RF</t>
  </si>
  <si>
    <t>1300 / (1000 + d)</t>
  </si>
  <si>
    <t>: reduction in shear resistance due to member depth; Cl. 13.3.4.3</t>
  </si>
  <si>
    <t>&lt; 1.0. OK.</t>
  </si>
  <si>
    <r>
      <t>: reduced shear capacity; V</t>
    </r>
    <r>
      <rPr>
        <vertAlign val="subscript"/>
        <sz val="10"/>
        <color theme="1"/>
        <rFont val="Arial"/>
        <family val="2"/>
      </rPr>
      <t>c</t>
    </r>
    <r>
      <rPr>
        <sz val="10"/>
        <color theme="1"/>
        <rFont val="Arial"/>
        <family val="2"/>
      </rPr>
      <t xml:space="preserve"> * RF</t>
    </r>
  </si>
  <si>
    <r>
      <t>V'</t>
    </r>
    <r>
      <rPr>
        <vertAlign val="subscript"/>
        <sz val="10"/>
        <color theme="1"/>
        <rFont val="Arial"/>
        <family val="2"/>
      </rPr>
      <t>c</t>
    </r>
  </si>
  <si>
    <r>
      <t>C</t>
    </r>
    <r>
      <rPr>
        <vertAlign val="subscript"/>
        <sz val="10"/>
        <color theme="1"/>
        <rFont val="Arial"/>
        <family val="2"/>
      </rPr>
      <t>f</t>
    </r>
    <r>
      <rPr>
        <sz val="10"/>
        <color theme="1"/>
        <rFont val="Arial"/>
        <family val="2"/>
      </rPr>
      <t xml:space="preserve"> / V'</t>
    </r>
    <r>
      <rPr>
        <vertAlign val="subscript"/>
        <sz val="10"/>
        <color theme="1"/>
        <rFont val="Arial"/>
        <family val="2"/>
      </rPr>
      <t>c</t>
    </r>
  </si>
  <si>
    <t>As per CSA A23.3-19 Cl. 10.6.2, perimeter skin reinforcement is provided for members with an overall depth exceeding 750 mm:</t>
  </si>
  <si>
    <r>
      <t>L</t>
    </r>
    <r>
      <rPr>
        <vertAlign val="subscript"/>
        <sz val="10"/>
        <rFont val="Arial"/>
        <family val="2"/>
      </rPr>
      <t>s</t>
    </r>
  </si>
  <si>
    <r>
      <t>w</t>
    </r>
    <r>
      <rPr>
        <vertAlign val="subscript"/>
        <sz val="10"/>
        <rFont val="Arial"/>
        <family val="2"/>
      </rPr>
      <t>s</t>
    </r>
  </si>
  <si>
    <r>
      <t>A</t>
    </r>
    <r>
      <rPr>
        <vertAlign val="subscript"/>
        <sz val="10"/>
        <rFont val="Arial"/>
        <family val="2"/>
      </rPr>
      <t>cs</t>
    </r>
  </si>
  <si>
    <r>
      <t>A</t>
    </r>
    <r>
      <rPr>
        <vertAlign val="subscript"/>
        <sz val="10"/>
        <rFont val="Arial"/>
        <family val="2"/>
      </rPr>
      <t>sk, req</t>
    </r>
  </si>
  <si>
    <r>
      <t>A</t>
    </r>
    <r>
      <rPr>
        <vertAlign val="subscript"/>
        <sz val="10"/>
        <rFont val="Arial"/>
        <family val="2"/>
      </rPr>
      <t>sk</t>
    </r>
  </si>
  <si>
    <r>
      <t>c</t>
    </r>
    <r>
      <rPr>
        <vertAlign val="subscript"/>
        <sz val="10"/>
        <color theme="1"/>
        <rFont val="Arial"/>
        <family val="2"/>
      </rPr>
      <t>bot</t>
    </r>
  </si>
  <si>
    <t>: bar clear cover at bottom; 100 mm pile embedment + 50 mm cover</t>
  </si>
  <si>
    <r>
      <t>: effective depth of reinforcement = h - cc</t>
    </r>
    <r>
      <rPr>
        <vertAlign val="subscript"/>
        <sz val="10"/>
        <color theme="1"/>
        <rFont val="Arial"/>
        <family val="2"/>
      </rPr>
      <t>bot</t>
    </r>
    <r>
      <rPr>
        <sz val="10"/>
        <color theme="1"/>
        <rFont val="Arial"/>
        <family val="2"/>
      </rPr>
      <t xml:space="preserve"> - 1.5d</t>
    </r>
    <r>
      <rPr>
        <vertAlign val="subscript"/>
        <sz val="10"/>
        <color theme="1"/>
        <rFont val="Arial"/>
        <family val="2"/>
      </rPr>
      <t>bar</t>
    </r>
  </si>
  <si>
    <t>: effective depth of reinforcement</t>
  </si>
  <si>
    <t>: length of strip to place skin reinforcement; 0.5h - 2*(h-d)</t>
  </si>
  <si>
    <r>
      <t>ρ</t>
    </r>
    <r>
      <rPr>
        <vertAlign val="subscript"/>
        <sz val="10"/>
        <color theme="1"/>
        <rFont val="Arial"/>
        <family val="2"/>
      </rPr>
      <t>sk</t>
    </r>
  </si>
  <si>
    <t>: area for placement of skin reinf.</t>
  </si>
  <si>
    <t>: reinforcement ratio for skin reinf. ; exterior exposure</t>
  </si>
  <si>
    <t>&gt; 750 mm, therefore skin reinforcement is required</t>
  </si>
  <si>
    <t>As per Cl. 10.6.2, maximum skin reinforcement spacing = 200 mm.</t>
  </si>
  <si>
    <t>Shape of Load/Reaction Area:</t>
  </si>
  <si>
    <t>As per CSA A23.3-19 Cl. 13.3.3.3.2, a circular load area may be treated as a square of equal area when determining critical section for two-way shear calculations.</t>
  </si>
  <si>
    <t>: diameter of pile</t>
  </si>
  <si>
    <t>: area of pile</t>
  </si>
  <si>
    <r>
      <t>A</t>
    </r>
    <r>
      <rPr>
        <vertAlign val="subscript"/>
        <sz val="10"/>
        <color theme="1"/>
        <rFont val="Arial"/>
        <family val="2"/>
      </rPr>
      <t>pile</t>
    </r>
  </si>
  <si>
    <r>
      <t>b</t>
    </r>
    <r>
      <rPr>
        <vertAlign val="subscript"/>
        <sz val="10"/>
        <color theme="1"/>
        <rFont val="Arial"/>
        <family val="2"/>
      </rPr>
      <t>pile</t>
    </r>
  </si>
  <si>
    <t>: width of equivalent square area</t>
  </si>
  <si>
    <t>d/2</t>
  </si>
  <si>
    <t>: two-way shear perimeter offset</t>
  </si>
  <si>
    <t>The pump skid and foundation are considered to be rigid elements.</t>
  </si>
  <si>
    <t>Therefore, the seismic design category = SC2 and the equivalent static force procedure can be used.</t>
  </si>
  <si>
    <t>: maximum value as per Article 4.1.8.18</t>
  </si>
  <si>
    <t>Material Properties:</t>
  </si>
  <si>
    <t>The anchor bolts are designed for the maximum tension and shear reaction forces.</t>
  </si>
  <si>
    <r>
      <t>The anchor tension / compression loading = P</t>
    </r>
    <r>
      <rPr>
        <vertAlign val="subscript"/>
        <sz val="10"/>
        <color theme="1"/>
        <rFont val="Arial"/>
        <family val="2"/>
      </rPr>
      <t>f</t>
    </r>
    <r>
      <rPr>
        <sz val="10"/>
        <color theme="1"/>
        <rFont val="Arial"/>
        <family val="2"/>
      </rPr>
      <t xml:space="preserve"> / N</t>
    </r>
    <r>
      <rPr>
        <vertAlign val="subscript"/>
        <sz val="10"/>
        <color theme="1"/>
        <rFont val="Arial"/>
        <family val="2"/>
      </rPr>
      <t>a</t>
    </r>
    <r>
      <rPr>
        <sz val="10"/>
        <color theme="1"/>
        <rFont val="Arial"/>
        <family val="2"/>
      </rPr>
      <t xml:space="preserve"> + M</t>
    </r>
    <r>
      <rPr>
        <vertAlign val="subscript"/>
        <sz val="10"/>
        <color theme="1"/>
        <rFont val="Arial"/>
        <family val="2"/>
      </rPr>
      <t>f</t>
    </r>
    <r>
      <rPr>
        <sz val="10"/>
        <color theme="1"/>
        <rFont val="Arial"/>
        <family val="2"/>
      </rPr>
      <t xml:space="preserve"> / s / N</t>
    </r>
    <r>
      <rPr>
        <vertAlign val="subscript"/>
        <sz val="10"/>
        <color theme="1"/>
        <rFont val="Arial"/>
        <family val="2"/>
      </rPr>
      <t>a,M</t>
    </r>
  </si>
  <si>
    <r>
      <t>The anchor shear loading = V</t>
    </r>
    <r>
      <rPr>
        <vertAlign val="subscript"/>
        <sz val="10"/>
        <color theme="1"/>
        <rFont val="Arial"/>
        <family val="2"/>
      </rPr>
      <t>f</t>
    </r>
    <r>
      <rPr>
        <sz val="10"/>
        <color theme="1"/>
        <rFont val="Arial"/>
        <family val="2"/>
      </rPr>
      <t xml:space="preserve"> / N</t>
    </r>
    <r>
      <rPr>
        <vertAlign val="subscript"/>
        <sz val="10"/>
        <color theme="1"/>
        <rFont val="Arial"/>
        <family val="2"/>
      </rPr>
      <t>a</t>
    </r>
  </si>
  <si>
    <r>
      <t>N</t>
    </r>
    <r>
      <rPr>
        <vertAlign val="subscript"/>
        <sz val="10"/>
        <color theme="1"/>
        <rFont val="Arial"/>
        <family val="2"/>
      </rPr>
      <t>a</t>
    </r>
  </si>
  <si>
    <r>
      <t>: number of anchors resisting moment couple force = N</t>
    </r>
    <r>
      <rPr>
        <vertAlign val="subscript"/>
        <sz val="10"/>
        <color theme="1"/>
        <rFont val="Arial"/>
        <family val="2"/>
      </rPr>
      <t>a</t>
    </r>
    <r>
      <rPr>
        <sz val="10"/>
        <color theme="1"/>
        <rFont val="Arial"/>
        <family val="2"/>
      </rPr>
      <t xml:space="preserve"> / 2</t>
    </r>
  </si>
  <si>
    <t>: anchor spacing in transverse direction, from Vendor GA</t>
  </si>
  <si>
    <t>: number of anchors, from Vendor GA</t>
  </si>
  <si>
    <t xml:space="preserve">LC 4: </t>
  </si>
  <si>
    <t>LC 4</t>
  </si>
  <si>
    <t>total factored moment, at underside of pump skid</t>
  </si>
  <si>
    <t>For anchor bolt loading:</t>
  </si>
  <si>
    <r>
      <t>V</t>
    </r>
    <r>
      <rPr>
        <vertAlign val="subscript"/>
        <sz val="10"/>
        <color theme="1"/>
        <rFont val="Arial"/>
        <family val="2"/>
      </rPr>
      <t>pump</t>
    </r>
  </si>
  <si>
    <r>
      <t>: total base shear = V</t>
    </r>
    <r>
      <rPr>
        <vertAlign val="subscript"/>
        <sz val="10"/>
        <color theme="1"/>
        <rFont val="Arial"/>
        <family val="2"/>
      </rPr>
      <t>pump</t>
    </r>
  </si>
  <si>
    <r>
      <t>: anchor moment = (V*h)</t>
    </r>
    <r>
      <rPr>
        <vertAlign val="subscript"/>
        <sz val="10"/>
        <color theme="1"/>
        <rFont val="Arial"/>
        <family val="2"/>
      </rPr>
      <t>pump</t>
    </r>
  </si>
  <si>
    <t>LC 5</t>
  </si>
  <si>
    <t>: maximum compression with shear</t>
  </si>
  <si>
    <t>: maximum compression</t>
  </si>
  <si>
    <t>: maximum tension with shear</t>
  </si>
  <si>
    <t>: maximum seismic compression and shear</t>
  </si>
  <si>
    <t xml:space="preserve">LC 5: </t>
  </si>
  <si>
    <t>: maximum seismic tension and shear</t>
  </si>
  <si>
    <t>Anchor Forces</t>
  </si>
  <si>
    <r>
      <t>T</t>
    </r>
    <r>
      <rPr>
        <vertAlign val="subscript"/>
        <sz val="10"/>
        <rFont val="Arial"/>
        <family val="2"/>
      </rPr>
      <t>pt</t>
    </r>
  </si>
  <si>
    <t>Anchor Bolt Geometry:</t>
  </si>
  <si>
    <r>
      <t>d</t>
    </r>
    <r>
      <rPr>
        <vertAlign val="subscript"/>
        <sz val="10"/>
        <rFont val="Arial"/>
        <family val="2"/>
      </rPr>
      <t>eff</t>
    </r>
  </si>
  <si>
    <r>
      <t>h</t>
    </r>
    <r>
      <rPr>
        <vertAlign val="subscript"/>
        <sz val="10"/>
        <rFont val="Arial"/>
        <family val="2"/>
      </rPr>
      <t>ef</t>
    </r>
  </si>
  <si>
    <r>
      <t>d</t>
    </r>
    <r>
      <rPr>
        <vertAlign val="subscript"/>
        <sz val="10"/>
        <color theme="1"/>
        <rFont val="Arial"/>
        <family val="2"/>
      </rPr>
      <t>h</t>
    </r>
  </si>
  <si>
    <r>
      <t>A</t>
    </r>
    <r>
      <rPr>
        <vertAlign val="subscript"/>
        <sz val="10"/>
        <rFont val="Arial"/>
        <family val="2"/>
      </rPr>
      <t>gr.eff</t>
    </r>
  </si>
  <si>
    <r>
      <t>A</t>
    </r>
    <r>
      <rPr>
        <vertAlign val="subscript"/>
        <sz val="10"/>
        <rFont val="Arial"/>
        <family val="2"/>
      </rPr>
      <t>se</t>
    </r>
  </si>
  <si>
    <r>
      <t>A</t>
    </r>
    <r>
      <rPr>
        <vertAlign val="subscript"/>
        <sz val="10"/>
        <rFont val="Arial"/>
        <family val="2"/>
      </rPr>
      <t>brg</t>
    </r>
  </si>
  <si>
    <r>
      <t>λ</t>
    </r>
    <r>
      <rPr>
        <vertAlign val="subscript"/>
        <sz val="10"/>
        <color theme="1"/>
        <rFont val="Arial"/>
        <family val="2"/>
      </rPr>
      <t>a</t>
    </r>
  </si>
  <si>
    <t>Anchor:</t>
  </si>
  <si>
    <t>Designation</t>
  </si>
  <si>
    <t>F1554 Gr. 36</t>
  </si>
  <si>
    <r>
      <t>f</t>
    </r>
    <r>
      <rPr>
        <vertAlign val="subscript"/>
        <sz val="10"/>
        <rFont val="Arial"/>
        <family val="2"/>
      </rPr>
      <t>uta</t>
    </r>
  </si>
  <si>
    <r>
      <t>φ</t>
    </r>
    <r>
      <rPr>
        <vertAlign val="subscript"/>
        <sz val="10"/>
        <rFont val="Arial"/>
        <family val="2"/>
      </rPr>
      <t>s</t>
    </r>
  </si>
  <si>
    <t>Steel Reinforcement:</t>
  </si>
  <si>
    <r>
      <t>n</t>
    </r>
    <r>
      <rPr>
        <vertAlign val="subscript"/>
        <sz val="10"/>
        <color theme="1"/>
        <rFont val="Arial"/>
        <family val="2"/>
      </rPr>
      <t>t</t>
    </r>
  </si>
  <si>
    <t>: UNC threads per inch</t>
  </si>
  <si>
    <r>
      <t>d</t>
    </r>
    <r>
      <rPr>
        <vertAlign val="subscript"/>
        <sz val="10"/>
        <rFont val="Arial"/>
        <family val="2"/>
      </rPr>
      <t>a</t>
    </r>
  </si>
  <si>
    <r>
      <t>c</t>
    </r>
    <r>
      <rPr>
        <vertAlign val="subscript"/>
        <sz val="10"/>
        <color theme="1"/>
        <rFont val="Arial"/>
        <family val="2"/>
      </rPr>
      <t>a</t>
    </r>
    <r>
      <rPr>
        <vertAlign val="subscript"/>
        <sz val="10"/>
        <rFont val="Arial"/>
        <family val="2"/>
      </rPr>
      <t>1</t>
    </r>
  </si>
  <si>
    <r>
      <t>c</t>
    </r>
    <r>
      <rPr>
        <vertAlign val="subscript"/>
        <sz val="10"/>
        <color theme="1"/>
        <rFont val="Arial"/>
        <family val="2"/>
      </rPr>
      <t>a</t>
    </r>
    <r>
      <rPr>
        <vertAlign val="subscript"/>
        <sz val="10"/>
        <rFont val="Arial"/>
        <family val="2"/>
      </rPr>
      <t>2</t>
    </r>
  </si>
  <si>
    <t>: anchor edge distance, transverse direction</t>
  </si>
  <si>
    <t>: anchor edge distance, longitudinal direction</t>
  </si>
  <si>
    <t>: anchor yield stress; 36 ksi</t>
  </si>
  <si>
    <t>: anchor ultimate strength; 58 ksi</t>
  </si>
  <si>
    <t>: anchor material resistance factor</t>
  </si>
  <si>
    <t>: steel reinforcement material resistance factor</t>
  </si>
  <si>
    <t>: steel material yield strength</t>
  </si>
  <si>
    <t>: effective anchor diameter, assumed 1/8" corrosion allowance</t>
  </si>
  <si>
    <r>
      <t>: bolt effective area; π/4(d</t>
    </r>
    <r>
      <rPr>
        <vertAlign val="subscript"/>
        <sz val="10"/>
        <color theme="1"/>
        <rFont val="Arial"/>
        <family val="2"/>
      </rPr>
      <t>a</t>
    </r>
    <r>
      <rPr>
        <sz val="10"/>
        <color theme="1"/>
        <rFont val="Arial"/>
        <family val="2"/>
      </rPr>
      <t xml:space="preserve"> - 0.9743/n</t>
    </r>
    <r>
      <rPr>
        <vertAlign val="subscript"/>
        <sz val="10"/>
        <color theme="1"/>
        <rFont val="Arial"/>
        <family val="2"/>
      </rPr>
      <t>t</t>
    </r>
    <r>
      <rPr>
        <sz val="10"/>
        <color theme="1"/>
        <rFont val="Arial"/>
        <family val="2"/>
      </rPr>
      <t>)</t>
    </r>
    <r>
      <rPr>
        <vertAlign val="superscript"/>
        <sz val="10"/>
        <color theme="1"/>
        <rFont val="Arial"/>
        <family val="2"/>
      </rPr>
      <t>2</t>
    </r>
    <r>
      <rPr>
        <sz val="10"/>
        <color theme="1"/>
        <rFont val="Arial"/>
        <family val="2"/>
      </rPr>
      <t>; ASME B1.1</t>
    </r>
  </si>
  <si>
    <r>
      <t>: bolt head effective bearing area; A</t>
    </r>
    <r>
      <rPr>
        <vertAlign val="subscript"/>
        <sz val="10"/>
        <color theme="1"/>
        <rFont val="Arial"/>
        <family val="2"/>
      </rPr>
      <t>nut</t>
    </r>
    <r>
      <rPr>
        <sz val="10"/>
        <color theme="1"/>
        <rFont val="Arial"/>
        <family val="2"/>
      </rPr>
      <t xml:space="preserve"> - A</t>
    </r>
    <r>
      <rPr>
        <vertAlign val="subscript"/>
        <sz val="10"/>
        <color theme="1"/>
        <rFont val="Arial"/>
        <family val="2"/>
      </rPr>
      <t>anchor(non-corroded)</t>
    </r>
  </si>
  <si>
    <t>: concrete material resistance factor</t>
  </si>
  <si>
    <t>: concrete compressive strength</t>
  </si>
  <si>
    <t>: modification factor; 1.0 for normal density concrete</t>
  </si>
  <si>
    <r>
      <t>As per ASCE "Design of Anchor Bolts in Petrochemical Facilities" a minimum pretension load = 1/3*F</t>
    </r>
    <r>
      <rPr>
        <vertAlign val="subscript"/>
        <sz val="10"/>
        <color theme="1"/>
        <rFont val="Arial"/>
        <family val="2"/>
      </rPr>
      <t>u</t>
    </r>
    <r>
      <rPr>
        <sz val="10"/>
        <color theme="1"/>
        <rFont val="Arial"/>
        <family val="2"/>
      </rPr>
      <t xml:space="preserve"> is used:</t>
    </r>
  </si>
  <si>
    <r>
      <t>f</t>
    </r>
    <r>
      <rPr>
        <vertAlign val="subscript"/>
        <sz val="10"/>
        <rFont val="Arial"/>
        <family val="2"/>
      </rPr>
      <t>u</t>
    </r>
  </si>
  <si>
    <r>
      <t>1/3*f</t>
    </r>
    <r>
      <rPr>
        <vertAlign val="subscript"/>
        <sz val="10"/>
        <rFont val="Arial"/>
        <family val="2"/>
      </rPr>
      <t>u</t>
    </r>
  </si>
  <si>
    <t>R</t>
  </si>
  <si>
    <t>: minimum edge distance for anchor in tension</t>
  </si>
  <si>
    <t>: other edge distance for anchor in tension</t>
  </si>
  <si>
    <t>Reduction Factor</t>
  </si>
  <si>
    <r>
      <t>: (1 + c</t>
    </r>
    <r>
      <rPr>
        <vertAlign val="subscript"/>
        <sz val="10"/>
        <color theme="1"/>
        <rFont val="Arial"/>
        <family val="2"/>
      </rPr>
      <t>a</t>
    </r>
    <r>
      <rPr>
        <vertAlign val="subscript"/>
        <sz val="10"/>
        <rFont val="Arial"/>
        <family val="2"/>
      </rPr>
      <t>2</t>
    </r>
    <r>
      <rPr>
        <sz val="10"/>
        <color theme="1"/>
        <rFont val="Arial"/>
        <family val="2"/>
      </rPr>
      <t>/c</t>
    </r>
    <r>
      <rPr>
        <vertAlign val="subscript"/>
        <sz val="10"/>
        <color theme="1"/>
        <rFont val="Arial"/>
        <family val="2"/>
      </rPr>
      <t>a1</t>
    </r>
    <r>
      <rPr>
        <sz val="10"/>
        <color theme="1"/>
        <rFont val="Arial"/>
        <family val="2"/>
      </rPr>
      <t>) / 4; D.6.4.1</t>
    </r>
  </si>
  <si>
    <r>
      <t>N</t>
    </r>
    <r>
      <rPr>
        <vertAlign val="subscript"/>
        <sz val="10"/>
        <rFont val="Arial"/>
        <family val="2"/>
      </rPr>
      <t>sbr</t>
    </r>
  </si>
  <si>
    <r>
      <t>13.3c</t>
    </r>
    <r>
      <rPr>
        <vertAlign val="subscript"/>
        <sz val="10"/>
        <color theme="1"/>
        <rFont val="Arial"/>
        <family val="2"/>
      </rPr>
      <t>a1</t>
    </r>
    <r>
      <rPr>
        <sz val="10"/>
        <color theme="1"/>
        <rFont val="Arial"/>
        <family val="2"/>
      </rPr>
      <t>√A</t>
    </r>
    <r>
      <rPr>
        <vertAlign val="subscript"/>
        <sz val="10"/>
        <rFont val="Arial"/>
        <family val="2"/>
      </rPr>
      <t>brg</t>
    </r>
    <r>
      <rPr>
        <sz val="10"/>
        <color theme="1"/>
        <rFont val="Arial"/>
        <family val="2"/>
      </rPr>
      <t>φ</t>
    </r>
    <r>
      <rPr>
        <vertAlign val="subscript"/>
        <sz val="10"/>
        <rFont val="Arial"/>
        <family val="2"/>
      </rPr>
      <t>c</t>
    </r>
    <r>
      <rPr>
        <sz val="10"/>
        <rFont val="Arial"/>
        <family val="2"/>
      </rPr>
      <t>λ</t>
    </r>
    <r>
      <rPr>
        <vertAlign val="subscript"/>
        <sz val="10"/>
        <rFont val="Arial"/>
        <family val="2"/>
      </rPr>
      <t>a</t>
    </r>
    <r>
      <rPr>
        <sz val="10"/>
        <color theme="1"/>
        <rFont val="Arial"/>
        <family val="2"/>
      </rPr>
      <t>√f'</t>
    </r>
    <r>
      <rPr>
        <vertAlign val="subscript"/>
        <sz val="10"/>
        <rFont val="Arial"/>
        <family val="2"/>
      </rPr>
      <t>c</t>
    </r>
    <r>
      <rPr>
        <sz val="10"/>
        <color theme="1"/>
        <rFont val="Arial"/>
        <family val="2"/>
      </rPr>
      <t>R</t>
    </r>
  </si>
  <si>
    <t>: resistance factor for concrete failure, assume Condition B</t>
  </si>
  <si>
    <r>
      <t>V</t>
    </r>
    <r>
      <rPr>
        <vertAlign val="subscript"/>
        <sz val="10"/>
        <rFont val="Arial"/>
        <family val="2"/>
      </rPr>
      <t>f</t>
    </r>
  </si>
  <si>
    <t>: design anchor shear force</t>
  </si>
  <si>
    <r>
      <t>V</t>
    </r>
    <r>
      <rPr>
        <vertAlign val="subscript"/>
        <sz val="10"/>
        <rFont val="Arial"/>
        <family val="2"/>
      </rPr>
      <t>sr</t>
    </r>
  </si>
  <si>
    <r>
      <t>A</t>
    </r>
    <r>
      <rPr>
        <vertAlign val="subscript"/>
        <sz val="10"/>
        <rFont val="Arial"/>
        <family val="2"/>
      </rPr>
      <t>se</t>
    </r>
    <r>
      <rPr>
        <sz val="10"/>
        <color theme="1"/>
        <rFont val="Arial"/>
        <family val="2"/>
      </rPr>
      <t>φ</t>
    </r>
    <r>
      <rPr>
        <vertAlign val="subscript"/>
        <sz val="10"/>
        <rFont val="Arial"/>
        <family val="2"/>
      </rPr>
      <t>s</t>
    </r>
    <r>
      <rPr>
        <sz val="10"/>
        <color theme="1"/>
        <rFont val="Arial"/>
        <family val="2"/>
      </rPr>
      <t>0.6f</t>
    </r>
    <r>
      <rPr>
        <vertAlign val="subscript"/>
        <sz val="10"/>
        <rFont val="Arial"/>
        <family val="2"/>
      </rPr>
      <t>uta</t>
    </r>
    <r>
      <rPr>
        <sz val="10"/>
        <color theme="1"/>
        <rFont val="Arial"/>
        <family val="2"/>
      </rPr>
      <t>R*RF</t>
    </r>
  </si>
  <si>
    <r>
      <t>V</t>
    </r>
    <r>
      <rPr>
        <vertAlign val="subscript"/>
        <sz val="10"/>
        <rFont val="Arial"/>
        <family val="2"/>
      </rPr>
      <t>f</t>
    </r>
    <r>
      <rPr>
        <sz val="10"/>
        <color theme="1"/>
        <rFont val="Arial"/>
        <family val="2"/>
      </rPr>
      <t xml:space="preserve"> / V</t>
    </r>
    <r>
      <rPr>
        <vertAlign val="subscript"/>
        <sz val="10"/>
        <rFont val="Arial"/>
        <family val="2"/>
      </rPr>
      <t>sr</t>
    </r>
  </si>
  <si>
    <r>
      <t>A</t>
    </r>
    <r>
      <rPr>
        <vertAlign val="subscript"/>
        <sz val="10"/>
        <color theme="1"/>
        <rFont val="Arial"/>
        <family val="2"/>
      </rPr>
      <t>vc</t>
    </r>
  </si>
  <si>
    <r>
      <t>A</t>
    </r>
    <r>
      <rPr>
        <vertAlign val="subscript"/>
        <sz val="10"/>
        <color theme="1"/>
        <rFont val="Arial"/>
        <family val="2"/>
      </rPr>
      <t>vco</t>
    </r>
  </si>
  <si>
    <r>
      <t>l</t>
    </r>
    <r>
      <rPr>
        <vertAlign val="subscript"/>
        <sz val="10"/>
        <color theme="1"/>
        <rFont val="Arial"/>
        <family val="2"/>
      </rPr>
      <t>e</t>
    </r>
  </si>
  <si>
    <r>
      <t>V</t>
    </r>
    <r>
      <rPr>
        <vertAlign val="subscript"/>
        <sz val="10"/>
        <rFont val="Arial"/>
        <family val="2"/>
      </rPr>
      <t>br</t>
    </r>
  </si>
  <si>
    <r>
      <t>ψ</t>
    </r>
    <r>
      <rPr>
        <vertAlign val="subscript"/>
        <sz val="10"/>
        <rFont val="Arial"/>
        <family val="2"/>
      </rPr>
      <t>ec,v</t>
    </r>
  </si>
  <si>
    <r>
      <rPr>
        <sz val="10"/>
        <rFont val="Arial"/>
        <family val="2"/>
      </rPr>
      <t>ψ</t>
    </r>
    <r>
      <rPr>
        <vertAlign val="subscript"/>
        <sz val="10"/>
        <rFont val="Arial"/>
        <family val="2"/>
      </rPr>
      <t>ed,v</t>
    </r>
  </si>
  <si>
    <r>
      <t>ψ</t>
    </r>
    <r>
      <rPr>
        <vertAlign val="subscript"/>
        <sz val="10"/>
        <rFont val="Arial"/>
        <family val="2"/>
      </rPr>
      <t>c,V</t>
    </r>
  </si>
  <si>
    <r>
      <t>ψ</t>
    </r>
    <r>
      <rPr>
        <vertAlign val="subscript"/>
        <sz val="10"/>
        <rFont val="Arial"/>
        <family val="2"/>
      </rPr>
      <t>h,V</t>
    </r>
  </si>
  <si>
    <r>
      <t>V</t>
    </r>
    <r>
      <rPr>
        <vertAlign val="subscript"/>
        <sz val="10"/>
        <rFont val="Arial"/>
        <family val="2"/>
      </rPr>
      <t>cbr</t>
    </r>
  </si>
  <si>
    <r>
      <t>V</t>
    </r>
    <r>
      <rPr>
        <vertAlign val="subscript"/>
        <sz val="10"/>
        <color theme="1"/>
        <rFont val="Arial"/>
        <family val="2"/>
      </rPr>
      <t>f</t>
    </r>
    <r>
      <rPr>
        <sz val="10"/>
        <color theme="1"/>
        <rFont val="Arial"/>
        <family val="2"/>
      </rPr>
      <t xml:space="preserve"> / V</t>
    </r>
    <r>
      <rPr>
        <vertAlign val="subscript"/>
        <sz val="10"/>
        <color theme="1"/>
        <rFont val="Arial"/>
        <family val="2"/>
      </rPr>
      <t>cbr</t>
    </r>
  </si>
  <si>
    <t>: minimum edge distance perpendicular to shear force</t>
  </si>
  <si>
    <r>
      <t>: actual breakout cone area, 4.5c</t>
    </r>
    <r>
      <rPr>
        <vertAlign val="subscript"/>
        <sz val="10"/>
        <color theme="1"/>
        <rFont val="Arial"/>
        <family val="2"/>
      </rPr>
      <t>a1</t>
    </r>
    <r>
      <rPr>
        <vertAlign val="superscript"/>
        <sz val="10"/>
        <color theme="1"/>
        <rFont val="Arial"/>
        <family val="2"/>
      </rPr>
      <t>2</t>
    </r>
  </si>
  <si>
    <r>
      <t>: idealized breakout cone area, 4.5c</t>
    </r>
    <r>
      <rPr>
        <vertAlign val="subscript"/>
        <sz val="10"/>
        <color theme="1"/>
        <rFont val="Arial"/>
        <family val="2"/>
      </rPr>
      <t>a1</t>
    </r>
    <r>
      <rPr>
        <vertAlign val="superscript"/>
        <sz val="10"/>
        <color theme="1"/>
        <rFont val="Arial"/>
        <family val="2"/>
      </rPr>
      <t>2</t>
    </r>
  </si>
  <si>
    <r>
      <t>: bearing length of anchor, taken equal to &lt; 8d</t>
    </r>
    <r>
      <rPr>
        <vertAlign val="subscript"/>
        <sz val="10"/>
        <color theme="1"/>
        <rFont val="Arial"/>
        <family val="2"/>
      </rPr>
      <t>a</t>
    </r>
    <r>
      <rPr>
        <sz val="10"/>
        <color theme="1"/>
        <rFont val="Arial"/>
        <family val="2"/>
      </rPr>
      <t>, per D.7.2.2</t>
    </r>
  </si>
  <si>
    <t>As per Cl. D.7.2.2, the breakout resistance of a single anchor shall be the smaller of:</t>
  </si>
  <si>
    <r>
      <t>0.58(l</t>
    </r>
    <r>
      <rPr>
        <vertAlign val="subscript"/>
        <sz val="10"/>
        <color theme="1"/>
        <rFont val="Arial"/>
        <family val="2"/>
      </rPr>
      <t>e</t>
    </r>
    <r>
      <rPr>
        <sz val="10"/>
        <color theme="1"/>
        <rFont val="Arial"/>
        <family val="2"/>
      </rPr>
      <t>/d</t>
    </r>
    <r>
      <rPr>
        <vertAlign val="subscript"/>
        <sz val="10"/>
        <color theme="1"/>
        <rFont val="Arial"/>
        <family val="2"/>
      </rPr>
      <t>a</t>
    </r>
    <r>
      <rPr>
        <sz val="10"/>
        <rFont val="Arial"/>
        <family val="2"/>
      </rPr>
      <t>)</t>
    </r>
    <r>
      <rPr>
        <vertAlign val="superscript"/>
        <sz val="10"/>
        <rFont val="Arial"/>
        <family val="2"/>
      </rPr>
      <t>0.2</t>
    </r>
    <r>
      <rPr>
        <sz val="10"/>
        <rFont val="Arial"/>
        <family val="2"/>
      </rPr>
      <t>√d</t>
    </r>
    <r>
      <rPr>
        <vertAlign val="subscript"/>
        <sz val="10"/>
        <rFont val="Arial"/>
        <family val="2"/>
      </rPr>
      <t>a</t>
    </r>
    <r>
      <rPr>
        <sz val="10"/>
        <rFont val="Arial"/>
        <family val="2"/>
      </rPr>
      <t>φ</t>
    </r>
    <r>
      <rPr>
        <vertAlign val="subscript"/>
        <sz val="10"/>
        <rFont val="Arial"/>
        <family val="2"/>
      </rPr>
      <t>c</t>
    </r>
    <r>
      <rPr>
        <sz val="10"/>
        <rFont val="Arial"/>
        <family val="2"/>
      </rPr>
      <t>λ</t>
    </r>
    <r>
      <rPr>
        <vertAlign val="subscript"/>
        <sz val="10"/>
        <rFont val="Arial"/>
        <family val="2"/>
      </rPr>
      <t>a</t>
    </r>
    <r>
      <rPr>
        <sz val="10"/>
        <rFont val="Arial"/>
        <family val="2"/>
      </rPr>
      <t>√f</t>
    </r>
    <r>
      <rPr>
        <vertAlign val="subscript"/>
        <sz val="10"/>
        <rFont val="Arial"/>
        <family val="2"/>
      </rPr>
      <t>c</t>
    </r>
    <r>
      <rPr>
        <sz val="10"/>
        <rFont val="Arial"/>
        <family val="2"/>
      </rPr>
      <t>'c</t>
    </r>
    <r>
      <rPr>
        <vertAlign val="subscript"/>
        <sz val="10"/>
        <rFont val="Arial"/>
        <family val="2"/>
      </rPr>
      <t>1</t>
    </r>
    <r>
      <rPr>
        <vertAlign val="superscript"/>
        <sz val="10"/>
        <rFont val="Arial"/>
        <family val="2"/>
      </rPr>
      <t>1.5</t>
    </r>
    <r>
      <rPr>
        <sz val="10"/>
        <rFont val="Arial"/>
        <family val="2"/>
      </rPr>
      <t>R</t>
    </r>
  </si>
  <si>
    <r>
      <t>A</t>
    </r>
    <r>
      <rPr>
        <vertAlign val="subscript"/>
        <sz val="10"/>
        <rFont val="Arial"/>
        <family val="2"/>
      </rPr>
      <t>Vc</t>
    </r>
    <r>
      <rPr>
        <sz val="10"/>
        <rFont val="Arial"/>
        <family val="2"/>
      </rPr>
      <t xml:space="preserve"> / A</t>
    </r>
    <r>
      <rPr>
        <vertAlign val="subscript"/>
        <sz val="10"/>
        <rFont val="Arial"/>
        <family val="2"/>
      </rPr>
      <t>Vco</t>
    </r>
    <r>
      <rPr>
        <sz val="10"/>
        <rFont val="Arial"/>
        <family val="2"/>
      </rPr>
      <t>*ψ</t>
    </r>
    <r>
      <rPr>
        <vertAlign val="subscript"/>
        <sz val="10"/>
        <rFont val="Arial"/>
        <family val="2"/>
      </rPr>
      <t>ec,V</t>
    </r>
    <r>
      <rPr>
        <sz val="10"/>
        <rFont val="Arial"/>
        <family val="2"/>
      </rPr>
      <t>ψ</t>
    </r>
    <r>
      <rPr>
        <vertAlign val="subscript"/>
        <sz val="10"/>
        <rFont val="Arial"/>
        <family val="2"/>
      </rPr>
      <t>ed,V</t>
    </r>
    <r>
      <rPr>
        <sz val="10"/>
        <rFont val="Arial"/>
        <family val="2"/>
      </rPr>
      <t>ψ</t>
    </r>
    <r>
      <rPr>
        <vertAlign val="subscript"/>
        <sz val="10"/>
        <rFont val="Arial"/>
        <family val="2"/>
      </rPr>
      <t>c,V</t>
    </r>
    <r>
      <rPr>
        <sz val="10"/>
        <rFont val="Arial"/>
        <family val="2"/>
      </rPr>
      <t>ψ</t>
    </r>
    <r>
      <rPr>
        <vertAlign val="subscript"/>
        <sz val="10"/>
        <rFont val="Arial"/>
        <family val="2"/>
      </rPr>
      <t>h,V</t>
    </r>
    <r>
      <rPr>
        <sz val="10"/>
        <rFont val="Arial"/>
        <family val="2"/>
      </rPr>
      <t>V</t>
    </r>
    <r>
      <rPr>
        <vertAlign val="subscript"/>
        <sz val="10"/>
        <rFont val="Arial"/>
        <family val="2"/>
      </rPr>
      <t>br</t>
    </r>
  </si>
  <si>
    <t>&lt; 1.0, OK.   No supplemental shear reinforcement required</t>
  </si>
  <si>
    <r>
      <t>k</t>
    </r>
    <r>
      <rPr>
        <vertAlign val="subscript"/>
        <sz val="10"/>
        <rFont val="Arial"/>
        <family val="2"/>
      </rPr>
      <t>cp</t>
    </r>
  </si>
  <si>
    <r>
      <t>: 2 for h</t>
    </r>
    <r>
      <rPr>
        <vertAlign val="subscript"/>
        <sz val="10"/>
        <rFont val="Arial"/>
        <family val="2"/>
      </rPr>
      <t>ef</t>
    </r>
    <r>
      <rPr>
        <sz val="10"/>
        <rFont val="Arial"/>
        <family val="2"/>
      </rPr>
      <t xml:space="preserve"> &gt; 65mm</t>
    </r>
  </si>
  <si>
    <r>
      <t>V</t>
    </r>
    <r>
      <rPr>
        <vertAlign val="subscript"/>
        <sz val="10"/>
        <rFont val="Arial"/>
        <family val="2"/>
      </rPr>
      <t>cpr</t>
    </r>
  </si>
  <si>
    <r>
      <t>k</t>
    </r>
    <r>
      <rPr>
        <vertAlign val="subscript"/>
        <sz val="10"/>
        <rFont val="Arial"/>
        <family val="2"/>
      </rPr>
      <t>cp</t>
    </r>
    <r>
      <rPr>
        <sz val="10"/>
        <rFont val="Arial"/>
        <family val="2"/>
      </rPr>
      <t xml:space="preserve"> * N</t>
    </r>
    <r>
      <rPr>
        <vertAlign val="subscript"/>
        <sz val="10"/>
        <rFont val="Arial"/>
        <family val="2"/>
      </rPr>
      <t>cbr</t>
    </r>
  </si>
  <si>
    <r>
      <t>V</t>
    </r>
    <r>
      <rPr>
        <vertAlign val="subscript"/>
        <sz val="10"/>
        <color theme="1"/>
        <rFont val="Arial"/>
        <family val="2"/>
      </rPr>
      <t>f</t>
    </r>
    <r>
      <rPr>
        <sz val="10"/>
        <color theme="1"/>
        <rFont val="Arial"/>
        <family val="2"/>
      </rPr>
      <t xml:space="preserve"> / V</t>
    </r>
    <r>
      <rPr>
        <vertAlign val="subscript"/>
        <sz val="10"/>
        <color theme="1"/>
        <rFont val="Arial"/>
        <family val="2"/>
      </rPr>
      <t>cpr</t>
    </r>
  </si>
  <si>
    <r>
      <t>N</t>
    </r>
    <r>
      <rPr>
        <vertAlign val="subscript"/>
        <sz val="10"/>
        <rFont val="Arial"/>
        <family val="2"/>
      </rPr>
      <t>cbr</t>
    </r>
  </si>
  <si>
    <r>
      <t>A</t>
    </r>
    <r>
      <rPr>
        <vertAlign val="subscript"/>
        <sz val="10"/>
        <rFont val="Arial"/>
        <family val="2"/>
      </rPr>
      <t>Nc</t>
    </r>
    <r>
      <rPr>
        <sz val="10"/>
        <rFont val="Arial"/>
        <family val="2"/>
      </rPr>
      <t xml:space="preserve"> / A</t>
    </r>
    <r>
      <rPr>
        <vertAlign val="subscript"/>
        <sz val="10"/>
        <rFont val="Arial"/>
        <family val="2"/>
      </rPr>
      <t>Nco</t>
    </r>
    <r>
      <rPr>
        <sz val="10"/>
        <rFont val="Arial"/>
        <family val="2"/>
      </rPr>
      <t>*ψ</t>
    </r>
    <r>
      <rPr>
        <vertAlign val="subscript"/>
        <sz val="10"/>
        <rFont val="Arial"/>
        <family val="2"/>
      </rPr>
      <t>ec,N</t>
    </r>
    <r>
      <rPr>
        <sz val="10"/>
        <rFont val="Arial"/>
        <family val="2"/>
      </rPr>
      <t>ψ</t>
    </r>
    <r>
      <rPr>
        <vertAlign val="subscript"/>
        <sz val="10"/>
        <rFont val="Arial"/>
        <family val="2"/>
      </rPr>
      <t>ed,N</t>
    </r>
    <r>
      <rPr>
        <sz val="10"/>
        <rFont val="Arial"/>
        <family val="2"/>
      </rPr>
      <t>ψ</t>
    </r>
    <r>
      <rPr>
        <vertAlign val="subscript"/>
        <sz val="10"/>
        <rFont val="Arial"/>
        <family val="2"/>
      </rPr>
      <t>c,N</t>
    </r>
    <r>
      <rPr>
        <sz val="10"/>
        <rFont val="Arial"/>
        <family val="2"/>
      </rPr>
      <t>ψ</t>
    </r>
    <r>
      <rPr>
        <vertAlign val="subscript"/>
        <sz val="10"/>
        <rFont val="Arial"/>
        <family val="2"/>
      </rPr>
      <t>cp,N</t>
    </r>
    <r>
      <rPr>
        <sz val="10"/>
        <rFont val="Arial"/>
        <family val="2"/>
      </rPr>
      <t>N</t>
    </r>
    <r>
      <rPr>
        <vertAlign val="subscript"/>
        <sz val="10"/>
        <rFont val="Arial"/>
        <family val="2"/>
      </rPr>
      <t>br</t>
    </r>
  </si>
  <si>
    <r>
      <t>A</t>
    </r>
    <r>
      <rPr>
        <vertAlign val="subscript"/>
        <sz val="10"/>
        <color theme="1"/>
        <rFont val="Arial"/>
        <family val="2"/>
      </rPr>
      <t>Nc</t>
    </r>
  </si>
  <si>
    <r>
      <t>A</t>
    </r>
    <r>
      <rPr>
        <vertAlign val="subscript"/>
        <sz val="10"/>
        <color theme="1"/>
        <rFont val="Arial"/>
        <family val="2"/>
      </rPr>
      <t>Nco</t>
    </r>
  </si>
  <si>
    <r>
      <rPr>
        <sz val="10"/>
        <rFont val="Arial"/>
        <family val="2"/>
      </rPr>
      <t>ψ</t>
    </r>
    <r>
      <rPr>
        <vertAlign val="subscript"/>
        <sz val="10"/>
        <rFont val="Arial"/>
        <family val="2"/>
      </rPr>
      <t>ec,N</t>
    </r>
  </si>
  <si>
    <r>
      <rPr>
        <sz val="10"/>
        <rFont val="Arial"/>
        <family val="2"/>
      </rPr>
      <t>ψ</t>
    </r>
    <r>
      <rPr>
        <vertAlign val="subscript"/>
        <sz val="10"/>
        <rFont val="Arial"/>
        <family val="2"/>
      </rPr>
      <t>ed,N</t>
    </r>
  </si>
  <si>
    <r>
      <rPr>
        <sz val="10"/>
        <rFont val="Arial"/>
        <family val="2"/>
      </rPr>
      <t>ψ</t>
    </r>
    <r>
      <rPr>
        <vertAlign val="subscript"/>
        <sz val="10"/>
        <rFont val="Arial"/>
        <family val="2"/>
      </rPr>
      <t>c,N</t>
    </r>
  </si>
  <si>
    <r>
      <rPr>
        <sz val="10"/>
        <rFont val="Arial"/>
        <family val="2"/>
      </rPr>
      <t>ψ</t>
    </r>
    <r>
      <rPr>
        <vertAlign val="subscript"/>
        <sz val="10"/>
        <rFont val="Arial"/>
        <family val="2"/>
      </rPr>
      <t>cp,N</t>
    </r>
  </si>
  <si>
    <t>: modification factor for eccentric loading. No eccentricity, use 1.0.</t>
  </si>
  <si>
    <t>: modification factor for supplemental reinforcement; take = 1.0, no reinf.</t>
  </si>
  <si>
    <r>
      <t>: modification factor member depth. h</t>
    </r>
    <r>
      <rPr>
        <vertAlign val="subscript"/>
        <sz val="10"/>
        <color theme="1"/>
        <rFont val="Arial"/>
        <family val="2"/>
      </rPr>
      <t>a</t>
    </r>
    <r>
      <rPr>
        <sz val="10"/>
        <color theme="1"/>
        <rFont val="Arial"/>
        <family val="2"/>
      </rPr>
      <t xml:space="preserve"> &gt; 1.5c</t>
    </r>
    <r>
      <rPr>
        <vertAlign val="subscript"/>
        <sz val="10"/>
        <color theme="1"/>
        <rFont val="Arial"/>
        <family val="2"/>
      </rPr>
      <t>a1</t>
    </r>
    <r>
      <rPr>
        <sz val="10"/>
        <color theme="1"/>
        <rFont val="Arial"/>
        <family val="2"/>
      </rPr>
      <t>; take = 1.0</t>
    </r>
  </si>
  <si>
    <r>
      <t>N</t>
    </r>
    <r>
      <rPr>
        <vertAlign val="subscript"/>
        <sz val="10"/>
        <rFont val="Arial"/>
        <family val="2"/>
      </rPr>
      <t>br</t>
    </r>
  </si>
  <si>
    <t>: calibration factor, cast-in headed bolts</t>
  </si>
  <si>
    <t xml:space="preserve">&lt; 1.0, OK. </t>
  </si>
  <si>
    <r>
      <t>: modification factor for edge effects, 0.7 + 0.3 c</t>
    </r>
    <r>
      <rPr>
        <vertAlign val="subscript"/>
        <sz val="10"/>
        <rFont val="Arial"/>
        <family val="2"/>
      </rPr>
      <t>1</t>
    </r>
    <r>
      <rPr>
        <sz val="10"/>
        <color theme="1"/>
        <rFont val="Arial"/>
        <family val="2"/>
      </rPr>
      <t xml:space="preserve"> / 1.5h</t>
    </r>
    <r>
      <rPr>
        <vertAlign val="subscript"/>
        <sz val="10"/>
        <rFont val="Arial"/>
        <family val="2"/>
      </rPr>
      <t>ef</t>
    </r>
  </si>
  <si>
    <t>: modification factor for cracking, assume cracking</t>
  </si>
  <si>
    <t>: modification factor for post-installed. N/A, cast-in headed bolts</t>
  </si>
  <si>
    <r>
      <t>: idealized projected area of failure surface; 9h</t>
    </r>
    <r>
      <rPr>
        <vertAlign val="subscript"/>
        <sz val="10"/>
        <rFont val="Arial"/>
        <family val="2"/>
      </rPr>
      <t>ef</t>
    </r>
    <r>
      <rPr>
        <vertAlign val="superscript"/>
        <sz val="10"/>
        <rFont val="Arial"/>
        <family val="2"/>
      </rPr>
      <t>2</t>
    </r>
  </si>
  <si>
    <t>: breakout resistance of single anchor in tension</t>
  </si>
  <si>
    <t>i. Minimum anchor spacing:</t>
  </si>
  <si>
    <r>
      <t>Minimum anchor spacing for torqued cast-in anchors = 6d</t>
    </r>
    <r>
      <rPr>
        <vertAlign val="subscript"/>
        <sz val="10"/>
        <color theme="1"/>
        <rFont val="Arial"/>
        <family val="2"/>
      </rPr>
      <t>a</t>
    </r>
    <r>
      <rPr>
        <sz val="10"/>
        <color theme="1"/>
        <rFont val="Arial"/>
        <family val="2"/>
      </rPr>
      <t>.</t>
    </r>
  </si>
  <si>
    <r>
      <t>s</t>
    </r>
    <r>
      <rPr>
        <vertAlign val="subscript"/>
        <sz val="10"/>
        <color theme="1"/>
        <rFont val="Arial"/>
        <family val="2"/>
      </rPr>
      <t>min</t>
    </r>
  </si>
  <si>
    <r>
      <t>s</t>
    </r>
    <r>
      <rPr>
        <vertAlign val="subscript"/>
        <sz val="10"/>
        <color theme="1"/>
        <rFont val="Arial"/>
        <family val="2"/>
      </rPr>
      <t>act</t>
    </r>
  </si>
  <si>
    <r>
      <t>s</t>
    </r>
    <r>
      <rPr>
        <vertAlign val="subscript"/>
        <sz val="10"/>
        <color theme="1"/>
        <rFont val="Arial"/>
        <family val="2"/>
      </rPr>
      <t>act</t>
    </r>
    <r>
      <rPr>
        <sz val="10"/>
        <color theme="1"/>
        <rFont val="Arial"/>
        <family val="2"/>
      </rPr>
      <t xml:space="preserve"> &gt; s</t>
    </r>
    <r>
      <rPr>
        <vertAlign val="subscript"/>
        <sz val="10"/>
        <color theme="1"/>
        <rFont val="Arial"/>
        <family val="2"/>
      </rPr>
      <t>min</t>
    </r>
    <r>
      <rPr>
        <sz val="10"/>
        <color theme="1"/>
        <rFont val="Arial"/>
        <family val="2"/>
      </rPr>
      <t>. OK.</t>
    </r>
  </si>
  <si>
    <r>
      <t>: minimum anchor spacing, 6d</t>
    </r>
    <r>
      <rPr>
        <vertAlign val="subscript"/>
        <sz val="10"/>
        <color theme="1"/>
        <rFont val="Arial"/>
        <family val="2"/>
      </rPr>
      <t>a</t>
    </r>
    <r>
      <rPr>
        <sz val="10"/>
        <color theme="1"/>
        <rFont val="Arial"/>
        <family val="2"/>
      </rPr>
      <t>, Cl. D.9.2 for torqued anchors</t>
    </r>
  </si>
  <si>
    <t>Mass Ratio</t>
  </si>
  <si>
    <t>Pile and Foundation Drawings</t>
  </si>
  <si>
    <t>Pile Capacity Check</t>
  </si>
  <si>
    <t>Load Combinations and Pile Reactions</t>
  </si>
  <si>
    <t>Pile Cap Reinforcement Design</t>
  </si>
  <si>
    <t>Anchor Bolt Design</t>
  </si>
  <si>
    <r>
      <t>L</t>
    </r>
    <r>
      <rPr>
        <vertAlign val="subscript"/>
        <sz val="10"/>
        <color theme="1"/>
        <rFont val="Arial"/>
        <family val="2"/>
      </rPr>
      <t>p</t>
    </r>
  </si>
  <si>
    <t>: Pile embedded length</t>
  </si>
  <si>
    <r>
      <t>3.75</t>
    </r>
    <r>
      <rPr>
        <sz val="10"/>
        <rFont val="Arial"/>
        <family val="2"/>
      </rPr>
      <t>λ</t>
    </r>
    <r>
      <rPr>
        <vertAlign val="subscript"/>
        <sz val="10"/>
        <rFont val="Arial"/>
        <family val="2"/>
      </rPr>
      <t>a</t>
    </r>
    <r>
      <rPr>
        <sz val="10"/>
        <rFont val="Arial"/>
        <family val="2"/>
      </rPr>
      <t>φ</t>
    </r>
    <r>
      <rPr>
        <vertAlign val="subscript"/>
        <sz val="10"/>
        <rFont val="Arial"/>
        <family val="2"/>
      </rPr>
      <t>c</t>
    </r>
    <r>
      <rPr>
        <sz val="10"/>
        <rFont val="Arial"/>
        <family val="2"/>
      </rPr>
      <t>√f</t>
    </r>
    <r>
      <rPr>
        <vertAlign val="subscript"/>
        <sz val="10"/>
        <rFont val="Arial"/>
        <family val="2"/>
      </rPr>
      <t>c</t>
    </r>
    <r>
      <rPr>
        <sz val="10"/>
        <rFont val="Arial"/>
        <family val="2"/>
      </rPr>
      <t>'c</t>
    </r>
    <r>
      <rPr>
        <vertAlign val="subscript"/>
        <sz val="10"/>
        <rFont val="Arial"/>
        <family val="2"/>
      </rPr>
      <t>1</t>
    </r>
    <r>
      <rPr>
        <vertAlign val="superscript"/>
        <sz val="10"/>
        <rFont val="Arial"/>
        <family val="2"/>
      </rPr>
      <t>1.5</t>
    </r>
    <r>
      <rPr>
        <sz val="10"/>
        <rFont val="Arial"/>
        <family val="2"/>
      </rPr>
      <t>R</t>
    </r>
  </si>
  <si>
    <t>J. Salamero</t>
  </si>
  <si>
    <t>Jayson Salamero</t>
  </si>
  <si>
    <t>Pump Foundations</t>
  </si>
  <si>
    <t>: length of foundation</t>
  </si>
  <si>
    <t>: width of foundation</t>
  </si>
  <si>
    <t>: governing length</t>
  </si>
  <si>
    <t>: 0.6 + L / 30</t>
  </si>
  <si>
    <t>: thickness of void form</t>
  </si>
  <si>
    <t>: construction live load considered for initial deformation of void form</t>
  </si>
  <si>
    <t>: total load considered for initial deformation of void form</t>
  </si>
  <si>
    <t>: initial deformation of void form due to initial load considered</t>
  </si>
  <si>
    <r>
      <t xml:space="preserve">: stress due to frost heave; </t>
    </r>
    <r>
      <rPr>
        <sz val="10"/>
        <rFont val="Arial"/>
        <family val="2"/>
      </rPr>
      <t>σ</t>
    </r>
    <r>
      <rPr>
        <vertAlign val="subscript"/>
        <sz val="10"/>
        <rFont val="Arial"/>
        <family val="2"/>
      </rPr>
      <t>total</t>
    </r>
    <r>
      <rPr>
        <sz val="10"/>
        <rFont val="Arial"/>
        <family val="2"/>
      </rPr>
      <t xml:space="preserve"> - σ</t>
    </r>
    <r>
      <rPr>
        <vertAlign val="subscript"/>
        <sz val="10"/>
        <rFont val="Arial"/>
        <family val="2"/>
      </rPr>
      <t>i</t>
    </r>
  </si>
  <si>
    <r>
      <t>: uplift due to frost heave; σ</t>
    </r>
    <r>
      <rPr>
        <vertAlign val="subscript"/>
        <sz val="10"/>
        <rFont val="Arial"/>
        <family val="2"/>
      </rPr>
      <t>fh</t>
    </r>
    <r>
      <rPr>
        <sz val="10"/>
        <color theme="1"/>
        <rFont val="Arial"/>
        <family val="2"/>
      </rPr>
      <t>*[L</t>
    </r>
    <r>
      <rPr>
        <vertAlign val="subscript"/>
        <sz val="10"/>
        <rFont val="Arial"/>
        <family val="2"/>
      </rPr>
      <t>x</t>
    </r>
    <r>
      <rPr>
        <sz val="10"/>
        <color theme="1"/>
        <rFont val="Arial"/>
        <family val="2"/>
      </rPr>
      <t>*L</t>
    </r>
    <r>
      <rPr>
        <vertAlign val="subscript"/>
        <sz val="10"/>
        <rFont val="Arial"/>
        <family val="2"/>
      </rPr>
      <t>y</t>
    </r>
    <r>
      <rPr>
        <sz val="10"/>
        <color theme="1"/>
        <rFont val="Arial"/>
        <family val="2"/>
      </rPr>
      <t xml:space="preserve"> - N</t>
    </r>
    <r>
      <rPr>
        <vertAlign val="subscript"/>
        <sz val="10"/>
        <rFont val="Arial"/>
        <family val="2"/>
      </rPr>
      <t>p</t>
    </r>
    <r>
      <rPr>
        <sz val="10"/>
        <color theme="1"/>
        <rFont val="Arial"/>
        <family val="2"/>
      </rPr>
      <t>πD</t>
    </r>
    <r>
      <rPr>
        <vertAlign val="subscript"/>
        <sz val="10"/>
        <rFont val="Arial"/>
        <family val="2"/>
      </rPr>
      <t>p</t>
    </r>
    <r>
      <rPr>
        <vertAlign val="superscript"/>
        <sz val="10"/>
        <rFont val="Arial"/>
        <family val="2"/>
      </rPr>
      <t>2</t>
    </r>
    <r>
      <rPr>
        <sz val="10"/>
        <color theme="1"/>
        <rFont val="Arial"/>
        <family val="2"/>
      </rPr>
      <t xml:space="preserve"> / 4]</t>
    </r>
  </si>
  <si>
    <t>: additional deformation due to frost heave, from geotech report</t>
  </si>
  <si>
    <t>: total deformation of void form, to be &lt; 30% per Norseman Design Manual</t>
  </si>
  <si>
    <t>: Total nominal frost resistance</t>
  </si>
  <si>
    <r>
      <t>: Uplift due to ad-freeze on single pile;</t>
    </r>
    <r>
      <rPr>
        <u/>
        <sz val="10"/>
        <color theme="1"/>
        <rFont val="Arial"/>
        <family val="2"/>
      </rPr>
      <t xml:space="preserve"> assume foundation not backfilled</t>
    </r>
  </si>
  <si>
    <t>: rounded up for pile schedule; no margin required.</t>
  </si>
  <si>
    <t>: frost heave force per pile</t>
  </si>
  <si>
    <t>Therefore, use 12 m embedment length, OK.</t>
  </si>
  <si>
    <r>
      <t>Since C</t>
    </r>
    <r>
      <rPr>
        <vertAlign val="subscript"/>
        <sz val="10"/>
        <color theme="1"/>
        <rFont val="Arial"/>
        <family val="2"/>
      </rPr>
      <t>s</t>
    </r>
    <r>
      <rPr>
        <sz val="10"/>
        <color theme="1"/>
        <rFont val="Arial"/>
        <family val="2"/>
      </rPr>
      <t xml:space="preserve"> / C</t>
    </r>
    <r>
      <rPr>
        <vertAlign val="subscript"/>
        <sz val="10"/>
        <color theme="1"/>
        <rFont val="Arial"/>
        <family val="2"/>
      </rPr>
      <t>nom</t>
    </r>
    <r>
      <rPr>
        <sz val="10"/>
        <color theme="1"/>
        <rFont val="Arial"/>
        <family val="2"/>
      </rPr>
      <t xml:space="preserve"> &lt; 30%, the upper bound pile settlement is prorated between 0 and 4 mm:</t>
    </r>
  </si>
  <si>
    <t>The pile compression is limited to less than 50% geotechnical utilization and the piles are subjected to minimal lateral force. 
Therefore, the structural capacity is acceptable by inspection and engineering judgement. OK.</t>
  </si>
  <si>
    <t>Base</t>
  </si>
  <si>
    <t>With steel hidden for clarity:</t>
  </si>
  <si>
    <t>Figure 3-2: BU-6258 Isometric View</t>
  </si>
  <si>
    <t>Figure 3-3: BU-6258 Isometric View (building steel hidden for clarity)</t>
  </si>
  <si>
    <t>Figure 3-4: BU-6258 Plan View</t>
  </si>
  <si>
    <t>: weight of concrete placement on void form; thickness of pile cap</t>
  </si>
  <si>
    <r>
      <t>: assumed density of reinforced concrete; 2400 kg/m</t>
    </r>
    <r>
      <rPr>
        <vertAlign val="superscript"/>
        <sz val="10"/>
        <color theme="1"/>
        <rFont val="Arial"/>
        <family val="2"/>
      </rPr>
      <t>3</t>
    </r>
  </si>
  <si>
    <t>: grout btw fdn and U/S skid</t>
  </si>
  <si>
    <t>The pile cap is considered sufficiently rigid. OK.</t>
  </si>
  <si>
    <r>
      <t>: π/4 * D</t>
    </r>
    <r>
      <rPr>
        <vertAlign val="subscript"/>
        <sz val="10"/>
        <color theme="1"/>
        <rFont val="Arial"/>
        <family val="2"/>
      </rPr>
      <t>p</t>
    </r>
    <r>
      <rPr>
        <vertAlign val="superscript"/>
        <sz val="10"/>
        <color theme="1"/>
        <rFont val="Arial"/>
        <family val="2"/>
      </rPr>
      <t>2</t>
    </r>
    <r>
      <rPr>
        <sz val="10"/>
        <color theme="1"/>
        <rFont val="Arial"/>
        <family val="2"/>
      </rPr>
      <t xml:space="preserve"> * End Bearing</t>
    </r>
  </si>
  <si>
    <r>
      <t>π * D</t>
    </r>
    <r>
      <rPr>
        <vertAlign val="subscript"/>
        <sz val="10"/>
        <color theme="1"/>
        <rFont val="Arial"/>
        <family val="2"/>
      </rPr>
      <t>p</t>
    </r>
    <r>
      <rPr>
        <sz val="10"/>
        <color theme="1"/>
        <rFont val="Arial"/>
        <family val="2"/>
      </rPr>
      <t xml:space="preserve"> * Height of Soil Layer * Soil Resistance</t>
    </r>
  </si>
  <si>
    <t>The pile frost resistance is calculated as the shaft friction resistance of the pile length below the frost line (ie. shaft resistance of pile below 2.2 m):</t>
  </si>
  <si>
    <t>: ultimate pile compression resistance</t>
  </si>
  <si>
    <t>: minimum pile spacing</t>
  </si>
  <si>
    <t>: seismic base shear</t>
  </si>
  <si>
    <r>
      <t>: per Table 4.1.8.11, S(0.2) / S(5.0) &lt; 20, T</t>
    </r>
    <r>
      <rPr>
        <vertAlign val="subscript"/>
        <sz val="10"/>
        <color theme="1"/>
        <rFont val="Arial"/>
        <family val="2"/>
      </rPr>
      <t>a</t>
    </r>
    <r>
      <rPr>
        <sz val="10"/>
        <color theme="1"/>
        <rFont val="Arial"/>
        <family val="2"/>
      </rPr>
      <t xml:space="preserve"> &lt; 0.5</t>
    </r>
  </si>
  <si>
    <t>: diameter of 25M bar</t>
  </si>
  <si>
    <r>
      <t>s</t>
    </r>
    <r>
      <rPr>
        <vertAlign val="subscript"/>
        <sz val="10"/>
        <color theme="1"/>
        <rFont val="Arial"/>
        <family val="2"/>
      </rPr>
      <t>Frac2</t>
    </r>
  </si>
  <si>
    <t>: approximate rebar spacing for existing Frac 2 design</t>
  </si>
  <si>
    <r>
      <t>n</t>
    </r>
    <r>
      <rPr>
        <vertAlign val="subscript"/>
        <sz val="10"/>
        <color theme="1"/>
        <rFont val="Arial"/>
        <family val="2"/>
      </rPr>
      <t>bar,Frac2</t>
    </r>
  </si>
  <si>
    <t>: rebar spacing</t>
  </si>
  <si>
    <t>: approximate number of bars</t>
  </si>
  <si>
    <t>: number of bars used for design</t>
  </si>
  <si>
    <t>: number of bars in cross section, for top and bottom</t>
  </si>
  <si>
    <t>i. Minimum Reinforcement for Shrinkage and Temperature; CSA A23.3-19 Cl. 7.8.1:</t>
  </si>
  <si>
    <r>
      <t>A</t>
    </r>
    <r>
      <rPr>
        <vertAlign val="subscript"/>
        <sz val="10"/>
        <color theme="1"/>
        <rFont val="Arial"/>
        <family val="2"/>
      </rPr>
      <t>s,total</t>
    </r>
  </si>
  <si>
    <r>
      <t>: total area of reinforcement; 2 * A</t>
    </r>
    <r>
      <rPr>
        <vertAlign val="subscript"/>
        <sz val="10"/>
        <color theme="1"/>
        <rFont val="Arial"/>
        <family val="2"/>
      </rPr>
      <t>s</t>
    </r>
  </si>
  <si>
    <r>
      <t>: area of reinforcement per face, n</t>
    </r>
    <r>
      <rPr>
        <vertAlign val="subscript"/>
        <sz val="10"/>
        <color theme="1"/>
        <rFont val="Arial"/>
        <family val="2"/>
      </rPr>
      <t>bar</t>
    </r>
    <r>
      <rPr>
        <sz val="10"/>
        <color theme="1"/>
        <rFont val="Arial"/>
        <family val="2"/>
      </rPr>
      <t xml:space="preserve"> * A</t>
    </r>
    <r>
      <rPr>
        <vertAlign val="subscript"/>
        <sz val="10"/>
        <color theme="1"/>
        <rFont val="Arial"/>
        <family val="2"/>
      </rPr>
      <t>bar</t>
    </r>
  </si>
  <si>
    <r>
      <t>A</t>
    </r>
    <r>
      <rPr>
        <vertAlign val="subscript"/>
        <sz val="10"/>
        <color theme="1"/>
        <rFont val="Arial"/>
        <family val="2"/>
      </rPr>
      <t>s,total</t>
    </r>
    <r>
      <rPr>
        <sz val="10"/>
        <color theme="1"/>
        <rFont val="Arial"/>
        <family val="2"/>
      </rPr>
      <t xml:space="preserve"> &gt; A</t>
    </r>
    <r>
      <rPr>
        <vertAlign val="subscript"/>
        <sz val="10"/>
        <color theme="1"/>
        <rFont val="Arial"/>
        <family val="2"/>
      </rPr>
      <t>s,min</t>
    </r>
    <r>
      <rPr>
        <sz val="10"/>
        <color theme="1"/>
        <rFont val="Arial"/>
        <family val="2"/>
      </rPr>
      <t>; OK</t>
    </r>
  </si>
  <si>
    <t>The basic load cases described below are taken per the project standard load cases in JDB 2.B.01.</t>
  </si>
  <si>
    <t>There are no pipe supports on the pump foundation.</t>
  </si>
  <si>
    <t>Not applicable. There are no pipe supports on the pump foundation.</t>
  </si>
  <si>
    <t>Not applicable. There is no live load applied to the pump foundation.</t>
  </si>
  <si>
    <t>&gt; 0.2, &lt; 0.35</t>
  </si>
  <si>
    <t>&gt;0.1, &lt; 0.2</t>
  </si>
  <si>
    <t xml:space="preserve">Seismic loading is calculated as per NBC(AE) 2023. </t>
  </si>
  <si>
    <t>As per the geotechnical report and Deep Foundation Philosophy, a bond breaker is to be applied around on the vertical faces of pile caps. As a result, concrete jacking forces can be neglected around the perimeter of the foundation.</t>
  </si>
  <si>
    <t>: fundamental period</t>
  </si>
  <si>
    <t>: weight of foundation</t>
  </si>
  <si>
    <t>ii. Pile Cap Foundation Seismic Force:</t>
  </si>
  <si>
    <r>
      <t>V</t>
    </r>
    <r>
      <rPr>
        <vertAlign val="subscript"/>
        <sz val="10"/>
        <color theme="1"/>
        <rFont val="Arial"/>
        <family val="2"/>
      </rPr>
      <t>fdn</t>
    </r>
  </si>
  <si>
    <r>
      <t>W</t>
    </r>
    <r>
      <rPr>
        <vertAlign val="subscript"/>
        <sz val="10"/>
        <color theme="1"/>
        <rFont val="Arial"/>
        <family val="2"/>
      </rPr>
      <t>fdn</t>
    </r>
  </si>
  <si>
    <t>: seismic base shear of foundation</t>
  </si>
  <si>
    <r>
      <t>e</t>
    </r>
    <r>
      <rPr>
        <vertAlign val="subscript"/>
        <sz val="10"/>
        <color theme="1"/>
        <rFont val="Arial"/>
        <family val="2"/>
      </rPr>
      <t>pump</t>
    </r>
  </si>
  <si>
    <r>
      <t>e</t>
    </r>
    <r>
      <rPr>
        <vertAlign val="subscript"/>
        <sz val="10"/>
        <color theme="1"/>
        <rFont val="Arial"/>
        <family val="2"/>
      </rPr>
      <t>fdn</t>
    </r>
  </si>
  <si>
    <r>
      <t>: total base shear = V</t>
    </r>
    <r>
      <rPr>
        <vertAlign val="subscript"/>
        <sz val="10"/>
        <color theme="1"/>
        <rFont val="Arial"/>
        <family val="2"/>
      </rPr>
      <t>pump</t>
    </r>
    <r>
      <rPr>
        <sz val="10"/>
        <color theme="1"/>
        <rFont val="Arial"/>
        <family val="2"/>
      </rPr>
      <t xml:space="preserve"> + V</t>
    </r>
    <r>
      <rPr>
        <vertAlign val="subscript"/>
        <sz val="10"/>
        <color theme="1"/>
        <rFont val="Arial"/>
        <family val="2"/>
      </rPr>
      <t>fdn</t>
    </r>
  </si>
  <si>
    <r>
      <t>: foundation moment = (V*e)</t>
    </r>
    <r>
      <rPr>
        <vertAlign val="subscript"/>
        <sz val="10"/>
        <color theme="1"/>
        <rFont val="Arial"/>
        <family val="2"/>
      </rPr>
      <t>pump</t>
    </r>
    <r>
      <rPr>
        <sz val="10"/>
        <color theme="1"/>
        <rFont val="Arial"/>
        <family val="2"/>
      </rPr>
      <t xml:space="preserve"> + (V*e)</t>
    </r>
    <r>
      <rPr>
        <vertAlign val="subscript"/>
        <sz val="10"/>
        <color theme="1"/>
        <rFont val="Arial"/>
        <family val="2"/>
      </rPr>
      <t>fdn</t>
    </r>
  </si>
  <si>
    <t>For pile loading:</t>
  </si>
  <si>
    <t>Due to pile spacing, the transverse direction loading will govern the pile and anchor bolt design.</t>
  </si>
  <si>
    <t>For Pile Settlement:</t>
  </si>
  <si>
    <t>For Pile Lateral Displacement:</t>
  </si>
  <si>
    <t>Foundation Forces</t>
  </si>
  <si>
    <r>
      <t>T</t>
    </r>
    <r>
      <rPr>
        <vertAlign val="subscript"/>
        <sz val="10"/>
        <color theme="1"/>
        <rFont val="Arial"/>
        <family val="2"/>
      </rPr>
      <t>f</t>
    </r>
  </si>
  <si>
    <t>: maximum pile compression</t>
  </si>
  <si>
    <t>: maximum pile shear</t>
  </si>
  <si>
    <t>ULS Pile Loading:</t>
  </si>
  <si>
    <t>i. Pile to Pile Cap Weld Check:</t>
  </si>
  <si>
    <t>The D2L bars are validated as per the ICC-ES Evaluation Report ESR-2907.</t>
  </si>
  <si>
    <r>
      <t>f'</t>
    </r>
    <r>
      <rPr>
        <vertAlign val="subscript"/>
        <sz val="10"/>
        <color theme="1"/>
        <rFont val="Arial"/>
        <family val="2"/>
      </rPr>
      <t>c</t>
    </r>
  </si>
  <si>
    <t>inches</t>
  </si>
  <si>
    <t>a) Tension Development Length:</t>
  </si>
  <si>
    <r>
      <t xml:space="preserve">The actual concrete strength &gt; 4,000 psi. Therefore, provide </t>
    </r>
    <r>
      <rPr>
        <u/>
        <sz val="10"/>
        <color theme="1"/>
        <rFont val="Arial"/>
        <family val="2"/>
      </rPr>
      <t>L</t>
    </r>
    <r>
      <rPr>
        <u/>
        <vertAlign val="subscript"/>
        <sz val="10"/>
        <color theme="1"/>
        <rFont val="Arial"/>
        <family val="2"/>
      </rPr>
      <t>d</t>
    </r>
    <r>
      <rPr>
        <u/>
        <sz val="10"/>
        <color theme="1"/>
        <rFont val="Arial"/>
        <family val="2"/>
      </rPr>
      <t xml:space="preserve"> = 650 mm</t>
    </r>
    <r>
      <rPr>
        <sz val="10"/>
        <color theme="1"/>
        <rFont val="Arial"/>
        <family val="2"/>
      </rPr>
      <t>. Acceptable by extrapolation. OK.</t>
    </r>
  </si>
  <si>
    <r>
      <t>L</t>
    </r>
    <r>
      <rPr>
        <vertAlign val="subscript"/>
        <sz val="10"/>
        <color theme="1"/>
        <rFont val="Arial"/>
        <family val="2"/>
      </rPr>
      <t>d,req</t>
    </r>
  </si>
  <si>
    <r>
      <t>L</t>
    </r>
    <r>
      <rPr>
        <vertAlign val="subscript"/>
        <sz val="10"/>
        <color theme="1"/>
        <rFont val="Arial"/>
        <family val="2"/>
      </rPr>
      <t>d,act</t>
    </r>
  </si>
  <si>
    <t>b) Edge Distance and Spacing.</t>
  </si>
  <si>
    <t>The edge distance and spacing is validated against the tension load requirements:</t>
  </si>
  <si>
    <r>
      <t>e</t>
    </r>
    <r>
      <rPr>
        <vertAlign val="subscript"/>
        <sz val="10"/>
        <color theme="1"/>
        <rFont val="Arial"/>
        <family val="2"/>
      </rPr>
      <t>edge</t>
    </r>
  </si>
  <si>
    <t>: pile edge distance, from center of pile</t>
  </si>
  <si>
    <t>Tolerance</t>
  </si>
  <si>
    <t>: pile installation tolerance</t>
  </si>
  <si>
    <r>
      <t>pile</t>
    </r>
    <r>
      <rPr>
        <vertAlign val="subscript"/>
        <sz val="10"/>
        <color theme="1"/>
        <rFont val="Arial"/>
        <family val="2"/>
      </rPr>
      <t>edge</t>
    </r>
  </si>
  <si>
    <r>
      <t>: D2L edge distance = pile</t>
    </r>
    <r>
      <rPr>
        <vertAlign val="subscript"/>
        <sz val="10"/>
        <color theme="1"/>
        <rFont val="Arial"/>
        <family val="2"/>
      </rPr>
      <t>edge</t>
    </r>
    <r>
      <rPr>
        <sz val="10"/>
        <color theme="1"/>
        <rFont val="Arial"/>
        <family val="2"/>
      </rPr>
      <t xml:space="preserve"> - D</t>
    </r>
    <r>
      <rPr>
        <vertAlign val="subscript"/>
        <sz val="10"/>
        <color theme="1"/>
        <rFont val="Arial"/>
        <family val="2"/>
      </rPr>
      <t>p</t>
    </r>
    <r>
      <rPr>
        <sz val="10"/>
        <color theme="1"/>
        <rFont val="Arial"/>
        <family val="2"/>
      </rPr>
      <t xml:space="preserve"> / 2 - Tolerance</t>
    </r>
  </si>
  <si>
    <r>
      <t>10d</t>
    </r>
    <r>
      <rPr>
        <vertAlign val="subscript"/>
        <sz val="10"/>
        <color theme="1"/>
        <rFont val="Arial"/>
        <family val="2"/>
      </rPr>
      <t>b</t>
    </r>
  </si>
  <si>
    <r>
      <t>s</t>
    </r>
    <r>
      <rPr>
        <vertAlign val="subscript"/>
        <sz val="10"/>
        <color theme="1"/>
        <rFont val="Arial"/>
        <family val="2"/>
      </rPr>
      <t>bar</t>
    </r>
  </si>
  <si>
    <r>
      <t>: D2L bar spacing = πD</t>
    </r>
    <r>
      <rPr>
        <vertAlign val="subscript"/>
        <sz val="10"/>
        <color theme="1"/>
        <rFont val="Arial"/>
        <family val="2"/>
      </rPr>
      <t>p</t>
    </r>
    <r>
      <rPr>
        <sz val="10"/>
        <color theme="1"/>
        <rFont val="Arial"/>
        <family val="2"/>
      </rPr>
      <t xml:space="preserve"> / N</t>
    </r>
  </si>
  <si>
    <r>
      <t>7.5d</t>
    </r>
    <r>
      <rPr>
        <vertAlign val="subscript"/>
        <sz val="10"/>
        <color theme="1"/>
        <rFont val="Arial"/>
        <family val="2"/>
      </rPr>
      <t>b</t>
    </r>
  </si>
  <si>
    <t>c) Allowable Tension Capacity:</t>
  </si>
  <si>
    <t>The D2L allowable tension capacity is validated based on the Steel Ultimate Strength:</t>
  </si>
  <si>
    <r>
      <t>T</t>
    </r>
    <r>
      <rPr>
        <vertAlign val="subscript"/>
        <sz val="10"/>
        <color theme="1"/>
        <rFont val="Arial"/>
        <family val="2"/>
      </rPr>
      <t>r</t>
    </r>
  </si>
  <si>
    <t>lbs</t>
  </si>
  <si>
    <t>d) Allowable Shear Capacity</t>
  </si>
  <si>
    <r>
      <t>V</t>
    </r>
    <r>
      <rPr>
        <vertAlign val="subscript"/>
        <sz val="10"/>
        <color theme="1"/>
        <rFont val="Arial"/>
        <family val="2"/>
      </rPr>
      <t>r</t>
    </r>
  </si>
  <si>
    <t>1.</t>
  </si>
  <si>
    <t>2.</t>
  </si>
  <si>
    <t>3.</t>
  </si>
  <si>
    <r>
      <t>Although the required edge distance for shear (20d</t>
    </r>
    <r>
      <rPr>
        <vertAlign val="subscript"/>
        <sz val="10"/>
        <color theme="1"/>
        <rFont val="Arial"/>
        <family val="2"/>
      </rPr>
      <t>b</t>
    </r>
    <r>
      <rPr>
        <sz val="10"/>
        <color theme="1"/>
        <rFont val="Arial"/>
        <family val="2"/>
      </rPr>
      <t>) is not met, the shear resistance of the bars is acceptable by inspection. OK.</t>
    </r>
  </si>
  <si>
    <t>Frac 2 Spacing:</t>
  </si>
  <si>
    <t>Pile tension is due to frost heave, per Section 6.5:</t>
  </si>
  <si>
    <r>
      <t>T</t>
    </r>
    <r>
      <rPr>
        <vertAlign val="subscript"/>
        <sz val="10"/>
        <color theme="1"/>
        <rFont val="Arial"/>
        <family val="2"/>
      </rPr>
      <t>frost,heave</t>
    </r>
  </si>
  <si>
    <t>: frost heave acting on foundation cap</t>
  </si>
  <si>
    <t>: super-imposed dead load; pile cap only</t>
  </si>
  <si>
    <t>As can be seen, pile compression governs the design.</t>
  </si>
  <si>
    <t>w</t>
  </si>
  <si>
    <t>1.0DL / L</t>
  </si>
  <si>
    <r>
      <t>e</t>
    </r>
    <r>
      <rPr>
        <vertAlign val="subscript"/>
        <sz val="10"/>
        <color theme="1"/>
        <rFont val="Arial"/>
        <family val="2"/>
      </rPr>
      <t>1</t>
    </r>
  </si>
  <si>
    <t>The factored moment is conservatively estimated as:</t>
  </si>
  <si>
    <r>
      <t>The section moment resistance &gt;&gt; 1.33 M</t>
    </r>
    <r>
      <rPr>
        <vertAlign val="subscript"/>
        <sz val="10"/>
        <color theme="1"/>
        <rFont val="Arial"/>
        <family val="2"/>
      </rPr>
      <t>f</t>
    </r>
    <r>
      <rPr>
        <sz val="10"/>
        <color theme="1"/>
        <rFont val="Arial"/>
        <family val="2"/>
      </rPr>
      <t>. Therefore, the minimum reinforcement requirements per A23.3-19 Cl. 10.5.1.1 as calculated above need not apply. OK.</t>
    </r>
  </si>
  <si>
    <t>Moment resistance of the pile cap is as calculated as:</t>
  </si>
  <si>
    <t>: L / 2</t>
  </si>
  <si>
    <t>: distributed load applied to cap; use a load factor of 1.0, conservative.</t>
  </si>
  <si>
    <t>: factored moment</t>
  </si>
  <si>
    <r>
      <t>: maximum factored shear; 2C</t>
    </r>
    <r>
      <rPr>
        <vertAlign val="subscript"/>
        <sz val="10"/>
        <color theme="1"/>
        <rFont val="Arial"/>
        <family val="2"/>
      </rPr>
      <t>f</t>
    </r>
  </si>
  <si>
    <t>: maximum pile compression, from Section 8.2</t>
  </si>
  <si>
    <t>The pile is considered as a corner column.</t>
  </si>
  <si>
    <t>Calculation of Two-Way Shear Capacity:</t>
  </si>
  <si>
    <r>
      <t>: required area of skin reinforcement; ρ</t>
    </r>
    <r>
      <rPr>
        <vertAlign val="subscript"/>
        <sz val="10"/>
        <color theme="1"/>
        <rFont val="Arial"/>
        <family val="2"/>
      </rPr>
      <t>sk</t>
    </r>
    <r>
      <rPr>
        <sz val="10"/>
        <color theme="1"/>
        <rFont val="Arial"/>
        <family val="2"/>
      </rPr>
      <t xml:space="preserve"> * A</t>
    </r>
    <r>
      <rPr>
        <vertAlign val="subscript"/>
        <sz val="10"/>
        <color theme="1"/>
        <rFont val="Arial"/>
        <family val="2"/>
      </rPr>
      <t>cs</t>
    </r>
  </si>
  <si>
    <t>: anchor bolt diameter; 3/4"</t>
  </si>
  <si>
    <r>
      <t>A</t>
    </r>
    <r>
      <rPr>
        <vertAlign val="subscript"/>
        <sz val="10"/>
        <color theme="1"/>
        <rFont val="Arial"/>
        <family val="2"/>
      </rPr>
      <t>h</t>
    </r>
  </si>
  <si>
    <r>
      <t>: heavy hex nut nominal area; conservatively use π/4 * d</t>
    </r>
    <r>
      <rPr>
        <vertAlign val="subscript"/>
        <sz val="10"/>
        <color theme="1"/>
        <rFont val="Arial"/>
        <family val="2"/>
      </rPr>
      <t>h</t>
    </r>
    <r>
      <rPr>
        <vertAlign val="superscript"/>
        <sz val="10"/>
        <color theme="1"/>
        <rFont val="Arial"/>
        <family val="2"/>
      </rPr>
      <t>2</t>
    </r>
  </si>
  <si>
    <r>
      <t>d</t>
    </r>
    <r>
      <rPr>
        <vertAlign val="subscript"/>
        <sz val="10"/>
        <color theme="1"/>
        <rFont val="Arial"/>
        <family val="2"/>
      </rPr>
      <t>w</t>
    </r>
  </si>
  <si>
    <t>: dimension of square washer plate - no washer plate required</t>
  </si>
  <si>
    <r>
      <t>A</t>
    </r>
    <r>
      <rPr>
        <vertAlign val="subscript"/>
        <sz val="10"/>
        <rFont val="Arial"/>
        <family val="2"/>
      </rPr>
      <t>g</t>
    </r>
  </si>
  <si>
    <r>
      <t>: bolt gross area; π/4*d</t>
    </r>
    <r>
      <rPr>
        <vertAlign val="subscript"/>
        <sz val="10"/>
        <color theme="1"/>
        <rFont val="Arial"/>
        <family val="2"/>
      </rPr>
      <t>a</t>
    </r>
    <r>
      <rPr>
        <vertAlign val="superscript"/>
        <sz val="10"/>
        <color theme="1"/>
        <rFont val="Arial"/>
        <family val="2"/>
      </rPr>
      <t>2</t>
    </r>
  </si>
  <si>
    <r>
      <t>: bolt gross area, including corrosion; π/4*d</t>
    </r>
    <r>
      <rPr>
        <vertAlign val="subscript"/>
        <sz val="10"/>
        <color theme="1"/>
        <rFont val="Arial"/>
        <family val="2"/>
      </rPr>
      <t>eff</t>
    </r>
    <r>
      <rPr>
        <vertAlign val="superscript"/>
        <sz val="10"/>
        <color theme="1"/>
        <rFont val="Arial"/>
        <family val="2"/>
      </rPr>
      <t>2</t>
    </r>
    <r>
      <rPr>
        <sz val="10"/>
        <color theme="1"/>
        <rFont val="Arial"/>
        <family val="2"/>
      </rPr>
      <t xml:space="preserve"> </t>
    </r>
  </si>
  <si>
    <t>Anchor Length:</t>
  </si>
  <si>
    <r>
      <t>L</t>
    </r>
    <r>
      <rPr>
        <vertAlign val="subscript"/>
        <sz val="10"/>
        <color theme="1"/>
        <rFont val="Arial"/>
        <family val="2"/>
      </rPr>
      <t>a</t>
    </r>
  </si>
  <si>
    <r>
      <t>t</t>
    </r>
    <r>
      <rPr>
        <vertAlign val="subscript"/>
        <sz val="10"/>
        <rFont val="Arial"/>
        <family val="2"/>
      </rPr>
      <t>G</t>
    </r>
  </si>
  <si>
    <t>: grout thickness; per std dwg P07-019-MEC-CON-04-3000</t>
  </si>
  <si>
    <r>
      <t>P</t>
    </r>
    <r>
      <rPr>
        <vertAlign val="subscript"/>
        <sz val="10"/>
        <rFont val="Arial"/>
        <family val="2"/>
      </rPr>
      <t>1</t>
    </r>
  </si>
  <si>
    <t>: nut height and thread length at bottom of anchor</t>
  </si>
  <si>
    <t>N2 + 25</t>
  </si>
  <si>
    <t>P</t>
  </si>
  <si>
    <t>: nut height and thread length at top of anchor; double nuts = 57 mm  + 25 mm</t>
  </si>
  <si>
    <r>
      <t>t</t>
    </r>
    <r>
      <rPr>
        <vertAlign val="subscript"/>
        <sz val="10"/>
        <color theme="1"/>
        <rFont val="Arial"/>
        <family val="2"/>
      </rPr>
      <t>skid</t>
    </r>
  </si>
  <si>
    <r>
      <t>: projection = t</t>
    </r>
    <r>
      <rPr>
        <vertAlign val="subscript"/>
        <sz val="10"/>
        <color theme="1"/>
        <rFont val="Arial"/>
        <family val="2"/>
      </rPr>
      <t>g</t>
    </r>
    <r>
      <rPr>
        <sz val="10"/>
        <color theme="1"/>
        <rFont val="Arial"/>
        <family val="2"/>
      </rPr>
      <t xml:space="preserve"> + h</t>
    </r>
    <r>
      <rPr>
        <vertAlign val="subscript"/>
        <sz val="10"/>
        <color theme="1"/>
        <rFont val="Arial"/>
        <family val="2"/>
      </rPr>
      <t>skid</t>
    </r>
    <r>
      <rPr>
        <sz val="10"/>
        <color theme="1"/>
        <rFont val="Arial"/>
        <family val="2"/>
      </rPr>
      <t xml:space="preserve"> + N2+25; rounded up to nearest 5 mm</t>
    </r>
  </si>
  <si>
    <t>: total anchor length</t>
  </si>
  <si>
    <r>
      <t>: &gt;12d</t>
    </r>
    <r>
      <rPr>
        <vertAlign val="subscript"/>
        <sz val="10"/>
        <color theme="1"/>
        <rFont val="Arial"/>
        <family val="2"/>
      </rPr>
      <t>a</t>
    </r>
    <r>
      <rPr>
        <sz val="10"/>
        <color theme="1"/>
        <rFont val="Arial"/>
        <family val="2"/>
      </rPr>
      <t xml:space="preserve"> = 230 mm. OK. </t>
    </r>
  </si>
  <si>
    <t>Edge Distances:</t>
  </si>
  <si>
    <t>K</t>
  </si>
  <si>
    <t>Concrete side-face blowout is checked under the bolt pretension force.</t>
  </si>
  <si>
    <t>Side-face blowout is acceptable for the applied anchor pretension force. OK.</t>
  </si>
  <si>
    <r>
      <t>: modification factor for edge effects. 0.7 + 0.3*(c</t>
    </r>
    <r>
      <rPr>
        <vertAlign val="subscript"/>
        <sz val="10"/>
        <color theme="1"/>
        <rFont val="Arial"/>
        <family val="2"/>
      </rPr>
      <t>a2</t>
    </r>
    <r>
      <rPr>
        <sz val="10"/>
        <color theme="1"/>
        <rFont val="Arial"/>
        <family val="2"/>
      </rPr>
      <t>/1.5c</t>
    </r>
    <r>
      <rPr>
        <vertAlign val="subscript"/>
        <sz val="10"/>
        <color theme="1"/>
        <rFont val="Arial"/>
        <family val="2"/>
      </rPr>
      <t>a1</t>
    </r>
    <r>
      <rPr>
        <sz val="10"/>
        <color theme="1"/>
        <rFont val="Arial"/>
        <family val="2"/>
      </rPr>
      <t>)</t>
    </r>
  </si>
  <si>
    <t>Existing Frac 2 Vendor and Foundation Drawings</t>
  </si>
  <si>
    <t>Frac 2:</t>
  </si>
  <si>
    <t>Current Frac 3:</t>
  </si>
  <si>
    <t>Replication Plan P-19005-GEN-PLN-0014 indicated a target 80% replication for the foundation design:</t>
  </si>
  <si>
    <t>Pile Design:</t>
  </si>
  <si>
    <t>Item</t>
  </si>
  <si>
    <t>Frac 2 Design</t>
  </si>
  <si>
    <t>Current Design</t>
  </si>
  <si>
    <t>Reason for Change</t>
  </si>
  <si>
    <t>No. Piles</t>
  </si>
  <si>
    <t>No change.</t>
  </si>
  <si>
    <t>Pile Diameter</t>
  </si>
  <si>
    <t>Pile Length</t>
  </si>
  <si>
    <t>Pile Anchorage</t>
  </si>
  <si>
    <t>D2L Bars</t>
  </si>
  <si>
    <t>12.0 m</t>
  </si>
  <si>
    <t>Anchor Diameter</t>
  </si>
  <si>
    <t>Anchor Length</t>
  </si>
  <si>
    <t xml:space="preserve"> Width</t>
  </si>
  <si>
    <t>Thickness</t>
  </si>
  <si>
    <t>Length</t>
  </si>
  <si>
    <t>Flexure Reinf.</t>
  </si>
  <si>
    <t>Negligible change.</t>
  </si>
  <si>
    <t>600 mm</t>
  </si>
  <si>
    <t>50 mm Epoxy</t>
  </si>
  <si>
    <t>40 mm Epoxy</t>
  </si>
  <si>
    <t>Client Specs / Std. Dwg.</t>
  </si>
  <si>
    <t>Keyera Specifications:</t>
  </si>
  <si>
    <t>Equipment weight increased.</t>
  </si>
  <si>
    <t>Foundation Design:</t>
  </si>
  <si>
    <t>As per Section 5.7.2 of the Geotechnical Report, minimum pile spacing = 3D:</t>
  </si>
  <si>
    <t>: pile spacing ratio</t>
  </si>
  <si>
    <t>Pile spacing is acceptable.</t>
  </si>
  <si>
    <t>8.2.3 Pile Spacing and Edge Distance</t>
  </si>
  <si>
    <t>As per JDB  2.C.03, typical minimum pile edge distance = 1.25 dia.</t>
  </si>
  <si>
    <t>: pile edge distance</t>
  </si>
  <si>
    <r>
      <t>s / D</t>
    </r>
    <r>
      <rPr>
        <vertAlign val="subscript"/>
        <sz val="10"/>
        <color theme="1"/>
        <rFont val="Arial"/>
        <family val="2"/>
      </rPr>
      <t>p</t>
    </r>
  </si>
  <si>
    <r>
      <t>1.25D</t>
    </r>
    <r>
      <rPr>
        <vertAlign val="subscript"/>
        <sz val="10"/>
        <color theme="1"/>
        <rFont val="Arial"/>
        <family val="2"/>
      </rPr>
      <t>p</t>
    </r>
  </si>
  <si>
    <r>
      <t>e</t>
    </r>
    <r>
      <rPr>
        <vertAlign val="subscript"/>
        <sz val="10"/>
        <color theme="1"/>
        <rFont val="Arial"/>
        <family val="2"/>
      </rPr>
      <t>edge</t>
    </r>
    <r>
      <rPr>
        <sz val="10"/>
        <color theme="1"/>
        <rFont val="Arial"/>
        <family val="2"/>
      </rPr>
      <t xml:space="preserve"> / D</t>
    </r>
    <r>
      <rPr>
        <vertAlign val="subscript"/>
        <sz val="10"/>
        <color theme="1"/>
        <rFont val="Arial"/>
        <family val="2"/>
      </rPr>
      <t>p</t>
    </r>
  </si>
  <si>
    <r>
      <t>For Pile Schedule loading, use 2.0 * C</t>
    </r>
    <r>
      <rPr>
        <vertAlign val="subscript"/>
        <sz val="10"/>
        <color theme="1"/>
        <rFont val="Arial"/>
        <family val="2"/>
      </rPr>
      <t>f</t>
    </r>
    <r>
      <rPr>
        <sz val="10"/>
        <color theme="1"/>
        <rFont val="Arial"/>
        <family val="2"/>
      </rPr>
      <t xml:space="preserve"> + 25 kN =</t>
    </r>
  </si>
  <si>
    <t>03-134</t>
  </si>
  <si>
    <t>Machinery Installation Requirements (API 686)</t>
  </si>
  <si>
    <t>All gusset plates and connection plate materials shall be min. 10 mm thick</t>
  </si>
  <si>
    <t>Specified min. compressive strength at 28 days, 30 MPa</t>
  </si>
  <si>
    <t>: total load of fresh concrete considered for initial deformation of void form</t>
  </si>
  <si>
    <t>No net sustained tension will occur on the pile group during the frost heave scenario. Therefore, Case 3 check does not apply.</t>
  </si>
  <si>
    <t>As per JDB 2.04.1 Deep Foundation Philosophy, for an SLS compression load = 30% of the ultimate compression resistance, pile settlement = 4 mm.</t>
  </si>
  <si>
    <t>The pile cap is considered sufficiently rigid that it is reasonable to assume the piles are approximately equally loaded. Therefore, differential settlement is not a concern by engineering judgement. OK.
The compressive load will be re-distributed to adjacent piles at the onset of any differential settlement.</t>
  </si>
  <si>
    <t>The pipes are supported on the adjacent building slab.</t>
  </si>
  <si>
    <t>Load combinations applicable to the pump foundation are adapted from the project standard load combinations in JDB 2.B.03.</t>
  </si>
  <si>
    <r>
      <t>s</t>
    </r>
    <r>
      <rPr>
        <vertAlign val="subscript"/>
        <sz val="10"/>
        <color theme="1"/>
        <rFont val="Arial"/>
        <family val="2"/>
      </rPr>
      <t>bar</t>
    </r>
    <r>
      <rPr>
        <sz val="10"/>
        <color theme="1"/>
        <rFont val="Arial"/>
        <family val="2"/>
      </rPr>
      <t xml:space="preserve"> &gt; 7.5d</t>
    </r>
    <r>
      <rPr>
        <vertAlign val="subscript"/>
        <sz val="10"/>
        <color theme="1"/>
        <rFont val="Arial"/>
        <family val="2"/>
      </rPr>
      <t>b</t>
    </r>
    <r>
      <rPr>
        <sz val="10"/>
        <color theme="1"/>
        <rFont val="Arial"/>
        <family val="2"/>
      </rPr>
      <t>. The anchor spacing is acceptable. OK.</t>
    </r>
  </si>
  <si>
    <t>The pile are embedded in the concrete. Shear is additionally resisted by bearing at the pile embedment.</t>
  </si>
  <si>
    <t>&gt; 3D</t>
  </si>
  <si>
    <t>The resulting one-way shear capacity is checked against the maximum factored shear force.</t>
  </si>
  <si>
    <t>The pile cap acts similar to a beam. Therefore, the longitudinal reinforcement is designed below and the same reinforcement design is used for the transverse direction.</t>
  </si>
  <si>
    <t>: section width</t>
  </si>
  <si>
    <t>: section height</t>
  </si>
  <si>
    <t>: steel reinforcement yield strength</t>
  </si>
  <si>
    <r>
      <t>A</t>
    </r>
    <r>
      <rPr>
        <vertAlign val="subscript"/>
        <sz val="10"/>
        <rFont val="Arial"/>
        <family val="2"/>
      </rPr>
      <t>s,total</t>
    </r>
  </si>
  <si>
    <t>The factored moment is calculated as the maximum moment due to pile compression or pile tension.</t>
  </si>
  <si>
    <r>
      <t>One-way shear is checked using V</t>
    </r>
    <r>
      <rPr>
        <vertAlign val="subscript"/>
        <sz val="10"/>
        <color theme="1"/>
        <rFont val="Arial"/>
        <family val="2"/>
      </rPr>
      <t>f</t>
    </r>
    <r>
      <rPr>
        <sz val="10"/>
        <color theme="1"/>
        <rFont val="Arial"/>
        <family val="2"/>
      </rPr>
      <t xml:space="preserve"> = 2C</t>
    </r>
    <r>
      <rPr>
        <vertAlign val="subscript"/>
        <sz val="10"/>
        <color theme="1"/>
        <rFont val="Arial"/>
        <family val="2"/>
      </rPr>
      <t>f</t>
    </r>
    <r>
      <rPr>
        <sz val="10"/>
        <color theme="1"/>
        <rFont val="Arial"/>
        <family val="2"/>
      </rPr>
      <t xml:space="preserve"> after the first set of piles. This ignores the reduction in shear due to the dead load; conservative.</t>
    </r>
  </si>
  <si>
    <t>The anchor reaction forces are calculated in the same manner as the pile reactions, with the eccentricity measured from the underside of pump skid elevation.</t>
  </si>
  <si>
    <t>: heavy hex nut; min 1.212" width across flats; treat as a circle</t>
  </si>
  <si>
    <t xml:space="preserve">From above, no shear reinforcement is required. </t>
  </si>
  <si>
    <t>4.6  Replication of Frac 2</t>
  </si>
  <si>
    <t>Replication of Frac 2</t>
  </si>
  <si>
    <t>F3KY-215-CAL-047</t>
  </si>
  <si>
    <t>\\FDNET.COM\CA_Projects\CA_F3KY\215_STRUCTURAL\215E_ENGINEERING_DESIGN_DATA\215E_014_R_Proj_Calculations_Sketches\F3KY-215-CAL-047 CWA 250 PM-6008_6009 Fdn Design</t>
  </si>
  <si>
    <t>F3KY-215-CAL-047_0_01.xlsm</t>
  </si>
  <si>
    <t>F3KY-21J-CAL-NNN_R_YY.EXT</t>
  </si>
  <si>
    <t xml:space="preserve">The purpose of this calculation is to perform the pile and concrete foundation design for the two (2) raw feed booster pumps located in the Injection Pump Building BU-6258: PM-6008 and PM-6009. Both of the pumps are identical and supported on individual foundations. Therefore, only a single foundation design is performed. 
The raw feed booster pumps are 300 hp centrifugal pumps with an operating speed of 3600 rpm for both pump and motor. The total skid weight is approximately 3800 kg. As per project specification 19005-018-GEN-SPC-04-050 Section 3.7.3, since the rated power &lt; 500 hp and operating speed &gt; 1200 rpm, a detailed dynamic analysis is not required:
</t>
  </si>
  <si>
    <t>Figure 3-5: PM-6008 and PM-6009 Isometric View</t>
  </si>
  <si>
    <t>The existing pump Vendor was CPC Pumps International. Refer to GA Dwg. 3110A-B01.</t>
  </si>
  <si>
    <t>A summary of the deviations between the current design and the Frac 2 existing design is presented below.</t>
  </si>
  <si>
    <t>The primary driver for the changes is due to changes in the pump size, rated power, and weight.</t>
  </si>
  <si>
    <t>Pump package overall weight increased from 2,963 kg (Frac 2) to 3,777 kg (current). This is an increase of 27%, requiring validation of the required minimum 3:1 mass ratio.</t>
  </si>
  <si>
    <t>The pump rated power increased from 200 hp (Frac 2) to 300 hp (current). This increase leads to the increase in pump weight. However, it still does not necessitate an in-depth dynamic analysis.</t>
  </si>
  <si>
    <t>9.0 m</t>
  </si>
  <si>
    <t>Nelson Studs</t>
  </si>
  <si>
    <t>2.2 m  x 0.8 m</t>
  </si>
  <si>
    <t>1400 mm</t>
  </si>
  <si>
    <t>3000 mm</t>
  </si>
  <si>
    <t>1800 mm</t>
  </si>
  <si>
    <t>20M @ ~300 mm</t>
  </si>
  <si>
    <t>10 - 3/4"</t>
  </si>
  <si>
    <t>490 mm</t>
  </si>
  <si>
    <t>Vendor skid size increase.</t>
  </si>
  <si>
    <t>The raw feed booster pumps PM-6008 and PM-6009 are not explicitly included in the replication plan P-19005-GEN-PLN-0014. However, the pumps are similar to the existing pumps, and the CWA 250 injection pumps are part of the replication plan. Therefore, the same replication concept for the injection pumps is also applied to the raw feed booster pumps.</t>
  </si>
  <si>
    <t>The pump skid base dimensions increased from 2.724 m x 1.219m (Frac 2) to 2.724 m x 1.524 m (current). The foundation is widened to account for the larger skid.</t>
  </si>
  <si>
    <r>
      <rPr>
        <b/>
        <i/>
        <u/>
        <sz val="10"/>
        <rFont val="Arial"/>
        <family val="2"/>
      </rPr>
      <t>Dynamic Design Methodology:</t>
    </r>
    <r>
      <rPr>
        <sz val="10"/>
        <rFont val="Arial"/>
        <family val="2"/>
      </rPr>
      <t xml:space="preserve">
</t>
    </r>
  </si>
  <si>
    <t>And ACI 351.3R-18 Cl. 7.1.2.1 and 7.1.2.2:</t>
  </si>
  <si>
    <t>Therefore, a detailed dynamic analysis is not required and the foundation will be designed for the equivalent static loading only.</t>
  </si>
  <si>
    <t xml:space="preserve">Additional industry best practices for dynamic foundations will be employed including: minimum 3:1 mass ratio, pile cap rigidity requirements, foundation eccentricity requirements, comparison between foundation natural frequency and operating speed, maximum allowable pile geotechnical unity ratios, minimum reinforcement ratios, etc. </t>
  </si>
  <si>
    <r>
      <rPr>
        <b/>
        <i/>
        <u/>
        <sz val="10"/>
        <rFont val="Arial"/>
        <family val="2"/>
      </rPr>
      <t>Pile Design Methodology:</t>
    </r>
    <r>
      <rPr>
        <sz val="10"/>
        <rFont val="Arial"/>
        <family val="2"/>
      </rPr>
      <t xml:space="preserve">
The pile cap is founded on a grid of four (4) driven steel pipe piles.
</t>
    </r>
  </si>
  <si>
    <t>The foundation is relatively lightly loading regarding static forces. Therefore, the design of the foundation is expected to be governed by dynamic and geometric requirements.</t>
  </si>
  <si>
    <t>The concrete foundation geometry is based on the stiffness and mass ratio guidelines presented in Fluor Guideline 000.215.1227 and 000.215.1234.</t>
  </si>
  <si>
    <t>These recommendations are consistent with those provided in Fluor Guideline 000.215.1227:</t>
  </si>
  <si>
    <t>As such, for the static design of the foundation, it is expected that only minimum reinforcement is required.</t>
  </si>
  <si>
    <t>7. LOAD DEVELOPMENT</t>
  </si>
  <si>
    <t>6. VENDOR INFORMATION AND PILE CAP GEOMETRY</t>
  </si>
  <si>
    <t>6.1 PM-6008 and PM-6009 Vendor Information</t>
  </si>
  <si>
    <t>Plan 75</t>
  </si>
  <si>
    <t>Rated Power</t>
  </si>
  <si>
    <t>Weights:</t>
  </si>
  <si>
    <t>Driver</t>
  </si>
  <si>
    <t>TOTAL</t>
  </si>
  <si>
    <t>Skid Dimensions:</t>
  </si>
  <si>
    <r>
      <t>L</t>
    </r>
    <r>
      <rPr>
        <vertAlign val="subscript"/>
        <sz val="10"/>
        <color theme="1"/>
        <rFont val="Arial"/>
        <family val="2"/>
      </rPr>
      <t>skid</t>
    </r>
  </si>
  <si>
    <r>
      <t>W</t>
    </r>
    <r>
      <rPr>
        <vertAlign val="subscript"/>
        <sz val="10"/>
        <color theme="1"/>
        <rFont val="Arial"/>
        <family val="2"/>
      </rPr>
      <t>skid</t>
    </r>
  </si>
  <si>
    <r>
      <t>COG</t>
    </r>
    <r>
      <rPr>
        <vertAlign val="subscript"/>
        <sz val="10"/>
        <color theme="1"/>
        <rFont val="Arial"/>
        <family val="2"/>
      </rPr>
      <t>X</t>
    </r>
  </si>
  <si>
    <r>
      <t>COG</t>
    </r>
    <r>
      <rPr>
        <vertAlign val="subscript"/>
        <sz val="10"/>
        <color theme="1"/>
        <rFont val="Arial"/>
        <family val="2"/>
      </rPr>
      <t>Z</t>
    </r>
  </si>
  <si>
    <r>
      <t>COG</t>
    </r>
    <r>
      <rPr>
        <vertAlign val="subscript"/>
        <sz val="10"/>
        <color theme="1"/>
        <rFont val="Arial"/>
        <family val="2"/>
      </rPr>
      <t>Y</t>
    </r>
  </si>
  <si>
    <t>: length of skid</t>
  </si>
  <si>
    <t>: width of skid</t>
  </si>
  <si>
    <t>: COG along the length "L" dimension</t>
  </si>
  <si>
    <t>: COG along the width "W" dimension</t>
  </si>
  <si>
    <t>: COG along the height, from underside of skid</t>
  </si>
  <si>
    <t>Anchor Bolt Dimensions:</t>
  </si>
  <si>
    <t>: total length of anchor bolt spacing</t>
  </si>
  <si>
    <t>: total width of anchor bolt spacing</t>
  </si>
  <si>
    <t>: anchor spacing</t>
  </si>
  <si>
    <t>: number of anchors</t>
  </si>
  <si>
    <t>: anchor diameter, 3/4"</t>
  </si>
  <si>
    <t>6.2 Foundation Geometry Validation</t>
  </si>
  <si>
    <r>
      <t>L</t>
    </r>
    <r>
      <rPr>
        <vertAlign val="subscript"/>
        <sz val="10"/>
        <color theme="1"/>
        <rFont val="Arial"/>
        <family val="2"/>
      </rPr>
      <t>cap</t>
    </r>
  </si>
  <si>
    <r>
      <t>W</t>
    </r>
    <r>
      <rPr>
        <vertAlign val="subscript"/>
        <sz val="10"/>
        <color theme="1"/>
        <rFont val="Arial"/>
        <family val="2"/>
      </rPr>
      <t>cap</t>
    </r>
  </si>
  <si>
    <r>
      <t>H</t>
    </r>
    <r>
      <rPr>
        <vertAlign val="subscript"/>
        <sz val="10"/>
        <color theme="1"/>
        <rFont val="Arial"/>
        <family val="2"/>
      </rPr>
      <t>cap</t>
    </r>
  </si>
  <si>
    <r>
      <t>t</t>
    </r>
    <r>
      <rPr>
        <vertAlign val="subscript"/>
        <sz val="10"/>
        <color theme="1"/>
        <rFont val="Arial"/>
        <family val="2"/>
      </rPr>
      <t>g</t>
    </r>
  </si>
  <si>
    <t>: width of pile cap</t>
  </si>
  <si>
    <t>: height of pile cap</t>
  </si>
  <si>
    <t>: grout thickness</t>
  </si>
  <si>
    <t>6.2.2 Mass Ratio Validation</t>
  </si>
  <si>
    <t>6.2.1 Pile Cap Geometry</t>
  </si>
  <si>
    <t>Weight of Pump Skid:</t>
  </si>
  <si>
    <t>Weight of pump skid is provided by the vendor, summarized in Section 6.1 above.</t>
  </si>
  <si>
    <r>
      <t>W</t>
    </r>
    <r>
      <rPr>
        <vertAlign val="subscript"/>
        <sz val="10"/>
        <color theme="1"/>
        <rFont val="Arial"/>
        <family val="2"/>
      </rPr>
      <t>eq</t>
    </r>
  </si>
  <si>
    <t>Mass Ratio:</t>
  </si>
  <si>
    <t>Weight of foundation / Weight of equipment</t>
  </si>
  <si>
    <t>&gt; 3:1, Okay.</t>
  </si>
  <si>
    <t>The mass ratio requirements are satisfied. OK.</t>
  </si>
  <si>
    <t>6.2.3 Pile Cap Rigidity Validation</t>
  </si>
  <si>
    <r>
      <t>ii. The foundation pile cap thickness should not be less than t</t>
    </r>
    <r>
      <rPr>
        <vertAlign val="subscript"/>
        <sz val="10"/>
        <color theme="1"/>
        <rFont val="Arial"/>
        <family val="2"/>
      </rPr>
      <t>cap</t>
    </r>
    <r>
      <rPr>
        <sz val="10"/>
        <color theme="1"/>
        <rFont val="Arial"/>
        <family val="2"/>
      </rPr>
      <t xml:space="preserve"> ≥ 0.6 + L / 30.</t>
    </r>
  </si>
  <si>
    <t>longest foundation dimension</t>
  </si>
  <si>
    <r>
      <t xml:space="preserve"> &gt; t</t>
    </r>
    <r>
      <rPr>
        <vertAlign val="subscript"/>
        <sz val="10"/>
        <color theme="1"/>
        <rFont val="Arial"/>
        <family val="2"/>
      </rPr>
      <t>min</t>
    </r>
    <r>
      <rPr>
        <sz val="10"/>
        <color theme="1"/>
        <rFont val="Arial"/>
        <family val="2"/>
      </rPr>
      <t>, OK.</t>
    </r>
  </si>
  <si>
    <t>6.2.4 Eccentricity Validation</t>
  </si>
  <si>
    <r>
      <t>iii. In relation to the soil shear modulus, the foundation pile cap thickness should not be less than
 t</t>
    </r>
    <r>
      <rPr>
        <vertAlign val="subscript"/>
        <sz val="10"/>
        <color theme="1"/>
        <rFont val="Arial"/>
        <family val="2"/>
      </rPr>
      <t>cap</t>
    </r>
    <r>
      <rPr>
        <sz val="10"/>
        <color theme="1"/>
        <rFont val="Arial"/>
        <family val="2"/>
      </rPr>
      <t xml:space="preserve"> ≥ 0.01(G</t>
    </r>
    <r>
      <rPr>
        <vertAlign val="subscript"/>
        <sz val="10"/>
        <color theme="1"/>
        <rFont val="Arial"/>
        <family val="2"/>
      </rPr>
      <t>s</t>
    </r>
    <r>
      <rPr>
        <sz val="10"/>
        <color theme="1"/>
        <rFont val="Arial"/>
        <family val="2"/>
      </rPr>
      <t>L</t>
    </r>
    <r>
      <rPr>
        <vertAlign val="superscript"/>
        <sz val="10"/>
        <color theme="1"/>
        <rFont val="Arial"/>
        <family val="2"/>
      </rPr>
      <t>4</t>
    </r>
    <r>
      <rPr>
        <sz val="10"/>
        <color theme="1"/>
        <rFont val="Arial"/>
        <family val="2"/>
      </rPr>
      <t xml:space="preserve"> / b)</t>
    </r>
    <r>
      <rPr>
        <vertAlign val="superscript"/>
        <sz val="10"/>
        <color theme="1"/>
        <rFont val="Arial"/>
        <family val="2"/>
      </rPr>
      <t>1/3</t>
    </r>
  </si>
  <si>
    <r>
      <t>G</t>
    </r>
    <r>
      <rPr>
        <vertAlign val="subscript"/>
        <sz val="10"/>
        <color theme="1"/>
        <rFont val="Arial"/>
        <family val="2"/>
      </rPr>
      <t>s</t>
    </r>
  </si>
  <si>
    <r>
      <t>kN/m</t>
    </r>
    <r>
      <rPr>
        <vertAlign val="superscript"/>
        <sz val="10"/>
        <color theme="1"/>
        <rFont val="Arial"/>
        <family val="2"/>
      </rPr>
      <t>2</t>
    </r>
  </si>
  <si>
    <t>: soil shear modulus; use max. upper bound per Geotechnical Report</t>
  </si>
  <si>
    <t>As per Fluor Practice 000.215.1234 and ACI 351.3R-18 Cl. 7.1.2.1, the combined center of gravity of the machine-foundation system shall be within 5% of the center of resistance for the pile group.</t>
  </si>
  <si>
    <t>Pile Cap COG:</t>
  </si>
  <si>
    <r>
      <t>: COG along the length "L" dimension; L</t>
    </r>
    <r>
      <rPr>
        <vertAlign val="subscript"/>
        <sz val="10"/>
        <color theme="1"/>
        <rFont val="Arial"/>
        <family val="2"/>
      </rPr>
      <t>cap</t>
    </r>
    <r>
      <rPr>
        <sz val="10"/>
        <color theme="1"/>
        <rFont val="Arial"/>
        <family val="2"/>
      </rPr>
      <t xml:space="preserve"> / 2</t>
    </r>
  </si>
  <si>
    <r>
      <t>: COG along the width "W" dimension; W</t>
    </r>
    <r>
      <rPr>
        <vertAlign val="subscript"/>
        <sz val="10"/>
        <color theme="1"/>
        <rFont val="Arial"/>
        <family val="2"/>
      </rPr>
      <t>cap</t>
    </r>
    <r>
      <rPr>
        <sz val="10"/>
        <color theme="1"/>
        <rFont val="Arial"/>
        <family val="2"/>
      </rPr>
      <t xml:space="preserve"> / 2</t>
    </r>
  </si>
  <si>
    <t>: weight of cap</t>
  </si>
  <si>
    <t>Pump COG:</t>
  </si>
  <si>
    <r>
      <t>e</t>
    </r>
    <r>
      <rPr>
        <vertAlign val="subscript"/>
        <sz val="10"/>
        <color theme="1"/>
        <rFont val="Arial"/>
        <family val="2"/>
      </rPr>
      <t>X</t>
    </r>
  </si>
  <si>
    <r>
      <t>e</t>
    </r>
    <r>
      <rPr>
        <vertAlign val="subscript"/>
        <sz val="10"/>
        <color theme="1"/>
        <rFont val="Arial"/>
        <family val="2"/>
      </rPr>
      <t>Z</t>
    </r>
  </si>
  <si>
    <r>
      <t>W</t>
    </r>
    <r>
      <rPr>
        <vertAlign val="subscript"/>
        <sz val="10"/>
        <color theme="1"/>
        <rFont val="Arial"/>
        <family val="2"/>
      </rPr>
      <t>pump</t>
    </r>
  </si>
  <si>
    <t>: weight of pump skid</t>
  </si>
  <si>
    <r>
      <t>: COG along the width "W" dimension;  COG</t>
    </r>
    <r>
      <rPr>
        <vertAlign val="subscript"/>
        <sz val="10"/>
        <color theme="1"/>
        <rFont val="Arial"/>
        <family val="2"/>
      </rPr>
      <t>Z</t>
    </r>
    <r>
      <rPr>
        <sz val="10"/>
        <color theme="1"/>
        <rFont val="Arial"/>
        <family val="2"/>
      </rPr>
      <t xml:space="preserve"> + e</t>
    </r>
    <r>
      <rPr>
        <vertAlign val="subscript"/>
        <sz val="10"/>
        <color theme="1"/>
        <rFont val="Arial"/>
        <family val="2"/>
      </rPr>
      <t>Z</t>
    </r>
  </si>
  <si>
    <r>
      <t>COG'</t>
    </r>
    <r>
      <rPr>
        <vertAlign val="subscript"/>
        <sz val="10"/>
        <color theme="1"/>
        <rFont val="Arial"/>
        <family val="2"/>
      </rPr>
      <t>X</t>
    </r>
  </si>
  <si>
    <r>
      <t>COG'</t>
    </r>
    <r>
      <rPr>
        <vertAlign val="subscript"/>
        <sz val="10"/>
        <color theme="1"/>
        <rFont val="Arial"/>
        <family val="2"/>
      </rPr>
      <t>Z</t>
    </r>
  </si>
  <si>
    <r>
      <t>COG</t>
    </r>
    <r>
      <rPr>
        <vertAlign val="subscript"/>
        <sz val="10"/>
        <color theme="1"/>
        <rFont val="Arial"/>
        <family val="2"/>
      </rPr>
      <t>X,cap</t>
    </r>
  </si>
  <si>
    <r>
      <t>COG</t>
    </r>
    <r>
      <rPr>
        <vertAlign val="subscript"/>
        <sz val="10"/>
        <color theme="1"/>
        <rFont val="Arial"/>
        <family val="2"/>
      </rPr>
      <t>Z,cap</t>
    </r>
  </si>
  <si>
    <t>Combined COG:</t>
  </si>
  <si>
    <r>
      <t>COG</t>
    </r>
    <r>
      <rPr>
        <vertAlign val="subscript"/>
        <sz val="10"/>
        <color theme="1"/>
        <rFont val="Arial"/>
        <family val="2"/>
      </rPr>
      <t>X,combined</t>
    </r>
  </si>
  <si>
    <r>
      <t>COG</t>
    </r>
    <r>
      <rPr>
        <vertAlign val="subscript"/>
        <sz val="10"/>
        <color theme="1"/>
        <rFont val="Arial"/>
        <family val="2"/>
      </rPr>
      <t>Z,combined</t>
    </r>
  </si>
  <si>
    <r>
      <t>(COG</t>
    </r>
    <r>
      <rPr>
        <vertAlign val="subscript"/>
        <sz val="10"/>
        <color theme="1"/>
        <rFont val="Arial"/>
        <family val="2"/>
      </rPr>
      <t>cap</t>
    </r>
    <r>
      <rPr>
        <sz val="10"/>
        <color theme="1"/>
        <rFont val="Arial"/>
        <family val="2"/>
      </rPr>
      <t xml:space="preserve"> * W</t>
    </r>
    <r>
      <rPr>
        <vertAlign val="subscript"/>
        <sz val="10"/>
        <color theme="1"/>
        <rFont val="Arial"/>
        <family val="2"/>
      </rPr>
      <t>cap</t>
    </r>
    <r>
      <rPr>
        <sz val="10"/>
        <color theme="1"/>
        <rFont val="Arial"/>
        <family val="2"/>
      </rPr>
      <t xml:space="preserve"> + COG</t>
    </r>
    <r>
      <rPr>
        <vertAlign val="subscript"/>
        <sz val="10"/>
        <color theme="1"/>
        <rFont val="Arial"/>
        <family val="2"/>
      </rPr>
      <t>pump</t>
    </r>
    <r>
      <rPr>
        <sz val="10"/>
        <color theme="1"/>
        <rFont val="Arial"/>
        <family val="2"/>
      </rPr>
      <t xml:space="preserve"> * W</t>
    </r>
    <r>
      <rPr>
        <vertAlign val="subscript"/>
        <sz val="10"/>
        <color theme="1"/>
        <rFont val="Arial"/>
        <family val="2"/>
      </rPr>
      <t>pump</t>
    </r>
    <r>
      <rPr>
        <sz val="10"/>
        <color theme="1"/>
        <rFont val="Arial"/>
        <family val="2"/>
      </rPr>
      <t>) / (W</t>
    </r>
    <r>
      <rPr>
        <vertAlign val="subscript"/>
        <sz val="10"/>
        <color theme="1"/>
        <rFont val="Arial"/>
        <family val="2"/>
      </rPr>
      <t>cap</t>
    </r>
    <r>
      <rPr>
        <sz val="10"/>
        <color theme="1"/>
        <rFont val="Arial"/>
        <family val="2"/>
      </rPr>
      <t xml:space="preserve"> + W</t>
    </r>
    <r>
      <rPr>
        <vertAlign val="subscript"/>
        <sz val="10"/>
        <color theme="1"/>
        <rFont val="Arial"/>
        <family val="2"/>
      </rPr>
      <t>pump</t>
    </r>
    <r>
      <rPr>
        <sz val="10"/>
        <color theme="1"/>
        <rFont val="Arial"/>
        <family val="2"/>
      </rPr>
      <t>)</t>
    </r>
  </si>
  <si>
    <t>Eccentricity Relative to Center of Resistance:</t>
  </si>
  <si>
    <t>The center of resistance corresponds with the pile cap COG:</t>
  </si>
  <si>
    <r>
      <t>CR</t>
    </r>
    <r>
      <rPr>
        <vertAlign val="subscript"/>
        <sz val="10"/>
        <color theme="1"/>
        <rFont val="Arial"/>
        <family val="2"/>
      </rPr>
      <t>X</t>
    </r>
  </si>
  <si>
    <r>
      <t>CR</t>
    </r>
    <r>
      <rPr>
        <vertAlign val="subscript"/>
        <sz val="10"/>
        <color theme="1"/>
        <rFont val="Arial"/>
        <family val="2"/>
      </rPr>
      <t>Z</t>
    </r>
  </si>
  <si>
    <r>
      <t>ecc</t>
    </r>
    <r>
      <rPr>
        <vertAlign val="subscript"/>
        <sz val="10"/>
        <color theme="1"/>
        <rFont val="Arial"/>
        <family val="2"/>
      </rPr>
      <t>Z</t>
    </r>
  </si>
  <si>
    <r>
      <t>ecc</t>
    </r>
    <r>
      <rPr>
        <vertAlign val="subscript"/>
        <sz val="10"/>
        <color theme="1"/>
        <rFont val="Arial"/>
        <family val="2"/>
      </rPr>
      <t>Z</t>
    </r>
    <r>
      <rPr>
        <sz val="10"/>
        <color theme="1"/>
        <rFont val="Arial"/>
        <family val="2"/>
      </rPr>
      <t xml:space="preserve"> / CR</t>
    </r>
    <r>
      <rPr>
        <vertAlign val="subscript"/>
        <sz val="10"/>
        <color theme="1"/>
        <rFont val="Arial"/>
        <family val="2"/>
      </rPr>
      <t>Z</t>
    </r>
  </si>
  <si>
    <r>
      <t>ecc</t>
    </r>
    <r>
      <rPr>
        <vertAlign val="subscript"/>
        <sz val="10"/>
        <color theme="1"/>
        <rFont val="Arial"/>
        <family val="2"/>
      </rPr>
      <t>X</t>
    </r>
  </si>
  <si>
    <r>
      <t>ecc</t>
    </r>
    <r>
      <rPr>
        <vertAlign val="subscript"/>
        <sz val="10"/>
        <color theme="1"/>
        <rFont val="Arial"/>
        <family val="2"/>
      </rPr>
      <t>X</t>
    </r>
    <r>
      <rPr>
        <sz val="10"/>
        <color theme="1"/>
        <rFont val="Arial"/>
        <family val="2"/>
      </rPr>
      <t xml:space="preserve"> / CR</t>
    </r>
    <r>
      <rPr>
        <vertAlign val="subscript"/>
        <sz val="10"/>
        <color theme="1"/>
        <rFont val="Arial"/>
        <family val="2"/>
      </rPr>
      <t>X</t>
    </r>
  </si>
  <si>
    <t>The system COG eccentricity is acceptable. OK.</t>
  </si>
  <si>
    <t>6.2.5 Approximation of Foundation Natural Frequency</t>
  </si>
  <si>
    <r>
      <t>W</t>
    </r>
    <r>
      <rPr>
        <vertAlign val="subscript"/>
        <sz val="10"/>
        <color theme="1"/>
        <rFont val="Arial"/>
        <family val="2"/>
      </rPr>
      <t>total</t>
    </r>
  </si>
  <si>
    <t>: total weight of system</t>
  </si>
  <si>
    <r>
      <t>: gross bearing pressure; W</t>
    </r>
    <r>
      <rPr>
        <vertAlign val="subscript"/>
        <sz val="10"/>
        <color theme="1"/>
        <rFont val="Arial"/>
        <family val="2"/>
      </rPr>
      <t>total</t>
    </r>
    <r>
      <rPr>
        <sz val="10"/>
        <color theme="1"/>
        <rFont val="Arial"/>
        <family val="2"/>
      </rPr>
      <t xml:space="preserve"> / L</t>
    </r>
    <r>
      <rPr>
        <vertAlign val="subscript"/>
        <sz val="10"/>
        <color theme="1"/>
        <rFont val="Arial"/>
        <family val="2"/>
      </rPr>
      <t>cap</t>
    </r>
    <r>
      <rPr>
        <sz val="10"/>
        <color theme="1"/>
        <rFont val="Arial"/>
        <family val="2"/>
      </rPr>
      <t>W</t>
    </r>
    <r>
      <rPr>
        <vertAlign val="subscript"/>
        <sz val="10"/>
        <color theme="1"/>
        <rFont val="Arial"/>
        <family val="2"/>
      </rPr>
      <t>cap</t>
    </r>
  </si>
  <si>
    <r>
      <t>P</t>
    </r>
    <r>
      <rPr>
        <vertAlign val="subscript"/>
        <sz val="10"/>
        <color theme="1"/>
        <rFont val="Arial"/>
        <family val="2"/>
      </rPr>
      <t>g</t>
    </r>
  </si>
  <si>
    <t>: soil subgrade modulus</t>
  </si>
  <si>
    <r>
      <t>F</t>
    </r>
    <r>
      <rPr>
        <vertAlign val="subscript"/>
        <sz val="10"/>
        <color theme="1"/>
        <rFont val="Arial"/>
        <family val="2"/>
      </rPr>
      <t>min</t>
    </r>
  </si>
  <si>
    <r>
      <t>F</t>
    </r>
    <r>
      <rPr>
        <vertAlign val="subscript"/>
        <sz val="10"/>
        <color theme="1"/>
        <rFont val="Arial"/>
        <family val="2"/>
      </rPr>
      <t>ope</t>
    </r>
  </si>
  <si>
    <r>
      <t>Operating Speed, F</t>
    </r>
    <r>
      <rPr>
        <vertAlign val="subscript"/>
        <sz val="10"/>
        <color theme="1"/>
        <rFont val="Arial"/>
        <family val="2"/>
      </rPr>
      <t>ope</t>
    </r>
  </si>
  <si>
    <r>
      <t>&gt; F</t>
    </r>
    <r>
      <rPr>
        <vertAlign val="subscript"/>
        <sz val="10"/>
        <color theme="1"/>
        <rFont val="Arial"/>
        <family val="2"/>
      </rPr>
      <t>min</t>
    </r>
    <r>
      <rPr>
        <sz val="10"/>
        <color theme="1"/>
        <rFont val="Arial"/>
        <family val="2"/>
      </rPr>
      <t>, OK.</t>
    </r>
  </si>
  <si>
    <t>6.2.6 Pile Cap Width Validation</t>
  </si>
  <si>
    <t>iii. Anchor Bolt Edge Distance:</t>
  </si>
  <si>
    <r>
      <t>6d</t>
    </r>
    <r>
      <rPr>
        <vertAlign val="subscript"/>
        <sz val="10"/>
        <color theme="1"/>
        <rFont val="Arial"/>
        <family val="2"/>
      </rPr>
      <t>a</t>
    </r>
  </si>
  <si>
    <r>
      <t>W</t>
    </r>
    <r>
      <rPr>
        <vertAlign val="subscript"/>
        <sz val="10"/>
        <color theme="1"/>
        <rFont val="Arial"/>
        <family val="2"/>
      </rPr>
      <t>a</t>
    </r>
  </si>
  <si>
    <r>
      <t>s</t>
    </r>
    <r>
      <rPr>
        <vertAlign val="subscript"/>
        <sz val="10"/>
        <color theme="1"/>
        <rFont val="Arial"/>
        <family val="2"/>
      </rPr>
      <t>a</t>
    </r>
  </si>
  <si>
    <r>
      <t>d</t>
    </r>
    <r>
      <rPr>
        <vertAlign val="subscript"/>
        <sz val="10"/>
        <color theme="1"/>
        <rFont val="Arial"/>
        <family val="2"/>
      </rPr>
      <t>a</t>
    </r>
  </si>
  <si>
    <r>
      <t>As per ASCE Anchorage Design for Petrochemical and Other Industrial Facilities, when sleeves are used, the edge distance shall be increased by 0.5*(d</t>
    </r>
    <r>
      <rPr>
        <vertAlign val="subscript"/>
        <sz val="10"/>
        <color theme="1"/>
        <rFont val="Arial"/>
        <family val="2"/>
      </rPr>
      <t>sleeve</t>
    </r>
    <r>
      <rPr>
        <sz val="10"/>
        <color theme="1"/>
        <rFont val="Arial"/>
        <family val="2"/>
      </rPr>
      <t xml:space="preserve"> - d</t>
    </r>
    <r>
      <rPr>
        <vertAlign val="subscript"/>
        <sz val="10"/>
        <color theme="1"/>
        <rFont val="Arial"/>
        <family val="2"/>
      </rPr>
      <t>a</t>
    </r>
    <r>
      <rPr>
        <sz val="10"/>
        <color theme="1"/>
        <rFont val="Arial"/>
        <family val="2"/>
      </rPr>
      <t>).</t>
    </r>
  </si>
  <si>
    <r>
      <t>d</t>
    </r>
    <r>
      <rPr>
        <vertAlign val="subscript"/>
        <sz val="10"/>
        <color theme="1"/>
        <rFont val="Arial"/>
        <family val="2"/>
      </rPr>
      <t>sleeve</t>
    </r>
  </si>
  <si>
    <r>
      <t>: min. edge distance = 6d</t>
    </r>
    <r>
      <rPr>
        <vertAlign val="subscript"/>
        <sz val="10"/>
        <color theme="1"/>
        <rFont val="Arial"/>
        <family val="2"/>
      </rPr>
      <t>a</t>
    </r>
    <r>
      <rPr>
        <sz val="10"/>
        <color theme="1"/>
        <rFont val="Arial"/>
        <family val="2"/>
      </rPr>
      <t xml:space="preserve"> + 0.5(d</t>
    </r>
    <r>
      <rPr>
        <vertAlign val="subscript"/>
        <sz val="10"/>
        <color theme="1"/>
        <rFont val="Arial"/>
        <family val="2"/>
      </rPr>
      <t>sleeve</t>
    </r>
    <r>
      <rPr>
        <sz val="10"/>
        <color theme="1"/>
        <rFont val="Arial"/>
        <family val="2"/>
      </rPr>
      <t xml:space="preserve"> - d</t>
    </r>
    <r>
      <rPr>
        <vertAlign val="subscript"/>
        <sz val="10"/>
        <color theme="1"/>
        <rFont val="Arial"/>
        <family val="2"/>
      </rPr>
      <t>a</t>
    </r>
    <r>
      <rPr>
        <sz val="10"/>
        <color theme="1"/>
        <rFont val="Arial"/>
        <family val="2"/>
      </rPr>
      <t>)</t>
    </r>
  </si>
  <si>
    <r>
      <t>e</t>
    </r>
    <r>
      <rPr>
        <vertAlign val="subscript"/>
        <sz val="10"/>
        <color theme="1"/>
        <rFont val="Arial"/>
        <family val="2"/>
      </rPr>
      <t>a,min</t>
    </r>
  </si>
  <si>
    <r>
      <t>e</t>
    </r>
    <r>
      <rPr>
        <vertAlign val="subscript"/>
        <sz val="10"/>
        <color theme="1"/>
        <rFont val="Arial"/>
        <family val="2"/>
      </rPr>
      <t>a</t>
    </r>
  </si>
  <si>
    <r>
      <t>&gt; e</t>
    </r>
    <r>
      <rPr>
        <vertAlign val="subscript"/>
        <sz val="10"/>
        <color theme="1"/>
        <rFont val="Arial"/>
        <family val="2"/>
      </rPr>
      <t>a,min</t>
    </r>
    <r>
      <rPr>
        <sz val="10"/>
        <color theme="1"/>
        <rFont val="Arial"/>
        <family val="2"/>
      </rPr>
      <t>, OK</t>
    </r>
  </si>
  <si>
    <t>The anchor bolt edge distance is acceptable. OK.</t>
  </si>
  <si>
    <r>
      <t>h</t>
    </r>
    <r>
      <rPr>
        <vertAlign val="subscript"/>
        <sz val="10"/>
        <color theme="1"/>
        <rFont val="Arial"/>
        <family val="2"/>
      </rPr>
      <t>cap</t>
    </r>
  </si>
  <si>
    <r>
      <t>h</t>
    </r>
    <r>
      <rPr>
        <vertAlign val="subscript"/>
        <sz val="10"/>
        <color theme="1"/>
        <rFont val="Arial"/>
        <family val="2"/>
      </rPr>
      <t>cs</t>
    </r>
  </si>
  <si>
    <t>: thickness of pile cap</t>
  </si>
  <si>
    <t>: thickness of grout</t>
  </si>
  <si>
    <t>: height of crankshaft above underside of skid</t>
  </si>
  <si>
    <r>
      <t>W</t>
    </r>
    <r>
      <rPr>
        <vertAlign val="subscript"/>
        <sz val="10"/>
        <color theme="1"/>
        <rFont val="Arial"/>
        <family val="2"/>
      </rPr>
      <t>min</t>
    </r>
  </si>
  <si>
    <r>
      <t>: minimum width of cap; 3/4 *(h</t>
    </r>
    <r>
      <rPr>
        <vertAlign val="subscript"/>
        <sz val="10"/>
        <color theme="1"/>
        <rFont val="Arial"/>
        <family val="2"/>
      </rPr>
      <t>cap</t>
    </r>
    <r>
      <rPr>
        <sz val="10"/>
        <color theme="1"/>
        <rFont val="Arial"/>
        <family val="2"/>
      </rPr>
      <t xml:space="preserve"> + t</t>
    </r>
    <r>
      <rPr>
        <vertAlign val="subscript"/>
        <sz val="10"/>
        <color theme="1"/>
        <rFont val="Arial"/>
        <family val="2"/>
      </rPr>
      <t>g</t>
    </r>
    <r>
      <rPr>
        <sz val="10"/>
        <color theme="1"/>
        <rFont val="Arial"/>
        <family val="2"/>
      </rPr>
      <t xml:space="preserve"> + h</t>
    </r>
    <r>
      <rPr>
        <vertAlign val="subscript"/>
        <sz val="10"/>
        <color theme="1"/>
        <rFont val="Arial"/>
        <family val="2"/>
      </rPr>
      <t>cs</t>
    </r>
    <r>
      <rPr>
        <sz val="10"/>
        <color theme="1"/>
        <rFont val="Arial"/>
        <family val="2"/>
      </rPr>
      <t>)</t>
    </r>
  </si>
  <si>
    <r>
      <t>&gt; W</t>
    </r>
    <r>
      <rPr>
        <vertAlign val="subscript"/>
        <sz val="10"/>
        <color theme="1"/>
        <rFont val="Arial"/>
        <family val="2"/>
      </rPr>
      <t>min</t>
    </r>
    <r>
      <rPr>
        <sz val="10"/>
        <color theme="1"/>
        <rFont val="Arial"/>
        <family val="2"/>
      </rPr>
      <t>, OK</t>
    </r>
  </si>
  <si>
    <t>The width of the cap is acceptable.</t>
  </si>
  <si>
    <t>i. Pump Skid Edge Distance:</t>
  </si>
  <si>
    <t>As per Fluor Guideline 000.215.1234, the width of the pile cap to the height of the crank shaft is validated:</t>
  </si>
  <si>
    <t>ii. Cap Width Relative to COG:</t>
  </si>
  <si>
    <t>As per Fluor Guideline 000.215.1234, foundation shall extend minimum 50 mm beyond the edge of the skid drip pan:</t>
  </si>
  <si>
    <t>: length of skid drip pan</t>
  </si>
  <si>
    <t>: minimum length of cap; L + 2*50 mm</t>
  </si>
  <si>
    <r>
      <t>L</t>
    </r>
    <r>
      <rPr>
        <vertAlign val="subscript"/>
        <sz val="10"/>
        <color theme="1"/>
        <rFont val="Arial"/>
        <family val="2"/>
      </rPr>
      <t>min</t>
    </r>
  </si>
  <si>
    <r>
      <t>≥ L</t>
    </r>
    <r>
      <rPr>
        <vertAlign val="subscript"/>
        <sz val="10"/>
        <color theme="1"/>
        <rFont val="Arial"/>
        <family val="2"/>
      </rPr>
      <t>min</t>
    </r>
    <r>
      <rPr>
        <sz val="10"/>
        <color theme="1"/>
        <rFont val="Arial"/>
        <family val="2"/>
      </rPr>
      <t>, OK</t>
    </r>
  </si>
  <si>
    <t>W</t>
  </si>
  <si>
    <t>: width of skid drip pan</t>
  </si>
  <si>
    <t>: minimum width of cap; W + 2*50 mm</t>
  </si>
  <si>
    <r>
      <t>: actual anchor bolt edge distance; (W</t>
    </r>
    <r>
      <rPr>
        <vertAlign val="subscript"/>
        <sz val="10"/>
        <color theme="1"/>
        <rFont val="Arial"/>
        <family val="2"/>
      </rPr>
      <t>cap</t>
    </r>
    <r>
      <rPr>
        <sz val="10"/>
        <color theme="1"/>
        <rFont val="Arial"/>
        <family val="2"/>
      </rPr>
      <t xml:space="preserve"> - W</t>
    </r>
    <r>
      <rPr>
        <vertAlign val="subscript"/>
        <sz val="10"/>
        <color theme="1"/>
        <rFont val="Arial"/>
        <family val="2"/>
      </rPr>
      <t>a</t>
    </r>
    <r>
      <rPr>
        <sz val="10"/>
        <color theme="1"/>
        <rFont val="Arial"/>
        <family val="2"/>
      </rPr>
      <t>) / 2</t>
    </r>
  </si>
  <si>
    <t>This section summarizes the Vendor provide information and validates the pile cap geometry requirements as per project and industry codes and standards.</t>
  </si>
  <si>
    <t>Table 7-1 Basic Load Cases</t>
  </si>
  <si>
    <t>7.1  Basic Load Case Development</t>
  </si>
  <si>
    <t>7.1.1 BLC 1: Structural Self Weight (SW)</t>
  </si>
  <si>
    <t>Infill Grout</t>
  </si>
  <si>
    <t>7.1.2 - 7.1.3 BLC 2: Pipe Operating (PO) and BLC 3 Pipe Empty (PE)</t>
  </si>
  <si>
    <t>7.1.4 BLC 4: Pipe / Equipment Test Load (ET) - "Content Weight Alone"</t>
  </si>
  <si>
    <t>7.1.5-7.1.10 BLC 5 - BLC 10: Pipe Lateral Loading</t>
  </si>
  <si>
    <t>7.1.11 BLC 11: Electrical (EL)</t>
  </si>
  <si>
    <t>However, the Vendor has also provided vertical static load per anchor bolt.</t>
  </si>
  <si>
    <t>: Vendor provided total static loading</t>
  </si>
  <si>
    <t>7.1.12 BLC 12: Equipment Operating (EO)</t>
  </si>
  <si>
    <t>The empty weight of the equipment is taken equal to the total weight of the skid.</t>
  </si>
  <si>
    <t>: total weight of pump package</t>
  </si>
  <si>
    <t>7.1.13 BLC 13: Equipment Empty (EE)</t>
  </si>
  <si>
    <t>7.1.14 BLC 14: Equipment Maintenance (EM)</t>
  </si>
  <si>
    <t>71.15 BLC 15: Live Load (L)</t>
  </si>
  <si>
    <t>7.1.16 BLC 16: Snow Load (S)</t>
  </si>
  <si>
    <t>7.1.17 - 7.1.18 BLC 17: Wind Transverse (WT) and BLC 18: Wind Longitudinal (WL)</t>
  </si>
  <si>
    <t>7.1.19 BLC 19: Seismic Transverse Operating (STOpe)</t>
  </si>
  <si>
    <r>
      <t>: centroid of pump package; COG</t>
    </r>
    <r>
      <rPr>
        <vertAlign val="subscript"/>
        <sz val="10"/>
        <color theme="1"/>
        <rFont val="Arial"/>
        <family val="2"/>
      </rPr>
      <t>Y</t>
    </r>
  </si>
  <si>
    <r>
      <t>: centroid of pump package above pile elevation; h</t>
    </r>
    <r>
      <rPr>
        <vertAlign val="subscript"/>
        <sz val="10"/>
        <color theme="1"/>
        <rFont val="Arial"/>
        <family val="2"/>
      </rPr>
      <t>pump</t>
    </r>
    <r>
      <rPr>
        <sz val="10"/>
        <color theme="1"/>
        <rFont val="Arial"/>
        <family val="2"/>
      </rPr>
      <t xml:space="preserve"> + H</t>
    </r>
    <r>
      <rPr>
        <vertAlign val="subscript"/>
        <sz val="10"/>
        <color theme="1"/>
        <rFont val="Arial"/>
        <family val="2"/>
      </rPr>
      <t>cap</t>
    </r>
    <r>
      <rPr>
        <sz val="10"/>
        <color theme="1"/>
        <rFont val="Arial"/>
        <family val="2"/>
      </rPr>
      <t xml:space="preserve"> + h</t>
    </r>
    <r>
      <rPr>
        <vertAlign val="subscript"/>
        <sz val="10"/>
        <color theme="1"/>
        <rFont val="Arial"/>
        <family val="2"/>
      </rPr>
      <t>grout</t>
    </r>
    <r>
      <rPr>
        <sz val="10"/>
        <color theme="1"/>
        <rFont val="Arial"/>
        <family val="2"/>
      </rPr>
      <t xml:space="preserve"> - 0.1 pile embedment</t>
    </r>
  </si>
  <si>
    <t>: centroid of fdn; approximated as 2/3 * pile cap = 2/3 * 900 mm - 100 mm embedment</t>
  </si>
  <si>
    <t>7.1.20 BLC 20: Seismic Transverse Empty (STEmpty)</t>
  </si>
  <si>
    <t>7.1.21 BLC 21: Seismic Longitudinal Operating (SLOpe)</t>
  </si>
  <si>
    <t>7.1.22 BLC 22: Seismic Longitudinal Empty (SLEmpty)</t>
  </si>
  <si>
    <t>7.1.23 - 7.1.25 BLC 23: Atmospheric Ice, (Di) and BLC 24/25 Thermal</t>
  </si>
  <si>
    <t>7.1.26 - 7.1.27 BLC 26: Notional Transverse (NT) and BLC 27 Notional Longitudinal (NL)</t>
  </si>
  <si>
    <t>7.1.28 BLC28: Fireproofing</t>
  </si>
  <si>
    <t>7.1.29 Pump Unbalanced Dynamic Force</t>
  </si>
  <si>
    <t>The Vendor provided Dynamic Load reactions for each anchor bolt.</t>
  </si>
  <si>
    <r>
      <t>(T / C)</t>
    </r>
    <r>
      <rPr>
        <vertAlign val="subscript"/>
        <sz val="10"/>
        <color theme="1"/>
        <rFont val="Arial"/>
        <family val="2"/>
      </rPr>
      <t>dyn</t>
    </r>
  </si>
  <si>
    <t>: total dynamic couple force</t>
  </si>
  <si>
    <t>: anchor spacing in transverse direction</t>
  </si>
  <si>
    <r>
      <t>M</t>
    </r>
    <r>
      <rPr>
        <vertAlign val="subscript"/>
        <sz val="10"/>
        <color theme="1"/>
        <rFont val="Arial"/>
        <family val="2"/>
      </rPr>
      <t>dyn</t>
    </r>
  </si>
  <si>
    <r>
      <t>: anchor moment due to dynamic forces; (T/C)</t>
    </r>
    <r>
      <rPr>
        <vertAlign val="subscript"/>
        <sz val="10"/>
        <color theme="1"/>
        <rFont val="Arial"/>
        <family val="2"/>
      </rPr>
      <t>dyn</t>
    </r>
    <r>
      <rPr>
        <sz val="10"/>
        <color theme="1"/>
        <rFont val="Arial"/>
        <family val="2"/>
      </rPr>
      <t xml:space="preserve"> * W</t>
    </r>
    <r>
      <rPr>
        <vertAlign val="subscript"/>
        <sz val="10"/>
        <color theme="1"/>
        <rFont val="Arial"/>
        <family val="2"/>
      </rPr>
      <t>a</t>
    </r>
  </si>
  <si>
    <r>
      <t>V</t>
    </r>
    <r>
      <rPr>
        <vertAlign val="subscript"/>
        <sz val="10"/>
        <color theme="1"/>
        <rFont val="Arial"/>
        <family val="2"/>
      </rPr>
      <t>dyn</t>
    </r>
  </si>
  <si>
    <r>
      <t>: dynamic shear force; M</t>
    </r>
    <r>
      <rPr>
        <vertAlign val="subscript"/>
        <sz val="10"/>
        <color theme="1"/>
        <rFont val="Arial"/>
        <family val="2"/>
      </rPr>
      <t>dyn</t>
    </r>
    <r>
      <rPr>
        <sz val="10"/>
        <color theme="1"/>
        <rFont val="Arial"/>
        <family val="2"/>
      </rPr>
      <t xml:space="preserve"> / h</t>
    </r>
    <r>
      <rPr>
        <vertAlign val="subscript"/>
        <sz val="10"/>
        <color theme="1"/>
        <rFont val="Arial"/>
        <family val="2"/>
      </rPr>
      <t>cs</t>
    </r>
  </si>
  <si>
    <t>The total dynamic force appear to be very large for the size of the pump.</t>
  </si>
  <si>
    <t>However, these values are conservatively used for design.</t>
  </si>
  <si>
    <r>
      <t>e</t>
    </r>
    <r>
      <rPr>
        <vertAlign val="subscript"/>
        <sz val="10"/>
        <color theme="1"/>
        <rFont val="Arial"/>
        <family val="2"/>
      </rPr>
      <t>piles</t>
    </r>
  </si>
  <si>
    <r>
      <t>V</t>
    </r>
    <r>
      <rPr>
        <vertAlign val="subscript"/>
        <sz val="10"/>
        <color theme="1"/>
        <rFont val="Arial"/>
        <family val="2"/>
      </rPr>
      <t>dyn,piles</t>
    </r>
  </si>
  <si>
    <r>
      <t>M</t>
    </r>
    <r>
      <rPr>
        <vertAlign val="subscript"/>
        <sz val="10"/>
        <color theme="1"/>
        <rFont val="Arial"/>
        <family val="2"/>
      </rPr>
      <t>dyn,piles</t>
    </r>
  </si>
  <si>
    <r>
      <t>: eccentricity to piles; h</t>
    </r>
    <r>
      <rPr>
        <vertAlign val="subscript"/>
        <sz val="10"/>
        <color theme="1"/>
        <rFont val="Arial"/>
        <family val="2"/>
      </rPr>
      <t>cs</t>
    </r>
    <r>
      <rPr>
        <sz val="10"/>
        <color theme="1"/>
        <rFont val="Arial"/>
        <family val="2"/>
      </rPr>
      <t xml:space="preserve"> + h</t>
    </r>
    <r>
      <rPr>
        <vertAlign val="subscript"/>
        <sz val="10"/>
        <color theme="1"/>
        <rFont val="Arial"/>
        <family val="2"/>
      </rPr>
      <t>grout</t>
    </r>
    <r>
      <rPr>
        <sz val="10"/>
        <color theme="1"/>
        <rFont val="Arial"/>
        <family val="2"/>
      </rPr>
      <t xml:space="preserve"> + h</t>
    </r>
    <r>
      <rPr>
        <vertAlign val="subscript"/>
        <sz val="10"/>
        <color theme="1"/>
        <rFont val="Arial"/>
        <family val="2"/>
      </rPr>
      <t>cap</t>
    </r>
    <r>
      <rPr>
        <sz val="10"/>
        <color theme="1"/>
        <rFont val="Arial"/>
        <family val="2"/>
      </rPr>
      <t xml:space="preserve"> - 0.1 pile embedment</t>
    </r>
  </si>
  <si>
    <r>
      <t>T</t>
    </r>
    <r>
      <rPr>
        <vertAlign val="subscript"/>
        <sz val="10"/>
        <color theme="1"/>
        <rFont val="Arial"/>
        <family val="2"/>
      </rPr>
      <t>dyn,anchor</t>
    </r>
  </si>
  <si>
    <r>
      <t>V</t>
    </r>
    <r>
      <rPr>
        <vertAlign val="subscript"/>
        <sz val="10"/>
        <color theme="1"/>
        <rFont val="Arial"/>
        <family val="2"/>
      </rPr>
      <t>dyn,anchor</t>
    </r>
  </si>
  <si>
    <r>
      <t>: associated anchor shear; T</t>
    </r>
    <r>
      <rPr>
        <vertAlign val="subscript"/>
        <sz val="10"/>
        <color theme="1"/>
        <rFont val="Arial"/>
        <family val="2"/>
      </rPr>
      <t>dyn,anchor</t>
    </r>
    <r>
      <rPr>
        <sz val="10"/>
        <color theme="1"/>
        <rFont val="Arial"/>
        <family val="2"/>
      </rPr>
      <t xml:space="preserve"> * W</t>
    </r>
    <r>
      <rPr>
        <vertAlign val="subscript"/>
        <sz val="10"/>
        <color theme="1"/>
        <rFont val="Arial"/>
        <family val="2"/>
      </rPr>
      <t>a</t>
    </r>
    <r>
      <rPr>
        <sz val="10"/>
        <color theme="1"/>
        <rFont val="Arial"/>
        <family val="2"/>
      </rPr>
      <t xml:space="preserve"> / h</t>
    </r>
    <r>
      <rPr>
        <vertAlign val="subscript"/>
        <sz val="10"/>
        <color theme="1"/>
        <rFont val="Arial"/>
        <family val="2"/>
      </rPr>
      <t>cs</t>
    </r>
    <r>
      <rPr>
        <sz val="10"/>
        <color theme="1"/>
        <rFont val="Arial"/>
        <family val="2"/>
      </rPr>
      <t xml:space="preserve"> / 2 anchors</t>
    </r>
  </si>
  <si>
    <t>Use the vendor provided anchor loads. OK. Single anchor loads are calculate below.</t>
  </si>
  <si>
    <t>8.1 Load Combinations and Pile Reactions</t>
  </si>
  <si>
    <t xml:space="preserve">LC 6: </t>
  </si>
  <si>
    <t>1.0(SW + EO)</t>
  </si>
  <si>
    <t>Pile settlement is checked under sustained loading, DLO:</t>
  </si>
  <si>
    <t>: sustained loading</t>
  </si>
  <si>
    <r>
      <t>1.0(SW + EO) + 1.0(1.0F</t>
    </r>
    <r>
      <rPr>
        <vertAlign val="subscript"/>
        <sz val="10"/>
        <color theme="1"/>
        <rFont val="Arial"/>
        <family val="2"/>
      </rPr>
      <t>dyn</t>
    </r>
    <r>
      <rPr>
        <sz val="10"/>
        <color theme="1"/>
        <rFont val="Arial"/>
        <family val="2"/>
      </rPr>
      <t>)</t>
    </r>
  </si>
  <si>
    <t>: maximum lateral loading</t>
  </si>
  <si>
    <t xml:space="preserve">LC 7: </t>
  </si>
  <si>
    <r>
      <t>The pile shear loading = V</t>
    </r>
    <r>
      <rPr>
        <vertAlign val="subscript"/>
        <sz val="10"/>
        <color theme="1"/>
        <rFont val="Arial"/>
        <family val="2"/>
      </rPr>
      <t>f</t>
    </r>
    <r>
      <rPr>
        <sz val="10"/>
        <color theme="1"/>
        <rFont val="Arial"/>
        <family val="2"/>
      </rPr>
      <t xml:space="preserve"> / N</t>
    </r>
    <r>
      <rPr>
        <vertAlign val="subscript"/>
        <sz val="10"/>
        <color theme="1"/>
        <rFont val="Arial"/>
        <family val="2"/>
      </rPr>
      <t>p,eff</t>
    </r>
  </si>
  <si>
    <r>
      <t>F</t>
    </r>
    <r>
      <rPr>
        <vertAlign val="subscript"/>
        <sz val="10"/>
        <color theme="1"/>
        <rFont val="Arial"/>
        <family val="2"/>
      </rPr>
      <t>dyn</t>
    </r>
  </si>
  <si>
    <r>
      <t>M</t>
    </r>
    <r>
      <rPr>
        <vertAlign val="subscript"/>
        <sz val="10"/>
        <color theme="1"/>
        <rFont val="Arial"/>
        <family val="2"/>
      </rPr>
      <t>f</t>
    </r>
    <r>
      <rPr>
        <sz val="10"/>
        <color theme="1"/>
        <rFont val="Arial"/>
        <family val="2"/>
      </rPr>
      <t xml:space="preserve">
[kN.m]</t>
    </r>
  </si>
  <si>
    <t>: maximum pile tension</t>
  </si>
  <si>
    <t>8.2.1 Calculate Pile Geotechnical Capacity</t>
  </si>
  <si>
    <t>SLS Pile Loading:</t>
  </si>
  <si>
    <t>LC 7</t>
  </si>
  <si>
    <t>LC 8</t>
  </si>
  <si>
    <r>
      <t>T</t>
    </r>
    <r>
      <rPr>
        <vertAlign val="subscript"/>
        <sz val="10"/>
        <color theme="1"/>
        <rFont val="Arial"/>
        <family val="2"/>
      </rPr>
      <t>s</t>
    </r>
  </si>
  <si>
    <r>
      <t>V</t>
    </r>
    <r>
      <rPr>
        <vertAlign val="subscript"/>
        <sz val="10"/>
        <color theme="1"/>
        <rFont val="Arial"/>
        <family val="2"/>
      </rPr>
      <t>s</t>
    </r>
  </si>
  <si>
    <r>
      <t>C</t>
    </r>
    <r>
      <rPr>
        <vertAlign val="subscript"/>
        <sz val="10"/>
        <color theme="1"/>
        <rFont val="Arial"/>
        <family val="2"/>
      </rPr>
      <t>s</t>
    </r>
    <r>
      <rPr>
        <sz val="10"/>
        <color theme="1"/>
        <rFont val="Arial"/>
        <family val="2"/>
      </rPr>
      <t xml:space="preserve">
[kN]</t>
    </r>
  </si>
  <si>
    <r>
      <t>V</t>
    </r>
    <r>
      <rPr>
        <vertAlign val="subscript"/>
        <sz val="10"/>
        <color theme="1"/>
        <rFont val="Arial"/>
        <family val="2"/>
      </rPr>
      <t>s</t>
    </r>
    <r>
      <rPr>
        <sz val="10"/>
        <color theme="1"/>
        <rFont val="Arial"/>
        <family val="2"/>
      </rPr>
      <t xml:space="preserve">
[kN]</t>
    </r>
  </si>
  <si>
    <t>8.1.1 ULS Load Combinations:</t>
  </si>
  <si>
    <t>8.1.2 SLS Load Combinations:</t>
  </si>
  <si>
    <t>8.1.3 Summary of Pile Load Cases</t>
  </si>
  <si>
    <t>8.1.4 ULS and SLS Pile Loading:</t>
  </si>
  <si>
    <t>8.2 Pile Capacity Check</t>
  </si>
  <si>
    <t>8.2.1.1 Compression Capacity:</t>
  </si>
  <si>
    <t>8.2.1.2 Tension Capacity:</t>
  </si>
  <si>
    <r>
      <t>For Pile Schedule loading, use T</t>
    </r>
    <r>
      <rPr>
        <vertAlign val="subscript"/>
        <sz val="10"/>
        <color theme="1"/>
        <rFont val="Arial"/>
        <family val="2"/>
      </rPr>
      <t>f</t>
    </r>
    <r>
      <rPr>
        <sz val="10"/>
        <color theme="1"/>
        <rFont val="Arial"/>
        <family val="2"/>
      </rPr>
      <t xml:space="preserve"> =</t>
    </r>
  </si>
  <si>
    <t>8.2.1.3 Frost Check:</t>
  </si>
  <si>
    <t>: SLS sustained dead load</t>
  </si>
  <si>
    <t>: 2x2 pile group at ~4.5D spacing</t>
  </si>
  <si>
    <t>8.2.1.5 Pile Vertical Settlement</t>
  </si>
  <si>
    <t>The pile head is anchored to the foundation using D2L bars, per pile cap detail 1C on  P07-019-MEC-FDN-04-3000.</t>
  </si>
  <si>
    <t>: SLS compression, corresponding with maximum shear</t>
  </si>
  <si>
    <t>: SLS shear</t>
  </si>
  <si>
    <r>
      <t>Δ</t>
    </r>
    <r>
      <rPr>
        <vertAlign val="subscript"/>
        <sz val="10"/>
        <rFont val="Arial"/>
        <family val="2"/>
      </rPr>
      <t>s,max</t>
    </r>
  </si>
  <si>
    <t>Group Factor</t>
  </si>
  <si>
    <r>
      <t>Δ</t>
    </r>
    <r>
      <rPr>
        <vertAlign val="subscript"/>
        <sz val="10"/>
        <rFont val="Arial"/>
        <family val="2"/>
      </rPr>
      <t>s</t>
    </r>
  </si>
  <si>
    <t>&lt; 12 mm, OK</t>
  </si>
  <si>
    <t>Utilization</t>
  </si>
  <si>
    <r>
      <t>: π * D</t>
    </r>
    <r>
      <rPr>
        <vertAlign val="subscript"/>
        <sz val="10"/>
        <color theme="1"/>
        <rFont val="Arial"/>
        <family val="2"/>
      </rPr>
      <t>p</t>
    </r>
  </si>
  <si>
    <t>: maximum ULS pile compression</t>
  </si>
  <si>
    <t>: maximum ULS pile tension</t>
  </si>
  <si>
    <t>: maximum ULS pile shear</t>
  </si>
  <si>
    <t>8.2.2 Calculate Pile Structural Capacity</t>
  </si>
  <si>
    <t>The static pile design is presented below.</t>
  </si>
  <si>
    <t>The influence of the D2L bars is ignored.</t>
  </si>
  <si>
    <t xml:space="preserve">Pile head deflection is calculated from the Appendix D charts in JDB 2.A.04.1. </t>
  </si>
  <si>
    <t>8.2.1.4 Pile Deflection Check:</t>
  </si>
  <si>
    <t>However, these piles are still conservatively considered as "free-head" for design.</t>
  </si>
  <si>
    <t xml:space="preserve">Therefore, the graphs for "Free-Head" piles are used for design. </t>
  </si>
  <si>
    <r>
      <t>C</t>
    </r>
    <r>
      <rPr>
        <vertAlign val="subscript"/>
        <sz val="10"/>
        <color theme="1"/>
        <rFont val="Arial"/>
        <family val="2"/>
      </rPr>
      <t xml:space="preserve">f </t>
    </r>
  </si>
  <si>
    <r>
      <t>T</t>
    </r>
    <r>
      <rPr>
        <vertAlign val="subscript"/>
        <sz val="10"/>
        <color theme="1"/>
        <rFont val="Arial"/>
        <family val="2"/>
      </rPr>
      <t xml:space="preserve">f </t>
    </r>
  </si>
  <si>
    <r>
      <t>V</t>
    </r>
    <r>
      <rPr>
        <vertAlign val="subscript"/>
        <sz val="10"/>
        <color theme="1"/>
        <rFont val="Arial"/>
        <family val="2"/>
      </rPr>
      <t xml:space="preserve">f </t>
    </r>
  </si>
  <si>
    <t>ii. D2L Bars Design for Pile Cap Type 1C</t>
  </si>
  <si>
    <t>The piles are Pile Type 1C 07-019-MEC-FDN-04-3000, anchored to the concrete with D2L bars. However, the piles are considered as "free-head" for design.</t>
  </si>
  <si>
    <t>There is negligible tension acting on the piles. The D2L bars are acceptable, OK.</t>
  </si>
  <si>
    <r>
      <t xml:space="preserve"> &gt; 1.25D</t>
    </r>
    <r>
      <rPr>
        <vertAlign val="subscript"/>
        <sz val="10"/>
        <color theme="1"/>
        <rFont val="Arial"/>
        <family val="2"/>
      </rPr>
      <t>p</t>
    </r>
    <r>
      <rPr>
        <sz val="10"/>
        <color theme="1"/>
        <rFont val="Arial"/>
        <family val="2"/>
      </rPr>
      <t>, OK</t>
    </r>
  </si>
  <si>
    <r>
      <t>e</t>
    </r>
    <r>
      <rPr>
        <vertAlign val="subscript"/>
        <sz val="10"/>
        <color theme="1"/>
        <rFont val="Arial"/>
        <family val="2"/>
      </rPr>
      <t>edge</t>
    </r>
    <r>
      <rPr>
        <sz val="10"/>
        <color theme="1"/>
        <rFont val="Arial"/>
        <family val="2"/>
      </rPr>
      <t xml:space="preserve"> &gt; 10 d</t>
    </r>
    <r>
      <rPr>
        <vertAlign val="subscript"/>
        <sz val="10"/>
        <color theme="1"/>
        <rFont val="Arial"/>
        <family val="2"/>
      </rPr>
      <t>b</t>
    </r>
    <r>
      <rPr>
        <sz val="10"/>
        <color theme="1"/>
        <rFont val="Arial"/>
        <family val="2"/>
      </rPr>
      <t>. The edge spacing is acceptable. OK.</t>
    </r>
  </si>
  <si>
    <t>D2L bar tension is negligible. There is full bar capacity available for shear resistance.</t>
  </si>
  <si>
    <t xml:space="preserve">The shear per pile is low. Even if the bars are assumed to resist 100% of the applied shear force, the LRFD shear / bar is &lt; 5 kN. </t>
  </si>
  <si>
    <t>The D2L anchors are acceptable for the "free-head" pile condition. OK.</t>
  </si>
  <si>
    <t xml:space="preserve">The only lateral load acting on the piles is from the pump unbalanced forces. Typically, these forces are relatively small and the lateral performance of the foundation is governed by the dynamic response. The vendor provided loading appears to be quite high, by engineering judgement. Conservatively, this loading will still be included in the pile lateral displacement checks. </t>
  </si>
  <si>
    <t>8.3 Void Form Design</t>
  </si>
  <si>
    <t>: total stress applied to void form; ~9.1 psi.</t>
  </si>
  <si>
    <t>: Uplift due to frost heave; see Section 8.3 below.</t>
  </si>
  <si>
    <t>9. PILE CAP DESIGN</t>
  </si>
  <si>
    <t>8. PILE DESIGN</t>
  </si>
  <si>
    <t>9.1 Pile Cap Reinforcement Design</t>
  </si>
  <si>
    <t>The existing Frac 2 design has an approximate bar spacing = 300 mm.</t>
  </si>
  <si>
    <t>9.1.1 Minimum Reinforcement Requirements</t>
  </si>
  <si>
    <t>For the current design, use a 250 mm bar spacing:</t>
  </si>
  <si>
    <r>
      <t>: net tension due to frost heave = (T</t>
    </r>
    <r>
      <rPr>
        <vertAlign val="subscript"/>
        <sz val="10"/>
        <color theme="1"/>
        <rFont val="Arial"/>
        <family val="2"/>
      </rPr>
      <t>frost,heave</t>
    </r>
    <r>
      <rPr>
        <sz val="10"/>
        <color theme="1"/>
        <rFont val="Arial"/>
        <family val="2"/>
      </rPr>
      <t xml:space="preserve"> - 0.9 SW</t>
    </r>
    <r>
      <rPr>
        <vertAlign val="subscript"/>
        <sz val="10"/>
        <color theme="1"/>
        <rFont val="Arial"/>
        <family val="2"/>
      </rPr>
      <t>SI</t>
    </r>
    <r>
      <rPr>
        <sz val="10"/>
        <color theme="1"/>
        <rFont val="Arial"/>
        <family val="2"/>
      </rPr>
      <t>) / N</t>
    </r>
    <r>
      <rPr>
        <vertAlign val="subscript"/>
        <sz val="10"/>
        <color theme="1"/>
        <rFont val="Arial"/>
        <family val="2"/>
      </rPr>
      <t>p</t>
    </r>
  </si>
  <si>
    <t>Pile compression is taken from Section 8.1</t>
  </si>
  <si>
    <t>: moment arm to piles</t>
  </si>
  <si>
    <t>This is a conservative estimate for the factored moment as it uses the maximum pile compression force for all piles and a load factor = 1.0 for the counteracting dead load moment. OK.</t>
  </si>
  <si>
    <t>: diameter of skin reinforcement bar, use 15M</t>
  </si>
  <si>
    <t>: area of skin reinforcement bar, use 15M</t>
  </si>
  <si>
    <t>9.1.5 Perimeter Skin Reinforcement</t>
  </si>
  <si>
    <t>9.1.4 Two-Way Shear Check</t>
  </si>
  <si>
    <t>9.1.3 One-Way Shear Check</t>
  </si>
  <si>
    <t>9.1.2 Moment Resistance Check</t>
  </si>
  <si>
    <r>
      <t>2C</t>
    </r>
    <r>
      <rPr>
        <vertAlign val="subscript"/>
        <sz val="10"/>
        <color theme="1"/>
        <rFont val="Arial"/>
        <family val="2"/>
      </rPr>
      <t>f</t>
    </r>
    <r>
      <rPr>
        <sz val="10"/>
        <color theme="1"/>
        <rFont val="Arial"/>
        <family val="2"/>
      </rPr>
      <t xml:space="preserve"> * e</t>
    </r>
    <r>
      <rPr>
        <vertAlign val="subscript"/>
        <sz val="10"/>
        <color theme="1"/>
        <rFont val="Arial"/>
        <family val="2"/>
      </rPr>
      <t>1</t>
    </r>
    <r>
      <rPr>
        <sz val="10"/>
        <color theme="1"/>
        <rFont val="Arial"/>
        <family val="2"/>
      </rPr>
      <t xml:space="preserve"> - w*b</t>
    </r>
    <r>
      <rPr>
        <vertAlign val="superscript"/>
        <sz val="10"/>
        <color theme="1"/>
        <rFont val="Arial"/>
        <family val="2"/>
      </rPr>
      <t>2</t>
    </r>
    <r>
      <rPr>
        <sz val="10"/>
        <color theme="1"/>
        <rFont val="Arial"/>
        <family val="2"/>
      </rPr>
      <t>/2</t>
    </r>
  </si>
  <si>
    <t>: perimeter of shear critical section; 853 mm + 853 mm</t>
  </si>
  <si>
    <t>As Cl. 13.3.6 is satisfied, the requirements of 13.3.4 and 13.3.5 need not apply. OK.</t>
  </si>
  <si>
    <t>9.2 Anchor Bolt Design</t>
  </si>
  <si>
    <t>9.2.1 Calculation of Anchor Reaction Forces</t>
  </si>
  <si>
    <t>Anchor bolt sizing and pretension requirements are provided by the Vendor.</t>
  </si>
  <si>
    <t>The minimum edge distance was checked in section 6.2.6. Anchor spacing is checked as per CSA A23.3-19 Section D.9.</t>
  </si>
  <si>
    <t>9.2.6 Edge Distance and Spacing Limitations</t>
  </si>
  <si>
    <t>9.2.5 Anchor Tension / Shear Interaction</t>
  </si>
  <si>
    <t>: anchor spacing per Vendor GA 4205A-B01</t>
  </si>
  <si>
    <t>9.2.2 Anchor Bolt Geometry and Material</t>
  </si>
  <si>
    <t>Summary of Anchor Reactions:</t>
  </si>
  <si>
    <t>ULS Anchor Reactions:</t>
  </si>
  <si>
    <r>
      <t>T</t>
    </r>
    <r>
      <rPr>
        <vertAlign val="subscript"/>
        <sz val="10"/>
        <color theme="1"/>
        <rFont val="Arial"/>
        <family val="2"/>
      </rPr>
      <t>nom</t>
    </r>
  </si>
  <si>
    <t>: Nominal tension resistance = shaft friction</t>
  </si>
  <si>
    <r>
      <t>φ</t>
    </r>
    <r>
      <rPr>
        <vertAlign val="subscript"/>
        <sz val="10"/>
        <color theme="1"/>
        <rFont val="Arial"/>
        <family val="2"/>
      </rPr>
      <t>T</t>
    </r>
  </si>
  <si>
    <t>: Geotechnical resistance factor, tension</t>
  </si>
  <si>
    <r>
      <t>: Tension resistance of single pile, φ</t>
    </r>
    <r>
      <rPr>
        <vertAlign val="subscript"/>
        <sz val="10"/>
        <color theme="1"/>
        <rFont val="Arial"/>
        <family val="2"/>
      </rPr>
      <t>T</t>
    </r>
    <r>
      <rPr>
        <sz val="10"/>
        <color theme="1"/>
        <rFont val="Arial"/>
        <family val="2"/>
      </rPr>
      <t>T</t>
    </r>
    <r>
      <rPr>
        <vertAlign val="subscript"/>
        <sz val="10"/>
        <color theme="1"/>
        <rFont val="Arial"/>
        <family val="2"/>
      </rPr>
      <t>nom</t>
    </r>
  </si>
  <si>
    <t>Pile tension capacity is calculated as the sum of shaft friction resistance. A geotechnical reduction factor = 0.3 is applied to the ultimate resistance values, as per the Geotechnical Report.</t>
  </si>
  <si>
    <r>
      <t>T</t>
    </r>
    <r>
      <rPr>
        <vertAlign val="subscript"/>
        <sz val="10"/>
        <color theme="1"/>
        <rFont val="Arial"/>
        <family val="2"/>
      </rPr>
      <t>r</t>
    </r>
    <r>
      <rPr>
        <sz val="10"/>
        <color theme="1"/>
        <rFont val="Arial"/>
        <family val="2"/>
      </rPr>
      <t xml:space="preserve"> / T</t>
    </r>
    <r>
      <rPr>
        <vertAlign val="subscript"/>
        <sz val="10"/>
        <color theme="1"/>
        <rFont val="Arial"/>
        <family val="2"/>
      </rPr>
      <t>f</t>
    </r>
  </si>
  <si>
    <t>: Maximum applied tension force</t>
  </si>
  <si>
    <r>
      <t>= (b - 2*cc - 2*d</t>
    </r>
    <r>
      <rPr>
        <vertAlign val="subscript"/>
        <sz val="10"/>
        <color theme="1"/>
        <rFont val="Arial"/>
        <family val="2"/>
      </rPr>
      <t>bar</t>
    </r>
    <r>
      <rPr>
        <sz val="10"/>
        <color theme="1"/>
        <rFont val="Arial"/>
        <family val="2"/>
      </rPr>
      <t xml:space="preserve"> - d</t>
    </r>
    <r>
      <rPr>
        <vertAlign val="subscript"/>
        <sz val="10"/>
        <color theme="1"/>
        <rFont val="Arial"/>
        <family val="2"/>
      </rPr>
      <t>bar</t>
    </r>
    <r>
      <rPr>
        <sz val="10"/>
        <color theme="1"/>
        <rFont val="Arial"/>
        <family val="2"/>
      </rPr>
      <t>) / (n</t>
    </r>
    <r>
      <rPr>
        <vertAlign val="subscript"/>
        <sz val="10"/>
        <color theme="1"/>
        <rFont val="Arial"/>
        <family val="2"/>
      </rPr>
      <t>bar</t>
    </r>
    <r>
      <rPr>
        <sz val="10"/>
        <color theme="1"/>
        <rFont val="Arial"/>
        <family val="2"/>
      </rPr>
      <t xml:space="preserve"> - 1); b = 1400 mm for Frac 2</t>
    </r>
  </si>
  <si>
    <r>
      <t>* F</t>
    </r>
    <r>
      <rPr>
        <vertAlign val="subscript"/>
        <sz val="10"/>
        <color theme="1"/>
        <rFont val="Arial"/>
        <family val="2"/>
      </rPr>
      <t>dyn</t>
    </r>
    <r>
      <rPr>
        <sz val="10"/>
        <color theme="1"/>
        <rFont val="Arial"/>
        <family val="2"/>
      </rPr>
      <t xml:space="preserve"> forces are already per anchor</t>
    </r>
  </si>
  <si>
    <t>: maximum anchor shear</t>
  </si>
  <si>
    <t>: thickness of skid flange = 25 mm + 6 mm washer</t>
  </si>
  <si>
    <t>The anchors are designed for steel and breakout strength per CSA A23.3-19 Section D.7.</t>
  </si>
  <si>
    <t>9.2.3 Anchor Tension Resistance</t>
  </si>
  <si>
    <t>As per Section 9.2, there is only nominal anchor tension:</t>
  </si>
  <si>
    <t>Pretension Requirements:</t>
  </si>
  <si>
    <t>: design anchor pretension force, 9060 lbs.</t>
  </si>
  <si>
    <t>Validation of anchor pretension force:</t>
  </si>
  <si>
    <t>&lt; 30,000 psi per API 686.</t>
  </si>
  <si>
    <t>Therefore, the API 686 pretension force governs the design.</t>
  </si>
  <si>
    <t>The anchor bolts are to be installed as per API RP 686. Therefore, the anchor pretension force is taken from Annex B:</t>
  </si>
  <si>
    <r>
      <t>N</t>
    </r>
    <r>
      <rPr>
        <vertAlign val="subscript"/>
        <sz val="10"/>
        <color theme="1"/>
        <rFont val="Arial"/>
        <family val="2"/>
      </rPr>
      <t>sar</t>
    </r>
  </si>
  <si>
    <r>
      <t>A</t>
    </r>
    <r>
      <rPr>
        <vertAlign val="subscript"/>
        <sz val="10"/>
        <color theme="1"/>
        <rFont val="Arial"/>
        <family val="2"/>
      </rPr>
      <t>se,N</t>
    </r>
    <r>
      <rPr>
        <sz val="10"/>
        <color theme="1"/>
        <rFont val="Arial"/>
        <family val="2"/>
      </rPr>
      <t>φ</t>
    </r>
    <r>
      <rPr>
        <vertAlign val="subscript"/>
        <sz val="10"/>
        <color theme="1"/>
        <rFont val="Arial"/>
        <family val="2"/>
      </rPr>
      <t>s</t>
    </r>
    <r>
      <rPr>
        <sz val="10"/>
        <color theme="1"/>
        <rFont val="Arial"/>
        <family val="2"/>
      </rPr>
      <t>f</t>
    </r>
    <r>
      <rPr>
        <vertAlign val="subscript"/>
        <sz val="10"/>
        <color theme="1"/>
        <rFont val="Arial"/>
        <family val="2"/>
      </rPr>
      <t>uta</t>
    </r>
    <r>
      <rPr>
        <sz val="10"/>
        <color theme="1"/>
        <rFont val="Arial"/>
        <family val="2"/>
      </rPr>
      <t>R</t>
    </r>
  </si>
  <si>
    <t>: steel resistance of single anchor in tension; D.6.1.2</t>
  </si>
  <si>
    <r>
      <t>T</t>
    </r>
    <r>
      <rPr>
        <vertAlign val="subscript"/>
        <sz val="10"/>
        <color theme="1"/>
        <rFont val="Arial"/>
        <family val="2"/>
      </rPr>
      <t>f</t>
    </r>
    <r>
      <rPr>
        <sz val="10"/>
        <color theme="1"/>
        <rFont val="Arial"/>
        <family val="2"/>
      </rPr>
      <t xml:space="preserve"> / N</t>
    </r>
    <r>
      <rPr>
        <vertAlign val="subscript"/>
        <sz val="10"/>
        <color theme="1"/>
        <rFont val="Arial"/>
        <family val="2"/>
      </rPr>
      <t>sar</t>
    </r>
  </si>
  <si>
    <t>9.2.3.1 D.6.1 - Steel Resistance of Anchor in Tension:</t>
  </si>
  <si>
    <t>: resistance factor for ductile steel element</t>
  </si>
  <si>
    <t>9.2.3.2 D.6.2 - Concrete Breakout Resistance of Anchor in Tension:</t>
  </si>
  <si>
    <t>: breakout resistance of single anchor in tension; D.6.2.2</t>
  </si>
  <si>
    <t>9.2.3.3 D.6.3 - Pullout Resistance of Cast-in Anchor in Tension:</t>
  </si>
  <si>
    <r>
      <t>N</t>
    </r>
    <r>
      <rPr>
        <vertAlign val="subscript"/>
        <sz val="10"/>
        <color theme="1"/>
        <rFont val="Arial"/>
        <family val="2"/>
      </rPr>
      <t>cpr</t>
    </r>
  </si>
  <si>
    <r>
      <t>ψ</t>
    </r>
    <r>
      <rPr>
        <vertAlign val="subscript"/>
        <sz val="10"/>
        <color theme="1"/>
        <rFont val="Arial"/>
        <family val="2"/>
      </rPr>
      <t>c,P</t>
    </r>
    <r>
      <rPr>
        <sz val="10"/>
        <color theme="1"/>
        <rFont val="Arial"/>
        <family val="2"/>
      </rPr>
      <t>N</t>
    </r>
    <r>
      <rPr>
        <vertAlign val="subscript"/>
        <sz val="10"/>
        <color theme="1"/>
        <rFont val="Arial"/>
        <family val="2"/>
      </rPr>
      <t>pr</t>
    </r>
  </si>
  <si>
    <t>: pullout resistance of anchor in tension; D.6.3.1</t>
  </si>
  <si>
    <r>
      <t>ψ</t>
    </r>
    <r>
      <rPr>
        <vertAlign val="subscript"/>
        <sz val="10"/>
        <color theme="1"/>
        <rFont val="Arial"/>
        <family val="2"/>
      </rPr>
      <t>c,P</t>
    </r>
  </si>
  <si>
    <t>: assumed cracked concrete; D.6.3.6</t>
  </si>
  <si>
    <r>
      <t>N</t>
    </r>
    <r>
      <rPr>
        <vertAlign val="subscript"/>
        <sz val="10"/>
        <color theme="1"/>
        <rFont val="Arial"/>
        <family val="2"/>
      </rPr>
      <t>pr</t>
    </r>
  </si>
  <si>
    <r>
      <t>8A</t>
    </r>
    <r>
      <rPr>
        <vertAlign val="subscript"/>
        <sz val="10"/>
        <color theme="1"/>
        <rFont val="Arial"/>
        <family val="2"/>
      </rPr>
      <t>brg</t>
    </r>
    <r>
      <rPr>
        <sz val="10"/>
        <color theme="1"/>
        <rFont val="Arial"/>
        <family val="2"/>
      </rPr>
      <t>φ</t>
    </r>
    <r>
      <rPr>
        <vertAlign val="subscript"/>
        <sz val="10"/>
        <color theme="1"/>
        <rFont val="Arial"/>
        <family val="2"/>
      </rPr>
      <t>c</t>
    </r>
    <r>
      <rPr>
        <sz val="10"/>
        <color theme="1"/>
        <rFont val="Arial"/>
        <family val="2"/>
      </rPr>
      <t>f'</t>
    </r>
    <r>
      <rPr>
        <vertAlign val="subscript"/>
        <sz val="10"/>
        <color theme="1"/>
        <rFont val="Arial"/>
        <family val="2"/>
      </rPr>
      <t>c</t>
    </r>
    <r>
      <rPr>
        <sz val="10"/>
        <color theme="1"/>
        <rFont val="Arial"/>
        <family val="2"/>
      </rPr>
      <t>R</t>
    </r>
  </si>
  <si>
    <t>: pullout resistance of single headed bolt; D.6.3.4</t>
  </si>
  <si>
    <r>
      <t>T</t>
    </r>
    <r>
      <rPr>
        <vertAlign val="subscript"/>
        <sz val="10"/>
        <color theme="1"/>
        <rFont val="Arial"/>
        <family val="2"/>
      </rPr>
      <t>f</t>
    </r>
    <r>
      <rPr>
        <sz val="10"/>
        <color theme="1"/>
        <rFont val="Arial"/>
        <family val="2"/>
      </rPr>
      <t xml:space="preserve"> / N</t>
    </r>
    <r>
      <rPr>
        <vertAlign val="subscript"/>
        <sz val="10"/>
        <color theme="1"/>
        <rFont val="Arial"/>
        <family val="2"/>
      </rPr>
      <t>cpr</t>
    </r>
  </si>
  <si>
    <t>9.2.3.4 D.6.4 - Concrete Side-face Blowout Resistance of Anchor in Tension:</t>
  </si>
  <si>
    <t>9.2.4 Anchor Shear Resistance</t>
  </si>
  <si>
    <t>9.2.4.1 D.7.1 - Steel Resistance of Anchor in Shear:</t>
  </si>
  <si>
    <t>9.2.4.2 D.7.2 - Concrete Breakout Resistance of Anchor in Shear</t>
  </si>
  <si>
    <t>9.2.4.2 D.7.3 - Concrete Pryout Resistance of an Anchor in Shear:</t>
  </si>
  <si>
    <r>
      <t>(T</t>
    </r>
    <r>
      <rPr>
        <vertAlign val="subscript"/>
        <sz val="10"/>
        <color theme="1"/>
        <rFont val="Arial"/>
        <family val="2"/>
      </rPr>
      <t>f</t>
    </r>
    <r>
      <rPr>
        <sz val="10"/>
        <color theme="1"/>
        <rFont val="Arial"/>
        <family val="2"/>
      </rPr>
      <t xml:space="preserve"> / T</t>
    </r>
    <r>
      <rPr>
        <vertAlign val="subscript"/>
        <sz val="10"/>
        <color theme="1"/>
        <rFont val="Arial"/>
        <family val="2"/>
      </rPr>
      <t>r</t>
    </r>
    <r>
      <rPr>
        <sz val="10"/>
        <color theme="1"/>
        <rFont val="Arial"/>
        <family val="2"/>
      </rPr>
      <t>)</t>
    </r>
    <r>
      <rPr>
        <vertAlign val="subscript"/>
        <sz val="10"/>
        <color theme="1"/>
        <rFont val="Arial"/>
        <family val="2"/>
      </rPr>
      <t>max</t>
    </r>
  </si>
  <si>
    <r>
      <t>(V</t>
    </r>
    <r>
      <rPr>
        <vertAlign val="subscript"/>
        <sz val="10"/>
        <color theme="1"/>
        <rFont val="Arial"/>
        <family val="2"/>
      </rPr>
      <t>f</t>
    </r>
    <r>
      <rPr>
        <sz val="10"/>
        <color theme="1"/>
        <rFont val="Arial"/>
        <family val="2"/>
      </rPr>
      <t xml:space="preserve"> / V</t>
    </r>
    <r>
      <rPr>
        <vertAlign val="subscript"/>
        <sz val="10"/>
        <color theme="1"/>
        <rFont val="Arial"/>
        <family val="2"/>
      </rPr>
      <t>r</t>
    </r>
    <r>
      <rPr>
        <sz val="10"/>
        <color theme="1"/>
        <rFont val="Arial"/>
        <family val="2"/>
      </rPr>
      <t>)</t>
    </r>
    <r>
      <rPr>
        <vertAlign val="subscript"/>
        <sz val="10"/>
        <color theme="1"/>
        <rFont val="Arial"/>
        <family val="2"/>
      </rPr>
      <t>max</t>
    </r>
  </si>
  <si>
    <r>
      <t>(T</t>
    </r>
    <r>
      <rPr>
        <vertAlign val="subscript"/>
        <sz val="10"/>
        <color theme="1"/>
        <rFont val="Arial"/>
        <family val="2"/>
      </rPr>
      <t>f</t>
    </r>
    <r>
      <rPr>
        <sz val="10"/>
        <color theme="1"/>
        <rFont val="Arial"/>
        <family val="2"/>
      </rPr>
      <t xml:space="preserve"> / T</t>
    </r>
    <r>
      <rPr>
        <vertAlign val="subscript"/>
        <sz val="10"/>
        <color theme="1"/>
        <rFont val="Arial"/>
        <family val="2"/>
      </rPr>
      <t>r</t>
    </r>
    <r>
      <rPr>
        <sz val="10"/>
        <color theme="1"/>
        <rFont val="Arial"/>
        <family val="2"/>
      </rPr>
      <t>)</t>
    </r>
    <r>
      <rPr>
        <vertAlign val="subscript"/>
        <sz val="10"/>
        <color theme="1"/>
        <rFont val="Arial"/>
        <family val="2"/>
      </rPr>
      <t>max</t>
    </r>
    <r>
      <rPr>
        <sz val="10"/>
        <color theme="1"/>
        <rFont val="Arial"/>
        <family val="2"/>
      </rPr>
      <t xml:space="preserve"> + (V</t>
    </r>
    <r>
      <rPr>
        <vertAlign val="subscript"/>
        <sz val="10"/>
        <color theme="1"/>
        <rFont val="Arial"/>
        <family val="2"/>
      </rPr>
      <t>f</t>
    </r>
    <r>
      <rPr>
        <sz val="10"/>
        <color theme="1"/>
        <rFont val="Arial"/>
        <family val="2"/>
      </rPr>
      <t xml:space="preserve"> / V</t>
    </r>
    <r>
      <rPr>
        <vertAlign val="subscript"/>
        <sz val="10"/>
        <color theme="1"/>
        <rFont val="Arial"/>
        <family val="2"/>
      </rPr>
      <t>r</t>
    </r>
    <r>
      <rPr>
        <sz val="10"/>
        <color theme="1"/>
        <rFont val="Arial"/>
        <family val="2"/>
      </rPr>
      <t>)</t>
    </r>
    <r>
      <rPr>
        <vertAlign val="subscript"/>
        <sz val="10"/>
        <color theme="1"/>
        <rFont val="Arial"/>
        <family val="2"/>
      </rPr>
      <t>max</t>
    </r>
  </si>
  <si>
    <t>&lt; 1.2. OK</t>
  </si>
  <si>
    <t>The tension and shear interaction is acceptable. OK.</t>
  </si>
  <si>
    <t>219 mm</t>
  </si>
  <si>
    <t>2.2 m  x 1.0 m</t>
  </si>
  <si>
    <t>900 mm</t>
  </si>
  <si>
    <t>25M @ 250 mm</t>
  </si>
  <si>
    <t>Meet minimum reinforcement ratios.</t>
  </si>
  <si>
    <t>Anchor bolt diameter was provided by the Vendor.</t>
  </si>
  <si>
    <t>CWA 250 PM-6008 &amp; PM-6009 Raw Feed Booster Pump Foundation Design</t>
  </si>
  <si>
    <t xml:space="preserve">Each pump is mounted on a Vendor designed steel skid and supported on a concrete pile cap foundation. The concrete pile cap is founded on four (4) driven steel pipe piles. The pile and pile cap geometry was determined based on the pile static loading, the Geotechnical Report, and Industry Guideline recommendations for dynamic foundations.
The scope of this calculation involves foundation load development, the pile cap geometric, mass ratio, and rigidity validation, driven steel pile design, concrete foundation design, and cast-in anchor bolt design.
</t>
  </si>
  <si>
    <t>The raw feed booster pumps are supported on a Vendor supplied steel skid. The pump skid is 2.724 m long x 1.524 m wide and is founded on a concrete pile cap foundation. The concrete foundation is 3.0 m long x 1.8 m wide and is 0.9 m thick. The top of concrete elevation is approximately 0.300 m above the building slab. The pile cap is supported on four (4) 219 mm diameter x 12 m long embedment length steel piles.
The pump foundations are designed as independent foundations, isolated from the building foundation, interior slab, and adjacent miscellaneous pipe supports.</t>
  </si>
  <si>
    <t xml:space="preserve">Checking Level 2A is used. The analysis is considered as "Minor Equipment supports", not subject to significant dynamic loads. </t>
  </si>
  <si>
    <t>API RP 686 - Recommended Practice for Machinery Installation and Installation Design</t>
  </si>
  <si>
    <t>As per project specification 19005-019-GEN-SPC-04-050 Civil and Structural Design Criteria, Section 3.7.3, a detailed dynamic analysis is not required for PM-6008 and PM-6009. The raw feed booster pumps are 300 hp (&lt; 500 hp) and have an operating speed of 3600 rpm (&gt;1200 rpm).</t>
  </si>
  <si>
    <t>- The pile design calculations are performed with reference to JDB 2.A.04.1 Deep Foundation Philosophy and the project site specific geotechnical report.
- As per the geotechnical report recommendations in Section 5.14.2, the maximum static and dynamic factored load shall be limited to 75% of the design static geotechnical resistance of the pile. However, Fluor Guideline 000.215.1234 states the static pile load should be limited to 50% of the geotechnical capacity to ensure elastic soil behaviour.  The lower of the two limits is used and pile compression resistance unity ratio is limited to 0.50.</t>
  </si>
  <si>
    <t>The concrete reinforcement is designed based on the maximum factored applied loading and minimum reinforcement requirements as per CSA A23.3-19 and ACI 351.3R-18.</t>
  </si>
  <si>
    <t>kW</t>
  </si>
  <si>
    <t>The foundation geometry is validated as per Fluor Guidelines 000.215.1227 and 00.215.1234, project specifications 19005-019-GEN-SPC-04-050 and 03-309, and CSA A23.3-19 anchor bolt edge distance requirements.</t>
  </si>
  <si>
    <t>The weight of the pile cap foundation is summarized below. The weight of the skid infill grout is conservatively ignored for the mass ratio calculation.</t>
  </si>
  <si>
    <r>
      <t>: 2400 kg/m</t>
    </r>
    <r>
      <rPr>
        <vertAlign val="superscript"/>
        <sz val="10"/>
        <color theme="1"/>
        <rFont val="Arial"/>
        <family val="2"/>
      </rPr>
      <t>3</t>
    </r>
    <r>
      <rPr>
        <sz val="10"/>
        <color theme="1"/>
        <rFont val="Arial"/>
        <family val="2"/>
      </rPr>
      <t>; assume grout density is similar to concrete</t>
    </r>
  </si>
  <si>
    <t>Foundation rigidity is checked as per Fluor Guideline 000.215.1234 and ACI 351.3R-18 Cl. 6.2.</t>
  </si>
  <si>
    <t>Measured from pile cap corner.</t>
  </si>
  <si>
    <r>
      <t>: COG along the length "L" dimension; COG</t>
    </r>
    <r>
      <rPr>
        <vertAlign val="subscript"/>
        <sz val="10"/>
        <color theme="1"/>
        <rFont val="Arial"/>
        <family val="2"/>
      </rPr>
      <t>X</t>
    </r>
    <r>
      <rPr>
        <sz val="10"/>
        <color theme="1"/>
        <rFont val="Arial"/>
        <family val="2"/>
      </rPr>
      <t xml:space="preserve"> + e</t>
    </r>
    <r>
      <rPr>
        <vertAlign val="subscript"/>
        <sz val="10"/>
        <color theme="1"/>
        <rFont val="Arial"/>
        <family val="2"/>
      </rPr>
      <t>x</t>
    </r>
  </si>
  <si>
    <r>
      <t>: pump skid edge distance; (L</t>
    </r>
    <r>
      <rPr>
        <vertAlign val="subscript"/>
        <sz val="10"/>
        <color theme="1"/>
        <rFont val="Arial"/>
        <family val="2"/>
      </rPr>
      <t>cap</t>
    </r>
    <r>
      <rPr>
        <sz val="10"/>
        <color theme="1"/>
        <rFont val="Arial"/>
        <family val="2"/>
      </rPr>
      <t xml:space="preserve"> - L</t>
    </r>
    <r>
      <rPr>
        <vertAlign val="subscript"/>
        <sz val="10"/>
        <color theme="1"/>
        <rFont val="Arial"/>
        <family val="2"/>
      </rPr>
      <t>skid)</t>
    </r>
    <r>
      <rPr>
        <sz val="10"/>
        <color theme="1"/>
        <rFont val="Arial"/>
        <family val="2"/>
      </rPr>
      <t xml:space="preserve"> / 2</t>
    </r>
  </si>
  <si>
    <r>
      <t>: pump skid edge distance; (W</t>
    </r>
    <r>
      <rPr>
        <vertAlign val="subscript"/>
        <sz val="10"/>
        <color theme="1"/>
        <rFont val="Arial"/>
        <family val="2"/>
      </rPr>
      <t>cap</t>
    </r>
    <r>
      <rPr>
        <sz val="10"/>
        <color theme="1"/>
        <rFont val="Arial"/>
        <family val="2"/>
      </rPr>
      <t xml:space="preserve"> - W</t>
    </r>
    <r>
      <rPr>
        <vertAlign val="subscript"/>
        <sz val="10"/>
        <color theme="1"/>
        <rFont val="Arial"/>
        <family val="2"/>
      </rPr>
      <t>skid</t>
    </r>
    <r>
      <rPr>
        <sz val="10"/>
        <color theme="1"/>
        <rFont val="Arial"/>
        <family val="2"/>
      </rPr>
      <t>) / 2</t>
    </r>
  </si>
  <si>
    <r>
      <t>: center of resistance, along the length "L" dimension; COG</t>
    </r>
    <r>
      <rPr>
        <vertAlign val="subscript"/>
        <sz val="10"/>
        <color theme="1"/>
        <rFont val="Arial"/>
        <family val="2"/>
      </rPr>
      <t>x,cap</t>
    </r>
  </si>
  <si>
    <r>
      <t>: COG</t>
    </r>
    <r>
      <rPr>
        <vertAlign val="subscript"/>
        <sz val="10"/>
        <color theme="1"/>
        <rFont val="Arial"/>
        <family val="2"/>
      </rPr>
      <t>X,combined</t>
    </r>
    <r>
      <rPr>
        <sz val="10"/>
        <color theme="1"/>
        <rFont val="Arial"/>
        <family val="2"/>
      </rPr>
      <t xml:space="preserve"> - CR</t>
    </r>
    <r>
      <rPr>
        <vertAlign val="subscript"/>
        <sz val="10"/>
        <color theme="1"/>
        <rFont val="Arial"/>
        <family val="2"/>
      </rPr>
      <t>X</t>
    </r>
  </si>
  <si>
    <r>
      <t>: center of resistance, along the width "W" dimension; COG</t>
    </r>
    <r>
      <rPr>
        <vertAlign val="subscript"/>
        <sz val="10"/>
        <color theme="1"/>
        <rFont val="Arial"/>
        <family val="2"/>
      </rPr>
      <t>Z,cap</t>
    </r>
  </si>
  <si>
    <r>
      <t>: COG</t>
    </r>
    <r>
      <rPr>
        <vertAlign val="subscript"/>
        <sz val="10"/>
        <color theme="1"/>
        <rFont val="Arial"/>
        <family val="2"/>
      </rPr>
      <t>Z,combined</t>
    </r>
    <r>
      <rPr>
        <sz val="10"/>
        <color theme="1"/>
        <rFont val="Arial"/>
        <family val="2"/>
      </rPr>
      <t xml:space="preserve"> - CR</t>
    </r>
    <r>
      <rPr>
        <vertAlign val="subscript"/>
        <sz val="10"/>
        <color theme="1"/>
        <rFont val="Arial"/>
        <family val="2"/>
      </rPr>
      <t>Z</t>
    </r>
  </si>
  <si>
    <r>
      <t>As per CSA A23.3-19, Section D.9.3, minimum edge distance for torqued anchor bolts shall be 6d</t>
    </r>
    <r>
      <rPr>
        <vertAlign val="subscript"/>
        <sz val="10"/>
        <color theme="1"/>
        <rFont val="Arial"/>
        <family val="2"/>
      </rPr>
      <t>a.</t>
    </r>
  </si>
  <si>
    <t>: sleeve diameter, per P07-019-MEC-FDN-04-3002 for 3/4" bolts.</t>
  </si>
  <si>
    <t>The self-weight of the foundation includes the weight of the concrete pile cap, grout between cap and underside of skid, and the  skid infill grout.</t>
  </si>
  <si>
    <t>The weight of the pump package is taken from the Vendor GA dwg. 4205A-B01.</t>
  </si>
  <si>
    <t>Not applicable. Seismic operating will govern the design.</t>
  </si>
  <si>
    <t>As per ACI 351.3R-18 Section 7.1.2.2, if forces are not provided by the Vendor, then 50% EO may be considered for the vertical force and 25% of EO for the lateral force.</t>
  </si>
  <si>
    <r>
      <t>V</t>
    </r>
    <r>
      <rPr>
        <vertAlign val="subscript"/>
        <sz val="10"/>
        <color theme="1"/>
        <rFont val="Arial"/>
        <family val="2"/>
      </rPr>
      <t>dyn</t>
    </r>
    <r>
      <rPr>
        <sz val="10"/>
        <color theme="1"/>
        <rFont val="Arial"/>
        <family val="2"/>
      </rPr>
      <t xml:space="preserve"> / EE</t>
    </r>
  </si>
  <si>
    <t>&gt; 0.5. OK.</t>
  </si>
  <si>
    <t>The Vendor provided dynamic loading is larger than the ACI recommendation, OK.</t>
  </si>
  <si>
    <t>Due to the smaller pile spacing, loading in the transverse direction governs the design.</t>
  </si>
  <si>
    <t>Refer to Section 7.1 for basic load case calculations.</t>
  </si>
  <si>
    <t>As per the Geotechnical Report Section 5.14.2 recommendations, the maximum static and dynamic factored load shall be limited to 75% of the design static geotechnical resistance of the pile. However, Fluor Guideline 000.215.1234 states the static pile load should be limited to 50% of the geotechnical capacity to ensure elastic soil behaviour.</t>
  </si>
  <si>
    <t>: estimated pile deflection at grade, from chart below</t>
  </si>
  <si>
    <t>As per CISC Handbook of Steel Construction, Table 3-25, an 8 mm fillet weld has a shear resistance of 1.24 kN/mm.</t>
  </si>
  <si>
    <t>: minimum pile tensionforce</t>
  </si>
  <si>
    <t>The resulting punching shear resistance at the piles is checked against the maximum pile compression.</t>
  </si>
  <si>
    <t xml:space="preserve">The Frac 2 existing pump foundations use 5 - 20M bars as per dwg P07019MEC-CV04330. The rebar size is increased to 25M to meet the recommended reinforcement ratios, due to the thicker foundation section. </t>
  </si>
  <si>
    <t>CSA A23.3-19 Cl. 10.7.1 defines deep flexural members as members with an clear span to depth ratio less than 2.0.</t>
  </si>
  <si>
    <t>&gt; 2.0, OK</t>
  </si>
  <si>
    <t>The pile cap is not considered a deep flexural member in the longitudinal direction. OK.</t>
  </si>
  <si>
    <t>In addition, as will be shown in Section 9.1.2, the resulting factored moment is small and the section is not expected to crack under the applied loading. The minimum reinforcement requirements govern the foundation design.</t>
  </si>
  <si>
    <t>Two-way (punching) shear is checked at the piles for maximum compression.</t>
  </si>
  <si>
    <t>As per the Note in Cl.13.6.3, for slabs greater than 350 mm deep, the calculated shear resistance shall take into account a reduction of allowable concrete stress due to the depth of such members:</t>
  </si>
  <si>
    <t>: Area of reinforcement provided, 1 - 15M bars</t>
  </si>
  <si>
    <r>
      <t>A</t>
    </r>
    <r>
      <rPr>
        <vertAlign val="subscript"/>
        <sz val="10"/>
        <color theme="1"/>
        <rFont val="Arial"/>
        <family val="2"/>
      </rPr>
      <t>sk</t>
    </r>
    <r>
      <rPr>
        <sz val="10"/>
        <color theme="1"/>
        <rFont val="Arial"/>
        <family val="2"/>
      </rPr>
      <t xml:space="preserve"> &gt; A</t>
    </r>
    <r>
      <rPr>
        <vertAlign val="subscript"/>
        <sz val="10"/>
        <color theme="1"/>
        <rFont val="Arial"/>
        <family val="2"/>
      </rPr>
      <t>sk,req</t>
    </r>
    <r>
      <rPr>
        <sz val="10"/>
        <color theme="1"/>
        <rFont val="Arial"/>
        <family val="2"/>
      </rPr>
      <t>; OK. Provide minimum of  1 - 15M perimeter bars for skin reinforcement.</t>
    </r>
  </si>
  <si>
    <r>
      <t>: width of strip skin reinf. area; 2*(cc + d</t>
    </r>
    <r>
      <rPr>
        <vertAlign val="subscript"/>
        <sz val="10"/>
        <rFont val="Arial"/>
        <family val="2"/>
      </rPr>
      <t>bar</t>
    </r>
    <r>
      <rPr>
        <sz val="10"/>
        <color theme="1"/>
        <rFont val="Arial"/>
        <family val="2"/>
      </rPr>
      <t>/2)</t>
    </r>
  </si>
  <si>
    <t>Refer to Section 6.2 or basic load case calculations.</t>
  </si>
  <si>
    <t>: ignore infill grout</t>
  </si>
  <si>
    <r>
      <t>: effective anchor embedment depth = L</t>
    </r>
    <r>
      <rPr>
        <vertAlign val="subscript"/>
        <sz val="10"/>
        <color theme="1"/>
        <rFont val="Arial"/>
        <family val="2"/>
      </rPr>
      <t>a</t>
    </r>
    <r>
      <rPr>
        <sz val="10"/>
        <color theme="1"/>
        <rFont val="Arial"/>
        <family val="2"/>
      </rPr>
      <t xml:space="preserve"> - P - P1</t>
    </r>
  </si>
  <si>
    <t>Side-face Blowout for Anchor Group:</t>
  </si>
  <si>
    <t>As per D.6.4.2, side-face blowout for the anchor group shall not exceed:</t>
  </si>
  <si>
    <r>
      <t>N</t>
    </r>
    <r>
      <rPr>
        <vertAlign val="subscript"/>
        <sz val="10"/>
        <rFont val="Arial"/>
        <family val="2"/>
      </rPr>
      <t>sbrg</t>
    </r>
  </si>
  <si>
    <r>
      <t>(1 + s / 6c</t>
    </r>
    <r>
      <rPr>
        <vertAlign val="subscript"/>
        <sz val="10"/>
        <color theme="1"/>
        <rFont val="Arial"/>
        <family val="2"/>
      </rPr>
      <t>a1</t>
    </r>
    <r>
      <rPr>
        <sz val="10"/>
        <color theme="1"/>
        <rFont val="Arial"/>
        <family val="2"/>
      </rPr>
      <t>)*N</t>
    </r>
    <r>
      <rPr>
        <vertAlign val="subscript"/>
        <sz val="10"/>
        <rFont val="Arial"/>
        <family val="2"/>
      </rPr>
      <t>sbrg</t>
    </r>
  </si>
  <si>
    <t>: spacing of outer most anchors</t>
  </si>
  <si>
    <t>: total group side-face blowout resistance</t>
  </si>
  <si>
    <r>
      <t>The capacity is checked against the total group pretension force = 5 anchors * T</t>
    </r>
    <r>
      <rPr>
        <vertAlign val="subscript"/>
        <sz val="10"/>
        <color theme="1"/>
        <rFont val="Arial"/>
        <family val="2"/>
      </rPr>
      <t>pt</t>
    </r>
  </si>
  <si>
    <r>
      <t>5T</t>
    </r>
    <r>
      <rPr>
        <vertAlign val="subscript"/>
        <sz val="10"/>
        <rFont val="Arial"/>
        <family val="2"/>
      </rPr>
      <t>pt</t>
    </r>
    <r>
      <rPr>
        <sz val="10"/>
        <color theme="1"/>
        <rFont val="Arial"/>
        <family val="2"/>
      </rPr>
      <t xml:space="preserve"> / N</t>
    </r>
    <r>
      <rPr>
        <vertAlign val="subscript"/>
        <sz val="10"/>
        <rFont val="Arial"/>
        <family val="2"/>
      </rPr>
      <t>sbrg</t>
    </r>
  </si>
  <si>
    <t>: reduction factor for "Built Up Grout Pads" D.7.1.3</t>
  </si>
  <si>
    <t>VENDOR INFORMATION AND PILE CAP GEOMETRY</t>
  </si>
  <si>
    <t>PM-6008 and PM-6009 Vendor Information</t>
  </si>
  <si>
    <t>Foundation Geometry Validation</t>
  </si>
  <si>
    <t>Basic Load Case Development</t>
  </si>
  <si>
    <t>PILE DESIGN</t>
  </si>
  <si>
    <t>Void Form Design</t>
  </si>
  <si>
    <t>PILE CAP DESIGN</t>
  </si>
  <si>
    <t>Checking Level:  2A</t>
  </si>
  <si>
    <t>Issued for Information</t>
  </si>
  <si>
    <t>: mat cantilever dimension in rocking direction; use pile edge distance</t>
  </si>
  <si>
    <r>
      <t>L</t>
    </r>
    <r>
      <rPr>
        <vertAlign val="subscript"/>
        <sz val="10"/>
        <color theme="1"/>
        <rFont val="Arial"/>
        <family val="2"/>
      </rPr>
      <t>pile</t>
    </r>
  </si>
  <si>
    <r>
      <t>W</t>
    </r>
    <r>
      <rPr>
        <vertAlign val="subscript"/>
        <sz val="10"/>
        <color theme="1"/>
        <rFont val="Arial"/>
        <family val="2"/>
      </rPr>
      <t>pile</t>
    </r>
  </si>
  <si>
    <t>: pile spacing, along pile cap length</t>
  </si>
  <si>
    <t>: pile spacing, along pile cap width</t>
  </si>
  <si>
    <r>
      <t>D</t>
    </r>
    <r>
      <rPr>
        <vertAlign val="subscript"/>
        <sz val="10"/>
        <color theme="1"/>
        <rFont val="Arial"/>
        <family val="2"/>
      </rPr>
      <t>pile</t>
    </r>
  </si>
  <si>
    <r>
      <t>: (W</t>
    </r>
    <r>
      <rPr>
        <vertAlign val="subscript"/>
        <sz val="10"/>
        <color theme="1"/>
        <rFont val="Arial"/>
        <family val="2"/>
      </rPr>
      <t>cap</t>
    </r>
    <r>
      <rPr>
        <sz val="10"/>
        <color theme="1"/>
        <rFont val="Arial"/>
        <family val="2"/>
      </rPr>
      <t xml:space="preserve"> - W</t>
    </r>
    <r>
      <rPr>
        <vertAlign val="subscript"/>
        <sz val="10"/>
        <color theme="1"/>
        <rFont val="Arial"/>
        <family val="2"/>
      </rPr>
      <t>pile</t>
    </r>
    <r>
      <rPr>
        <sz val="10"/>
        <color theme="1"/>
        <rFont val="Arial"/>
        <family val="2"/>
      </rPr>
      <t xml:space="preserve"> - D</t>
    </r>
    <r>
      <rPr>
        <vertAlign val="subscript"/>
        <sz val="10"/>
        <color theme="1"/>
        <rFont val="Arial"/>
        <family val="2"/>
      </rPr>
      <t>pile</t>
    </r>
    <r>
      <rPr>
        <sz val="10"/>
        <color theme="1"/>
        <rFont val="Arial"/>
        <family val="2"/>
      </rPr>
      <t>) / 2</t>
    </r>
  </si>
  <si>
    <r>
      <t>: width of mat perpendicular to rocking direction; W</t>
    </r>
    <r>
      <rPr>
        <vertAlign val="subscript"/>
        <sz val="10"/>
        <color theme="1"/>
        <rFont val="Arial"/>
        <family val="2"/>
      </rPr>
      <t>cap</t>
    </r>
  </si>
  <si>
    <t>Fluor Guideline 000.215.1227 provides equations for calculating the foundation natural frequency for a block foundation supported directly on soil:</t>
  </si>
  <si>
    <t>where,</t>
  </si>
  <si>
    <t>f</t>
  </si>
  <si>
    <t>frequency</t>
  </si>
  <si>
    <t>system mass</t>
  </si>
  <si>
    <r>
      <t>w</t>
    </r>
    <r>
      <rPr>
        <vertAlign val="subscript"/>
        <sz val="10"/>
        <color theme="1"/>
        <rFont val="Arial"/>
        <family val="2"/>
      </rPr>
      <t>fdn</t>
    </r>
  </si>
  <si>
    <t>: static weight of equipment</t>
  </si>
  <si>
    <t>cycles / s</t>
  </si>
  <si>
    <t>Δ</t>
  </si>
  <si>
    <t>: single pile stiffness = 1 kN / Δ</t>
  </si>
  <si>
    <r>
      <t>k</t>
    </r>
    <r>
      <rPr>
        <vertAlign val="subscript"/>
        <sz val="10"/>
        <color theme="1"/>
        <rFont val="Arial"/>
        <family val="2"/>
      </rPr>
      <t>sys</t>
    </r>
  </si>
  <si>
    <t>As can be seen, the foundation frequency is well outside the pump operating frequency of 3600 rpm. OK.</t>
  </si>
  <si>
    <r>
      <t>&lt; 0.8* F</t>
    </r>
    <r>
      <rPr>
        <vertAlign val="subscript"/>
        <sz val="10"/>
        <color theme="1"/>
        <rFont val="Arial"/>
        <family val="2"/>
      </rPr>
      <t>ope</t>
    </r>
  </si>
  <si>
    <t>: k * 4 piles; no reduction in stiffness due to group effects assumed, as to maximize group stiffness.</t>
  </si>
  <si>
    <t>F3KY-215-CAL-047_0_02.lp12</t>
  </si>
  <si>
    <t>LPile Analysis - for pile stiffness calculation</t>
  </si>
  <si>
    <t>The Vendor had provided dynamic anchor loads. As per Vendor correspondence, these loads are calculated as the short-circuit static equivalent loads.</t>
  </si>
  <si>
    <t>ii. Vertical Direction:</t>
  </si>
  <si>
    <t>i. Lateral Direction:</t>
  </si>
  <si>
    <t>EA / L</t>
  </si>
  <si>
    <t>E</t>
  </si>
  <si>
    <t>A</t>
  </si>
  <si>
    <r>
      <t>t</t>
    </r>
    <r>
      <rPr>
        <vertAlign val="subscript"/>
        <sz val="10"/>
        <color theme="1"/>
        <rFont val="Arial"/>
        <family val="2"/>
      </rPr>
      <t>wall</t>
    </r>
  </si>
  <si>
    <r>
      <t>m</t>
    </r>
    <r>
      <rPr>
        <vertAlign val="superscript"/>
        <sz val="10"/>
        <color theme="1"/>
        <rFont val="Arial"/>
        <family val="2"/>
      </rPr>
      <t>2</t>
    </r>
  </si>
  <si>
    <t>: pile wall thickness</t>
  </si>
  <si>
    <r>
      <t>: gross area; π/4∙(D</t>
    </r>
    <r>
      <rPr>
        <vertAlign val="subscript"/>
        <sz val="10"/>
        <color theme="1"/>
        <rFont val="Arial"/>
        <family val="2"/>
      </rPr>
      <t>pile</t>
    </r>
    <r>
      <rPr>
        <vertAlign val="superscript"/>
        <sz val="10"/>
        <color theme="1"/>
        <rFont val="Arial"/>
        <family val="2"/>
      </rPr>
      <t>2</t>
    </r>
    <r>
      <rPr>
        <sz val="10"/>
        <color theme="1"/>
        <rFont val="Arial"/>
        <family val="2"/>
      </rPr>
      <t>-(D</t>
    </r>
    <r>
      <rPr>
        <vertAlign val="subscript"/>
        <sz val="10"/>
        <color theme="1"/>
        <rFont val="Arial"/>
        <family val="2"/>
      </rPr>
      <t>pile</t>
    </r>
    <r>
      <rPr>
        <sz val="10"/>
        <color theme="1"/>
        <rFont val="Arial"/>
        <family val="2"/>
      </rPr>
      <t xml:space="preserve"> - 2t</t>
    </r>
    <r>
      <rPr>
        <vertAlign val="subscript"/>
        <sz val="10"/>
        <color theme="1"/>
        <rFont val="Arial"/>
        <family val="2"/>
      </rPr>
      <t>wall</t>
    </r>
    <r>
      <rPr>
        <sz val="10"/>
        <color theme="1"/>
        <rFont val="Arial"/>
        <family val="2"/>
      </rPr>
      <t>)</t>
    </r>
    <r>
      <rPr>
        <vertAlign val="superscript"/>
        <sz val="10"/>
        <color theme="1"/>
        <rFont val="Arial"/>
        <family val="2"/>
      </rPr>
      <t>2</t>
    </r>
    <r>
      <rPr>
        <sz val="10"/>
        <color theme="1"/>
        <rFont val="Arial"/>
        <family val="2"/>
      </rPr>
      <t>)</t>
    </r>
  </si>
  <si>
    <t>: elastic modulus of pile steel</t>
  </si>
  <si>
    <t>The L-Pile run "219mm_V=100 kN (fixed).lp12d" is modified for 0 mm corrosion allowance, Compression = 0 kN, and Shear = 1 kN unit load.</t>
  </si>
  <si>
    <t>: pile head deflection, from LPILE</t>
  </si>
  <si>
    <t>The pile stiffness is estimated from the JDB 2.A.04.1 Deep Foundation Philosophy LPILE Analysis.</t>
  </si>
  <si>
    <t>: axial elastic stiffness</t>
  </si>
  <si>
    <t>As per Vendor correspondence, the dynamic loads are considered to be short-circuit equivalent static loads.</t>
  </si>
  <si>
    <t>As per Vendor correspondence, these loads include the equipment weight plus applicable vertical nozzle loads in accordance with API 610.</t>
  </si>
  <si>
    <t>Therefore, use the Vendor provided loading for EO.</t>
  </si>
  <si>
    <r>
      <t>: For F</t>
    </r>
    <r>
      <rPr>
        <vertAlign val="subscript"/>
        <sz val="10"/>
        <color theme="1"/>
        <rFont val="Arial"/>
        <family val="2"/>
      </rPr>
      <t>dyn</t>
    </r>
    <r>
      <rPr>
        <sz val="10"/>
        <color theme="1"/>
        <rFont val="Arial"/>
        <family val="2"/>
      </rPr>
      <t xml:space="preserve"> dynamic force: As per Vendor correspondence, the loading is already considered equivalent static loads. Therefore, no additional dynamic amplification factor needs to be applied.
The loading is considered a short-circuit load and is treated as a "Live Load" with a 1.5 load factor applied.
F</t>
    </r>
    <r>
      <rPr>
        <vertAlign val="subscript"/>
        <sz val="10"/>
        <color theme="1"/>
        <rFont val="Arial"/>
        <family val="2"/>
      </rPr>
      <t>dyn</t>
    </r>
    <r>
      <rPr>
        <sz val="10"/>
        <color theme="1"/>
        <rFont val="Arial"/>
        <family val="2"/>
      </rPr>
      <t xml:space="preserve"> is taken as acting in the transverse direction - governs over the vertical direction.</t>
    </r>
  </si>
  <si>
    <t>The static pile cap foundation design is presented below.</t>
  </si>
  <si>
    <r>
      <t>T</t>
    </r>
    <r>
      <rPr>
        <vertAlign val="subscript"/>
        <sz val="10"/>
        <rFont val="Arial"/>
        <family val="2"/>
      </rPr>
      <t>f,a</t>
    </r>
  </si>
  <si>
    <t>: design anchor tension force</t>
  </si>
  <si>
    <r>
      <t>T</t>
    </r>
    <r>
      <rPr>
        <vertAlign val="subscript"/>
        <sz val="10"/>
        <rFont val="Arial"/>
        <family val="2"/>
      </rPr>
      <t xml:space="preserve">f </t>
    </r>
    <r>
      <rPr>
        <sz val="10"/>
        <rFont val="Arial"/>
        <family val="2"/>
      </rPr>
      <t>= max(T</t>
    </r>
    <r>
      <rPr>
        <vertAlign val="subscript"/>
        <sz val="10"/>
        <rFont val="Arial"/>
        <family val="2"/>
      </rPr>
      <t>f,a</t>
    </r>
    <r>
      <rPr>
        <sz val="10"/>
        <rFont val="Arial"/>
        <family val="2"/>
      </rPr>
      <t>, T</t>
    </r>
    <r>
      <rPr>
        <vertAlign val="subscript"/>
        <sz val="10"/>
        <rFont val="Arial"/>
        <family val="2"/>
      </rPr>
      <t>pt</t>
    </r>
    <r>
      <rPr>
        <sz val="10"/>
        <rFont val="Arial"/>
        <family val="2"/>
      </rPr>
      <t xml:space="preserve">) </t>
    </r>
  </si>
  <si>
    <r>
      <t>T</t>
    </r>
    <r>
      <rPr>
        <vertAlign val="subscript"/>
        <sz val="10"/>
        <rFont val="Arial"/>
        <family val="2"/>
      </rPr>
      <t>f</t>
    </r>
    <r>
      <rPr>
        <sz val="10"/>
        <color theme="1"/>
        <rFont val="Arial"/>
        <family val="2"/>
      </rPr>
      <t xml:space="preserve"> / N</t>
    </r>
    <r>
      <rPr>
        <vertAlign val="subscript"/>
        <sz val="10"/>
        <rFont val="Arial"/>
        <family val="2"/>
      </rPr>
      <t>sbr</t>
    </r>
  </si>
  <si>
    <t>As per ASCE Anchorage Design for Petrochemical and Other Industrial Facilities, 2nd Edition, Section 3.8.5, in the case of a stiff baseplate covering the concrete failure pyramid, the concrete breakout strength need only be designed for the external uplift force:</t>
  </si>
  <si>
    <t>Conservatively, the anchor breakout is checked for tension breakout as the baseplate stiffness is unknown.</t>
  </si>
  <si>
    <r>
      <t>As per Figure D.8, the anchor edge distance is &lt; 1.5 h</t>
    </r>
    <r>
      <rPr>
        <vertAlign val="subscript"/>
        <sz val="10"/>
        <color theme="1"/>
        <rFont val="Arial"/>
        <family val="2"/>
      </rPr>
      <t>ef</t>
    </r>
    <r>
      <rPr>
        <sz val="10"/>
        <color theme="1"/>
        <rFont val="Arial"/>
        <family val="2"/>
      </rPr>
      <t>. Therefore, h</t>
    </r>
    <r>
      <rPr>
        <vertAlign val="subscript"/>
        <sz val="10"/>
        <color theme="1"/>
        <rFont val="Arial"/>
        <family val="2"/>
      </rPr>
      <t>ef</t>
    </r>
    <r>
      <rPr>
        <sz val="10"/>
        <color theme="1"/>
        <rFont val="Arial"/>
        <family val="2"/>
      </rPr>
      <t xml:space="preserve"> is modified:</t>
    </r>
  </si>
  <si>
    <r>
      <t>h'</t>
    </r>
    <r>
      <rPr>
        <vertAlign val="subscript"/>
        <sz val="10"/>
        <color theme="1"/>
        <rFont val="Arial"/>
        <family val="2"/>
      </rPr>
      <t>ef</t>
    </r>
  </si>
  <si>
    <r>
      <t>max(c</t>
    </r>
    <r>
      <rPr>
        <vertAlign val="subscript"/>
        <sz val="11"/>
        <color theme="1"/>
        <rFont val="Arial"/>
        <family val="2"/>
      </rPr>
      <t>a,max</t>
    </r>
    <r>
      <rPr>
        <sz val="11"/>
        <color theme="1"/>
        <rFont val="Arial"/>
        <family val="2"/>
      </rPr>
      <t xml:space="preserve"> / 1.5, s / 3)</t>
    </r>
  </si>
  <si>
    <t>: projected area of the failure surface; 581*492; see sketch</t>
  </si>
  <si>
    <r>
      <t>kφ</t>
    </r>
    <r>
      <rPr>
        <vertAlign val="subscript"/>
        <sz val="10"/>
        <rFont val="Arial"/>
        <family val="2"/>
      </rPr>
      <t>c</t>
    </r>
    <r>
      <rPr>
        <sz val="10"/>
        <rFont val="Arial"/>
        <family val="2"/>
      </rPr>
      <t>λ</t>
    </r>
    <r>
      <rPr>
        <vertAlign val="subscript"/>
        <sz val="10"/>
        <rFont val="Arial"/>
        <family val="2"/>
      </rPr>
      <t>a</t>
    </r>
    <r>
      <rPr>
        <sz val="10"/>
        <rFont val="Arial"/>
        <family val="2"/>
      </rPr>
      <t>√f'</t>
    </r>
    <r>
      <rPr>
        <vertAlign val="subscript"/>
        <sz val="10"/>
        <rFont val="Arial"/>
        <family val="2"/>
      </rPr>
      <t>c</t>
    </r>
    <r>
      <rPr>
        <sz val="10"/>
        <rFont val="Arial"/>
        <family val="2"/>
      </rPr>
      <t>h'</t>
    </r>
    <r>
      <rPr>
        <vertAlign val="subscript"/>
        <sz val="10"/>
        <rFont val="Arial"/>
        <family val="2"/>
      </rPr>
      <t>ef</t>
    </r>
    <r>
      <rPr>
        <vertAlign val="superscript"/>
        <sz val="10"/>
        <rFont val="Arial"/>
        <family val="2"/>
      </rPr>
      <t>1.5</t>
    </r>
    <r>
      <rPr>
        <sz val="10"/>
        <rFont val="Arial"/>
        <family val="2"/>
      </rPr>
      <t>R</t>
    </r>
  </si>
  <si>
    <t>The anchors are pretensioned. Therefore, it is expected that the shear will be transferred to the foundation through friction.</t>
  </si>
  <si>
    <t>However, the anchors are still conservatively checked for the maximum shear force per anchor.</t>
  </si>
  <si>
    <t>However, as the foundation is supported on piles, it is more reasonable to idealize the structural system as a simple mass-spring system:</t>
  </si>
  <si>
    <t>system spring stiffness (pile stiffness)</t>
  </si>
  <si>
    <t>The pile stiffness in the vertical direction is calculated as the elastic stiffness of the piles only.</t>
  </si>
  <si>
    <t>: pile length</t>
  </si>
  <si>
    <t>: axial stiffness of single pile</t>
  </si>
  <si>
    <t>However, for the purposes of pile design, the loading is resolved to the shaft centerline below:</t>
  </si>
  <si>
    <t>: weight of foundation + grout + infill grout; refer to Section 7.0</t>
  </si>
  <si>
    <t>As noted by the Vendor, the loading is manually calculated and not resolved to the shaft centerline.</t>
  </si>
  <si>
    <t>The anchor reactions are assumed representative of a couple force resulting from the lateral dynamic load applied at the pump crank shaft elevation.</t>
  </si>
  <si>
    <t>: height of crankshaft above U/S skid</t>
  </si>
  <si>
    <t>Therefore, the section is not expected to crack under the applied loading, and additional crack control reinforcement is not required to be checked. OK.</t>
  </si>
  <si>
    <r>
      <rPr>
        <b/>
        <u/>
        <sz val="10"/>
        <color theme="1"/>
        <rFont val="Arial"/>
        <family val="2"/>
      </rPr>
      <t>NOTE:</t>
    </r>
    <r>
      <rPr>
        <sz val="10"/>
        <color theme="1"/>
        <rFont val="Arial"/>
        <family val="2"/>
      </rPr>
      <t xml:space="preserve"> Since the pretension force is larger than the applied anchor tension, no net positive tension is expected due to external loading. However, anchors will be conservatively designed based on the pretension force. OK.</t>
    </r>
  </si>
  <si>
    <t>The anchors are analyzed as single anchors; therefore, 1/2 the anchor spacing is treated as an "edge".</t>
  </si>
  <si>
    <t>LPILE Output</t>
  </si>
  <si>
    <t>Mechanical Vendor Information and Correspondence</t>
  </si>
  <si>
    <t>i. Foundation extension:</t>
  </si>
  <si>
    <t>Density of Reinforced Concrete</t>
  </si>
  <si>
    <t>e</t>
  </si>
  <si>
    <r>
      <t>: 2400 kg/m</t>
    </r>
    <r>
      <rPr>
        <vertAlign val="superscript"/>
        <sz val="10"/>
        <color theme="1"/>
        <rFont val="Arial"/>
        <family val="2"/>
      </rPr>
      <t>3</t>
    </r>
  </si>
  <si>
    <t>: resulting compression force</t>
  </si>
  <si>
    <t>Pipe No.</t>
  </si>
  <si>
    <t>PO [kN]</t>
  </si>
  <si>
    <t>219.1-03K-NGL-7016</t>
  </si>
  <si>
    <t>219.1-03K-NGL-7940</t>
  </si>
  <si>
    <t>10. ADDITIONAL PIPE SUPPORT FOUNDATION</t>
  </si>
  <si>
    <t>As per Stress requirements, the first base support of the suction and discharge lines are to be supported on a common foundation with the pump .</t>
  </si>
  <si>
    <t>Therefore, a local foundation extension is provided for the pipe supports.</t>
  </si>
  <si>
    <t>10.1  Load Development</t>
  </si>
  <si>
    <t>A local extension of the concrete is provided for the pipe supports.</t>
  </si>
  <si>
    <t>10.1.1 BLC 1: Structural Self Weight (SW)</t>
  </si>
  <si>
    <t>10.1.2 BLC 2: Pipe Operating (PO)</t>
  </si>
  <si>
    <t xml:space="preserve">Stress information is not available for these lines. </t>
  </si>
  <si>
    <t>10.2  Load Combinations</t>
  </si>
  <si>
    <t>1.4(SW + EO)</t>
  </si>
  <si>
    <r>
      <t>1.25(SW + EO) + 1.5(1.0F</t>
    </r>
    <r>
      <rPr>
        <vertAlign val="subscript"/>
        <sz val="10"/>
        <color theme="1"/>
        <rFont val="Arial"/>
        <family val="2"/>
      </rPr>
      <t>dyn</t>
    </r>
    <r>
      <rPr>
        <sz val="10"/>
        <color theme="1"/>
        <rFont val="Arial"/>
        <family val="2"/>
      </rPr>
      <t xml:space="preserve">) </t>
    </r>
  </si>
  <si>
    <r>
      <t>0.9(SW + EE) - 1.5(1.0F</t>
    </r>
    <r>
      <rPr>
        <vertAlign val="subscript"/>
        <sz val="10"/>
        <color theme="1"/>
        <rFont val="Arial"/>
        <family val="2"/>
      </rPr>
      <t>dyn</t>
    </r>
    <r>
      <rPr>
        <sz val="10"/>
        <color theme="1"/>
        <rFont val="Arial"/>
        <family val="2"/>
      </rPr>
      <t>)</t>
    </r>
  </si>
  <si>
    <r>
      <t>1.0(SW + EO) + 1.0STOpe + 1.5(1.0F</t>
    </r>
    <r>
      <rPr>
        <vertAlign val="subscript"/>
        <sz val="10"/>
        <color theme="1"/>
        <rFont val="Arial"/>
        <family val="2"/>
      </rPr>
      <t>dyn</t>
    </r>
    <r>
      <rPr>
        <sz val="10"/>
        <color theme="1"/>
        <rFont val="Arial"/>
        <family val="2"/>
      </rPr>
      <t>)</t>
    </r>
  </si>
  <si>
    <r>
      <t>1.0(SW + EE) - 1.0STOpe - 1.5(1.0F</t>
    </r>
    <r>
      <rPr>
        <vertAlign val="subscript"/>
        <sz val="10"/>
        <color theme="1"/>
        <rFont val="Arial"/>
        <family val="2"/>
      </rPr>
      <t>dyn</t>
    </r>
    <r>
      <rPr>
        <sz val="10"/>
        <color theme="1"/>
        <rFont val="Arial"/>
        <family val="2"/>
      </rPr>
      <t xml:space="preserve">) </t>
    </r>
  </si>
  <si>
    <r>
      <t>SW</t>
    </r>
    <r>
      <rPr>
        <vertAlign val="subscript"/>
        <sz val="10"/>
        <color theme="1"/>
        <rFont val="Arial"/>
        <family val="2"/>
      </rPr>
      <t>fdn</t>
    </r>
  </si>
  <si>
    <t>DL</t>
  </si>
  <si>
    <r>
      <t>SW</t>
    </r>
    <r>
      <rPr>
        <vertAlign val="subscript"/>
        <sz val="10"/>
        <color theme="1"/>
        <rFont val="Arial"/>
        <family val="2"/>
      </rPr>
      <t>fdn</t>
    </r>
    <r>
      <rPr>
        <sz val="10"/>
        <color theme="1"/>
        <rFont val="Arial"/>
        <family val="2"/>
      </rPr>
      <t xml:space="preserve"> + PO</t>
    </r>
  </si>
  <si>
    <t>1.4DL</t>
  </si>
  <si>
    <t>The governing load combination = 1.4DL.</t>
  </si>
  <si>
    <t>Therefore, the pipe operating load is estimated using Fluor Guideline 000.215.1250 for a DN200 pipe</t>
  </si>
  <si>
    <t>PO* [kN]</t>
  </si>
  <si>
    <t>Trib. L [m]</t>
  </si>
  <si>
    <t>Valve [kN]</t>
  </si>
  <si>
    <t>A higher PO* is used for design, to ensure a conservative design.</t>
  </si>
  <si>
    <t>Refer to Section 8.1 for applicable load combinations.</t>
  </si>
  <si>
    <t>10.3  Pile Design</t>
  </si>
  <si>
    <r>
      <t>1.4DL / C</t>
    </r>
    <r>
      <rPr>
        <vertAlign val="subscript"/>
        <sz val="10"/>
        <color theme="1"/>
        <rFont val="Arial"/>
        <family val="2"/>
      </rPr>
      <t>r</t>
    </r>
  </si>
  <si>
    <t>: pile compression resistance</t>
  </si>
  <si>
    <t>: pile embedded length</t>
  </si>
  <si>
    <r>
      <t>T</t>
    </r>
    <r>
      <rPr>
        <vertAlign val="subscript"/>
        <sz val="10"/>
        <color theme="1"/>
        <rFont val="Arial"/>
        <family val="2"/>
      </rPr>
      <t>frost</t>
    </r>
  </si>
  <si>
    <t>: pile schedule ultimate compression</t>
  </si>
  <si>
    <t>: pile transient tension</t>
  </si>
  <si>
    <t>: pile schedule tension due to frost; use same as existing pile design given the smaller pile tributary area. OK.</t>
  </si>
  <si>
    <t>i. Pile Compression:</t>
  </si>
  <si>
    <t>The pile is not subjected to net tension by inspection. OK.</t>
  </si>
  <si>
    <t>ii. Pile Tension:</t>
  </si>
  <si>
    <t>iii. Pile Lateral Resistance:</t>
  </si>
  <si>
    <t>The pile is not subjected to significant lateral forces. Given the pile cap is monolithic, the total foundation lateral load is resisted by 5 piles and is acceptable by inspection. OK.</t>
  </si>
  <si>
    <t>Given the low compression unity ratio and mat foundation design, pile settlement is acceptable by inspection. OK.</t>
  </si>
  <si>
    <t>iv. Pile Structural Capacity:</t>
  </si>
  <si>
    <t xml:space="preserve">The pile compression is limited to less than 50% geotechnical utilization and the piles are subjected to minimal lateral force. </t>
  </si>
  <si>
    <t>Therefore, the structural capacity is acceptable by inspection and engineering judgement. OK.</t>
  </si>
  <si>
    <t>vi. Pile Schedule Loading:</t>
  </si>
  <si>
    <t>Use the same pile schedule loading as per Section 8.0</t>
  </si>
  <si>
    <t>10.4  Foundation Design</t>
  </si>
  <si>
    <t xml:space="preserve">The local foundation extension uses the same reinforcement design. </t>
  </si>
  <si>
    <t>1.4DL * e</t>
  </si>
  <si>
    <t>: factored moment at critical section</t>
  </si>
  <si>
    <r>
      <t>M</t>
    </r>
    <r>
      <rPr>
        <vertAlign val="subscript"/>
        <sz val="10"/>
        <color theme="1"/>
        <rFont val="Arial"/>
        <family val="2"/>
      </rPr>
      <t>r,1800</t>
    </r>
  </si>
  <si>
    <t>: moment resistance of 1800 mm wide section.</t>
  </si>
  <si>
    <t>: cracking moment capacity of 1800 mm wide section.</t>
  </si>
  <si>
    <r>
      <t>M</t>
    </r>
    <r>
      <rPr>
        <vertAlign val="subscript"/>
        <sz val="10"/>
        <color theme="1"/>
        <rFont val="Arial"/>
        <family val="2"/>
      </rPr>
      <t>cr,1800</t>
    </r>
  </si>
  <si>
    <t>The foundation is checked for the local moment and shear at the interface:</t>
  </si>
  <si>
    <t>: factored one-way shear at the critical section.</t>
  </si>
  <si>
    <t>Use 25M bars @ 250 mm. OK.</t>
  </si>
  <si>
    <r>
      <t>V</t>
    </r>
    <r>
      <rPr>
        <vertAlign val="subscript"/>
        <sz val="10"/>
        <color theme="1"/>
        <rFont val="Arial"/>
        <family val="2"/>
      </rPr>
      <t>r,1800</t>
    </r>
  </si>
  <si>
    <t>: one-way resistance of 1800 mm wide section.</t>
  </si>
  <si>
    <r>
      <t>V</t>
    </r>
    <r>
      <rPr>
        <vertAlign val="subscript"/>
        <sz val="10"/>
        <color theme="1"/>
        <rFont val="Arial"/>
        <family val="2"/>
      </rPr>
      <t>r,punching</t>
    </r>
  </si>
  <si>
    <t>: two-way punching shear resistance at the pile. No change is required as the original check is based on a corner pile. OK.</t>
  </si>
  <si>
    <t>iv. Pile Vertical Settlement:</t>
  </si>
  <si>
    <t>: eccentricity of applied force; pile reaction</t>
  </si>
  <si>
    <t>The applied shear and moment is small and acceptable by inspection.</t>
  </si>
  <si>
    <t>The section capacities are acceptable. OK.</t>
  </si>
  <si>
    <t>10.1.3 Piping Lateral Loads</t>
  </si>
  <si>
    <t>As a result, no lateral loads are applied; but relatively minor lateral loading is acceptable by inspection. OK.</t>
  </si>
  <si>
    <t>10.1.4 Seismic Loading</t>
  </si>
  <si>
    <t>No modifications to the seismic loading is made.</t>
  </si>
  <si>
    <t>As per below, the tributary axial load on the new pile is lower than the average load on the previously designed piles.</t>
  </si>
  <si>
    <t>Therefore, it is concluded that the additional seismic base shear on the pile cap is smaller than the increase in seismic resistance of the pile group. The pile group resistance is acceptable by inspection. OK.</t>
  </si>
  <si>
    <r>
      <t>As per Section 8.0, the previously designed pile compression, C</t>
    </r>
    <r>
      <rPr>
        <vertAlign val="subscript"/>
        <sz val="10"/>
        <color theme="1"/>
        <rFont val="Arial"/>
        <family val="2"/>
      </rPr>
      <t>f</t>
    </r>
    <r>
      <rPr>
        <sz val="10"/>
        <color theme="1"/>
        <rFont val="Arial"/>
        <family val="2"/>
      </rPr>
      <t xml:space="preserve"> = </t>
    </r>
  </si>
  <si>
    <t>, for comparison.</t>
  </si>
  <si>
    <t>The support location is localized to avoid clashing with the access envelopes around the pump piping:</t>
  </si>
  <si>
    <t>As to not impact the previously calculated pile design, an additional pile is added at the center of the local foundation.</t>
  </si>
  <si>
    <t>Discharge Pipe 219.1-03K-NGL-7016 also has a ball valve, with estimated weight = 325 kg:</t>
  </si>
  <si>
    <t>As can be seen, the applied tributary axial load on the local pile is lower than the previous pile design.</t>
  </si>
  <si>
    <t>The pump piles were designed in Section 8.0. Refer to Section 8.0 for detailed calculations.
The same pile design is used for the additional pile.</t>
  </si>
  <si>
    <t>Refer to Section 9.1 for detailed calculations of the moment capacity, cracking moment, and shear resistance of the pile cap section.</t>
  </si>
  <si>
    <t>The PO* is selected to match the injection pump PM-6132-6135 suction and discharge lines - Refer to calculation F3KY-215-CAL-006 and attached Stress Isometrics: ML-NGL-7062-02 and ML-NGL-7976-01.</t>
  </si>
  <si>
    <t xml:space="preserve">However, as per the design below, there is sufficient redundant capacity in the pile and foundation design for miscellaneous pipe friction, guide, or anchor loads. Any applied lateral loads will be resisted by the pile group. </t>
  </si>
  <si>
    <t>&lt; 0.50 OK.</t>
  </si>
  <si>
    <t>Therefore, no update is needed to sections 6, 7, 8 and 9 of this calculation. Supplemental checks for the local foundation are performed below.</t>
  </si>
  <si>
    <r>
      <t>M</t>
    </r>
    <r>
      <rPr>
        <vertAlign val="subscript"/>
        <sz val="10"/>
        <color theme="1"/>
        <rFont val="Arial"/>
        <family val="2"/>
      </rPr>
      <t>r,1200</t>
    </r>
  </si>
  <si>
    <t>Although the pile cap section is 1800 mm wide, while the local extension is only 1200 mm wide; the moment and shear capacity is acceptable by comparison. OK.</t>
  </si>
  <si>
    <t>For simplicity, the capacities are simply reduced by the ratio 1200 mm / 1800 mm:</t>
  </si>
  <si>
    <t>: approximate moment resistance of 1200 mm wide section</t>
  </si>
  <si>
    <t>: cracking moment capacity of 1200 mm wide section</t>
  </si>
  <si>
    <t>: one-way resistance of 1200 mm wide section.</t>
  </si>
  <si>
    <r>
      <t>M</t>
    </r>
    <r>
      <rPr>
        <vertAlign val="subscript"/>
        <sz val="10"/>
        <color theme="1"/>
        <rFont val="Arial"/>
        <family val="2"/>
      </rPr>
      <t>cr,1200</t>
    </r>
  </si>
  <si>
    <r>
      <t>V</t>
    </r>
    <r>
      <rPr>
        <vertAlign val="subscript"/>
        <sz val="10"/>
        <color theme="1"/>
        <rFont val="Arial"/>
        <family val="2"/>
      </rPr>
      <t>r,1200</t>
    </r>
  </si>
  <si>
    <t>There are no Stress isometrics available. The supports are currently modeled as base supports only (ie. no guides or anchors).</t>
  </si>
  <si>
    <t>Further, to not impact the previously calculated reinforcement design, the local foundation is designedto have the same reinforcement spacing:</t>
  </si>
  <si>
    <t xml:space="preserve">Pipe Stress for the pump suction and discharge lines is not available. </t>
  </si>
  <si>
    <t>A conservative loading was assumed based on the PM-6132 suction and discharge lines Stress Isometrics. The base supports are on a foundation extension with a local pile. There is redundant capacity in the pile design.</t>
  </si>
  <si>
    <t>The foundation and pile design will need to be revalidated should the final Stress information or support detail change from the assumed values</t>
  </si>
  <si>
    <t>11. APPENDIX</t>
  </si>
  <si>
    <t>11.1 Pile and Foundation Drawings</t>
  </si>
  <si>
    <t>11.2 Mechanical Vendor Information and Correspondence</t>
  </si>
  <si>
    <t>11.3 Existing Frac 2 Vendor and Foundation Drawings</t>
  </si>
  <si>
    <t>11.4 LPILE Output</t>
  </si>
  <si>
    <t>APPENDIX 11.1
PILE AND FOUNDATION DRAWINGS</t>
  </si>
  <si>
    <t>APPENDIX 11.2
MECHANICAL VENDOR INFORMATION AND CORRESPONDENCE</t>
  </si>
  <si>
    <t>APPENDIX 11.3
EXISTING FRAC 2 VENDOR AND FOUNDATION DRAWINGS</t>
  </si>
  <si>
    <t>APPENDIX 11.4
LPILE OUTPUT</t>
  </si>
  <si>
    <t>ADDITIONAL PIPE SUPPORT FOUNDATION</t>
  </si>
  <si>
    <t>Load Development</t>
  </si>
  <si>
    <t>Load Combinations</t>
  </si>
  <si>
    <t>Pile Design</t>
  </si>
  <si>
    <t>Foundation Design</t>
  </si>
  <si>
    <t>Refer to Appendix 11.3 for existing Frac 2 Vendor and foundation drawings.</t>
  </si>
  <si>
    <t>The general information for the injection pumps is taken from Vendor GA drawings. Refer to Appendix 11.2 for Vendor information.</t>
  </si>
  <si>
    <r>
      <t xml:space="preserve">The Stress information is now received, and the risk is considered </t>
    </r>
    <r>
      <rPr>
        <b/>
        <u/>
        <sz val="10"/>
        <color theme="1"/>
        <rFont val="Arial"/>
        <family val="2"/>
      </rPr>
      <t>CLOSED</t>
    </r>
    <r>
      <rPr>
        <sz val="10"/>
        <color theme="1"/>
        <rFont val="Arial"/>
        <family val="2"/>
      </rPr>
      <t xml:space="preserve"> per the validation below.</t>
    </r>
  </si>
  <si>
    <t>Refer to attached Stress Isometrics: ML-NGL-7015-01, ML-NGL-7016-01, ML-NGL-7017-01, and ML-NGL-7940-01.</t>
  </si>
  <si>
    <t>The assumed loading was as follows:</t>
  </si>
  <si>
    <t>PM-6008:</t>
  </si>
  <si>
    <t>Stress Iso</t>
  </si>
  <si>
    <t>PM-6009:</t>
  </si>
  <si>
    <t>As can be seen, the Stress provided total PO is less than the assumed PO.</t>
  </si>
  <si>
    <t>Therefore, the foundation and pile design are acceptable, OK.</t>
  </si>
  <si>
    <t>219.1-03K-NGL-7015</t>
  </si>
  <si>
    <t>219.1-03K-NGL-7017</t>
  </si>
  <si>
    <t>Stress Node</t>
  </si>
  <si>
    <t>ML-NGL-7015-01</t>
  </si>
  <si>
    <t>ML-NGL-7016-01</t>
  </si>
  <si>
    <t>ML-NGL-7017-10</t>
  </si>
  <si>
    <t>ML-NGL-7940-01</t>
  </si>
  <si>
    <t>N02</t>
  </si>
  <si>
    <t>J03</t>
  </si>
  <si>
    <t>C02</t>
  </si>
  <si>
    <t>K03</t>
  </si>
  <si>
    <r>
      <t>&lt; PO</t>
    </r>
    <r>
      <rPr>
        <vertAlign val="subscript"/>
        <sz val="10"/>
        <color theme="1"/>
        <rFont val="Arial"/>
        <family val="2"/>
      </rPr>
      <t>assumed</t>
    </r>
  </si>
  <si>
    <t>As per Stress request, the pipe base supports are standard length and shall be supported on CSA steel.</t>
  </si>
  <si>
    <t xml:space="preserve">The design of the steel support and associated Hilti anchorage is by Others. </t>
  </si>
  <si>
    <t>However, a preliminary check of the Hilti anchorage is performed to validate the foundation size.</t>
  </si>
  <si>
    <t>The pipe supports are base supports only, with no anchors or guides.</t>
  </si>
  <si>
    <t>: maximum pipe operating load</t>
  </si>
  <si>
    <t>: pipe friction</t>
  </si>
  <si>
    <r>
      <t>M</t>
    </r>
    <r>
      <rPr>
        <vertAlign val="subscript"/>
        <sz val="10"/>
        <color theme="1"/>
        <rFont val="Arial"/>
        <family val="2"/>
      </rPr>
      <t>F</t>
    </r>
  </si>
  <si>
    <t>: support eccentricity</t>
  </si>
  <si>
    <t>The anchorage is checked in Hilti Profis.</t>
  </si>
  <si>
    <t>A W200x27 stub column with cap plate is provided at the pipe support location.</t>
  </si>
  <si>
    <t>The only moment acting on the support is due to pipe friction and the moment is expected to be small. Therefore, designing the BP01 connection detail as a moment connection is acceptable by engineering judgement</t>
  </si>
  <si>
    <t>Refer to attached Hilti Profis report for detailed anchorage calculations.</t>
  </si>
  <si>
    <t>Therefore, the only lateral load applied is due to pipe friction</t>
  </si>
  <si>
    <t>: moment due to friction; F*e</t>
  </si>
  <si>
    <t>The anchorage was validated in Hilti Profis.</t>
  </si>
  <si>
    <t xml:space="preserve">3/4" Diameter HAS anchors were assumed. </t>
  </si>
  <si>
    <r>
      <rPr>
        <b/>
        <u/>
        <sz val="10"/>
        <rFont val="Arial"/>
        <family val="2"/>
      </rPr>
      <t>RESOLVED.</t>
    </r>
    <r>
      <rPr>
        <sz val="10"/>
        <rFont val="Arial"/>
        <family val="2"/>
      </rPr>
      <t xml:space="preserve">
25-May-2026.
Stress information received and foundation validated.
No changes required.
Refer to Section 12.0.
</t>
    </r>
  </si>
  <si>
    <t>F3KY-215-CAL-047_1_01.xlsm</t>
  </si>
  <si>
    <t>F3KY-215-CAL-047_1_03.pe</t>
  </si>
  <si>
    <t>Hilti Profis - anchorage validation</t>
  </si>
  <si>
    <t>RISK CLOSURE</t>
  </si>
  <si>
    <t>3. RISK CLOSURE</t>
  </si>
  <si>
    <t>3.1  Comparison Between Stress Isometrics and Assumed Loading</t>
  </si>
  <si>
    <t>3.2  Anchorage Validation</t>
  </si>
  <si>
    <t>3.2.1 Support Arrangement</t>
  </si>
  <si>
    <t>3.2.2 Load Calculation</t>
  </si>
  <si>
    <t>3.2.3 Hilti Profis Design</t>
  </si>
  <si>
    <t>Comparison Between Stress Isometrics and Assumed Loading</t>
  </si>
  <si>
    <t>Anchorage Validation</t>
  </si>
  <si>
    <t xml:space="preserve"> F3KY-215-CAL-047 - Revision 0</t>
  </si>
  <si>
    <t>This foundation calculation is revised to close the risks and uncertainties stated in Section 1 of Revision 0.</t>
  </si>
  <si>
    <t>Revision 0 had one open risk regarding lack of Stress information for the pump suction and discharge lines.</t>
  </si>
  <si>
    <t>No modififications to the foundation design are required.</t>
  </si>
  <si>
    <t>The local foundation for the pipe supports was designed in Section 10 of the Rev 0 calculation.</t>
  </si>
  <si>
    <t>The Stress isometrics have the following loading, see attached.</t>
  </si>
  <si>
    <t>The supports are base support only, with no guides or anchors.</t>
  </si>
  <si>
    <t>Due to limited edge distances, use BP01 base connection design on standard drawing P07-019-MEC-ST-04-3001:</t>
  </si>
  <si>
    <t>Although this connection is called out as a "Pinned-base condition" on the standard drawing, it can still be considered a moment connection provided the applied moment is designed for.</t>
  </si>
  <si>
    <t>As per specification 19005-019-GEN-SPC-04-050, pipe friction = 0.4*PO for single pipes.</t>
  </si>
  <si>
    <t>For design, use LC: 0.9PO + 1.25F to maximize potential anchor tension.</t>
  </si>
  <si>
    <t>: factored shear</t>
  </si>
  <si>
    <t>: factored vertical load (compression)</t>
  </si>
  <si>
    <t>The Hilti design is acceptable. No modifications to the foundation design are needed. OK.</t>
  </si>
  <si>
    <t>4. F3KY-215-CAL-047 - REVISION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</si>
</sst>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409]d\-mmm\-yyyy;@"/>
    <numFmt numFmtId="165" formatCode="0.0"/>
    <numFmt numFmtId="166" formatCode="[$-409]mmmm\ d\,\ yyyy;@"/>
    <numFmt numFmtId="167" formatCode="0.000"/>
    <numFmt numFmtId="168" formatCode="#,##0.0"/>
    <numFmt numFmtId="169" formatCode="0.0%"/>
    <numFmt numFmtId="170" formatCode="0.00000"/>
  </numFmts>
  <fonts count="38" x14ac:knownFonts="1">
    <font>
      <sz val="11"/>
      <color theme="1"/>
      <name val="Calibri"/>
      <family val="2"/>
      <scheme val="minor"/>
    </font>
    <font>
      <sz val="10"/>
      <color theme="1"/>
      <name val="Arial"/>
      <family val="2"/>
    </font>
    <font>
      <b/>
      <sz val="10"/>
      <color theme="1"/>
      <name val="Arial"/>
      <family val="2"/>
    </font>
    <font>
      <sz val="11"/>
      <color theme="1"/>
      <name val="Arial"/>
      <family val="2"/>
    </font>
    <font>
      <b/>
      <sz val="20"/>
      <color theme="1"/>
      <name val="Arial"/>
      <family val="2"/>
    </font>
    <font>
      <b/>
      <sz val="11"/>
      <color theme="1"/>
      <name val="Arial"/>
      <family val="2"/>
    </font>
    <font>
      <sz val="11"/>
      <color theme="4"/>
      <name val="Arial"/>
      <family val="2"/>
    </font>
    <font>
      <sz val="10"/>
      <color rgb="FF0070C0"/>
      <name val="Arial"/>
      <family val="2"/>
    </font>
    <font>
      <sz val="8"/>
      <name val="Calibri"/>
      <family val="2"/>
      <scheme val="minor"/>
    </font>
    <font>
      <b/>
      <sz val="20"/>
      <name val="Arial"/>
      <family val="2"/>
    </font>
    <font>
      <sz val="9"/>
      <color theme="1"/>
      <name val="Arial"/>
      <family val="2"/>
    </font>
    <font>
      <sz val="10"/>
      <name val="Arial"/>
      <family val="2"/>
    </font>
    <font>
      <sz val="10"/>
      <color rgb="FFFF0000"/>
      <name val="Arial"/>
      <family val="2"/>
    </font>
    <font>
      <sz val="10"/>
      <color rgb="FF000000"/>
      <name val="Arial"/>
      <family val="2"/>
    </font>
    <font>
      <i/>
      <u/>
      <sz val="10"/>
      <color theme="1"/>
      <name val="Arial"/>
      <family val="2"/>
    </font>
    <font>
      <b/>
      <i/>
      <u/>
      <sz val="10"/>
      <name val="Arial"/>
      <family val="2"/>
    </font>
    <font>
      <i/>
      <u/>
      <sz val="10"/>
      <name val="Arial"/>
      <family val="2"/>
    </font>
    <font>
      <b/>
      <i/>
      <u/>
      <sz val="10"/>
      <color theme="1"/>
      <name val="Arial"/>
      <family val="2"/>
    </font>
    <font>
      <b/>
      <u/>
      <sz val="10"/>
      <color theme="1"/>
      <name val="Arial"/>
      <family val="2"/>
    </font>
    <font>
      <u/>
      <sz val="10"/>
      <color theme="1"/>
      <name val="Arial"/>
      <family val="2"/>
    </font>
    <font>
      <sz val="10"/>
      <color theme="1"/>
      <name val="Calibri"/>
      <family val="2"/>
      <scheme val="minor"/>
    </font>
    <font>
      <vertAlign val="subscript"/>
      <sz val="10"/>
      <name val="Arial"/>
      <family val="2"/>
    </font>
    <font>
      <vertAlign val="superscript"/>
      <sz val="10"/>
      <name val="Arial"/>
      <family val="2"/>
    </font>
    <font>
      <vertAlign val="subscript"/>
      <sz val="10"/>
      <color theme="1"/>
      <name val="Arial"/>
      <family val="2"/>
    </font>
    <font>
      <vertAlign val="superscript"/>
      <sz val="10"/>
      <color theme="1"/>
      <name val="Arial"/>
      <family val="2"/>
    </font>
    <font>
      <sz val="11"/>
      <color theme="1"/>
      <name val="Calibri"/>
      <family val="2"/>
      <scheme val="minor"/>
    </font>
    <font>
      <i/>
      <sz val="10"/>
      <color theme="1"/>
      <name val="Arial"/>
      <family val="2"/>
    </font>
    <font>
      <vertAlign val="subscript"/>
      <sz val="10"/>
      <color indexed="8"/>
      <name val="Arial"/>
      <family val="2"/>
    </font>
    <font>
      <u/>
      <sz val="10"/>
      <name val="Arial"/>
      <family val="2"/>
    </font>
    <font>
      <b/>
      <sz val="10"/>
      <name val="Arial"/>
      <family val="2"/>
    </font>
    <font>
      <sz val="10"/>
      <color indexed="8"/>
      <name val="Arial"/>
      <family val="2"/>
    </font>
    <font>
      <vertAlign val="subscript"/>
      <sz val="10"/>
      <color rgb="FF000000"/>
      <name val="Arial"/>
      <family val="2"/>
    </font>
    <font>
      <b/>
      <vertAlign val="subscript"/>
      <sz val="10"/>
      <name val="Arial"/>
      <family val="2"/>
    </font>
    <font>
      <b/>
      <vertAlign val="subscript"/>
      <sz val="10"/>
      <color theme="1"/>
      <name val="Arial"/>
      <family val="2"/>
    </font>
    <font>
      <b/>
      <sz val="18"/>
      <color theme="1"/>
      <name val="Arial"/>
      <family val="2"/>
    </font>
    <font>
      <u/>
      <vertAlign val="subscript"/>
      <sz val="10"/>
      <color theme="1"/>
      <name val="Arial"/>
      <family val="2"/>
    </font>
    <font>
      <vertAlign val="subscript"/>
      <sz val="11"/>
      <color theme="1"/>
      <name val="Arial"/>
      <family val="2"/>
    </font>
    <font>
      <b/>
      <u/>
      <sz val="10"/>
      <name val="Arial"/>
      <family val="2"/>
    </font>
  </fonts>
  <fills count="3">
    <fill>
      <patternFill patternType="none"/>
    </fill>
    <fill>
      <patternFill patternType="gray125"/>
    </fill>
    <fill>
      <patternFill patternType="solid">
        <fgColor rgb="FFE1FFE1"/>
        <bgColor indexed="64"/>
      </patternFill>
    </fill>
  </fills>
  <borders count="3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hair">
        <color indexed="64"/>
      </bottom>
      <diagonal/>
    </border>
    <border>
      <left/>
      <right style="medium">
        <color indexed="64"/>
      </right>
      <top style="medium">
        <color indexed="64"/>
      </top>
      <bottom style="hair">
        <color indexed="64"/>
      </bottom>
      <diagonal/>
    </border>
    <border>
      <left/>
      <right/>
      <top style="medium">
        <color indexed="64"/>
      </top>
      <bottom style="hair">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right/>
      <top style="hair">
        <color indexed="64"/>
      </top>
      <bottom style="hair">
        <color indexed="64"/>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top style="hair">
        <color indexed="64"/>
      </top>
      <bottom style="medium">
        <color indexed="64"/>
      </bottom>
      <diagonal/>
    </border>
    <border>
      <left/>
      <right/>
      <top/>
      <bottom style="hair">
        <color auto="1"/>
      </bottom>
      <diagonal/>
    </border>
    <border>
      <left style="medium">
        <color indexed="64"/>
      </left>
      <right/>
      <top/>
      <bottom style="hair">
        <color indexed="64"/>
      </bottom>
      <diagonal/>
    </border>
    <border>
      <left/>
      <right style="medium">
        <color indexed="64"/>
      </right>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4">
    <xf numFmtId="0" fontId="0" fillId="0" borderId="0"/>
    <xf numFmtId="0" fontId="25" fillId="0" borderId="0"/>
    <xf numFmtId="0" fontId="29" fillId="0" borderId="0"/>
    <xf numFmtId="0" fontId="11" fillId="0" borderId="0"/>
  </cellStyleXfs>
  <cellXfs count="376">
    <xf numFmtId="0" fontId="0" fillId="0" borderId="0" xfId="0"/>
    <xf numFmtId="0" fontId="3" fillId="0" borderId="0" xfId="0" applyFont="1"/>
    <xf numFmtId="0" fontId="1" fillId="0" borderId="0" xfId="0" applyFont="1"/>
    <xf numFmtId="0" fontId="1" fillId="0" borderId="0" xfId="0" applyFont="1" applyAlignment="1">
      <alignment vertical="center"/>
    </xf>
    <xf numFmtId="0" fontId="5" fillId="0" borderId="0" xfId="0" applyFont="1"/>
    <xf numFmtId="0" fontId="3" fillId="0" borderId="0" xfId="0" applyFont="1" applyAlignment="1">
      <alignment vertical="top"/>
    </xf>
    <xf numFmtId="0" fontId="5" fillId="0" borderId="29" xfId="0" applyFont="1" applyBorder="1"/>
    <xf numFmtId="0" fontId="2" fillId="0" borderId="0" xfId="0" applyFont="1" applyAlignment="1">
      <alignment vertical="center"/>
    </xf>
    <xf numFmtId="0" fontId="6" fillId="0" borderId="0" xfId="0" applyFont="1"/>
    <xf numFmtId="0" fontId="7" fillId="0" borderId="0" xfId="0" applyFont="1" applyAlignment="1">
      <alignment vertical="center"/>
    </xf>
    <xf numFmtId="0" fontId="3" fillId="0" borderId="0" xfId="0" applyFont="1" applyAlignment="1">
      <alignment vertical="center"/>
    </xf>
    <xf numFmtId="0" fontId="11" fillId="0" borderId="0" xfId="0" applyFont="1" applyAlignment="1">
      <alignment horizontal="left" vertical="top" wrapText="1"/>
    </xf>
    <xf numFmtId="0" fontId="1" fillId="0" borderId="0" xfId="0" applyFont="1" applyAlignment="1">
      <alignment horizontal="center" vertical="center"/>
    </xf>
    <xf numFmtId="0" fontId="1" fillId="0" borderId="0" xfId="0" applyFont="1" applyAlignment="1">
      <alignment horizontal="center"/>
    </xf>
    <xf numFmtId="0" fontId="1" fillId="0" borderId="0" xfId="0" applyFont="1" applyAlignment="1">
      <alignment horizontal="left" vertical="top" wrapText="1"/>
    </xf>
    <xf numFmtId="0" fontId="13" fillId="0" borderId="0" xfId="0" applyFont="1"/>
    <xf numFmtId="0" fontId="14" fillId="0" borderId="0" xfId="0" applyFont="1"/>
    <xf numFmtId="0" fontId="11" fillId="0" borderId="0" xfId="0" applyFont="1"/>
    <xf numFmtId="0" fontId="2" fillId="0" borderId="0" xfId="0" applyFont="1"/>
    <xf numFmtId="0" fontId="11" fillId="0" borderId="0" xfId="0" applyFont="1" applyAlignment="1">
      <alignment vertical="top" wrapText="1"/>
    </xf>
    <xf numFmtId="0" fontId="17" fillId="0" borderId="0" xfId="0" applyFont="1"/>
    <xf numFmtId="0" fontId="1" fillId="0" borderId="0" xfId="0" applyFont="1" applyAlignment="1">
      <alignment horizontal="right"/>
    </xf>
    <xf numFmtId="0" fontId="20" fillId="0" borderId="0" xfId="0" applyFont="1"/>
    <xf numFmtId="0" fontId="1" fillId="0" borderId="0" xfId="0" applyFont="1" applyAlignment="1">
      <alignment vertical="top" wrapText="1"/>
    </xf>
    <xf numFmtId="0" fontId="18" fillId="0" borderId="0" xfId="0" applyFont="1"/>
    <xf numFmtId="0" fontId="1" fillId="0" borderId="0" xfId="0" applyFont="1" applyAlignment="1">
      <alignment horizontal="right" vertical="center"/>
    </xf>
    <xf numFmtId="0" fontId="0" fillId="0" borderId="0" xfId="0" applyAlignment="1">
      <alignment horizontal="center" vertical="center"/>
    </xf>
    <xf numFmtId="0" fontId="1" fillId="0" borderId="0" xfId="0" applyFont="1" applyAlignment="1">
      <alignment vertical="top"/>
    </xf>
    <xf numFmtId="165" fontId="1" fillId="0" borderId="0" xfId="0" applyNumberFormat="1" applyFont="1" applyAlignment="1">
      <alignment horizontal="center"/>
    </xf>
    <xf numFmtId="0" fontId="1" fillId="0" borderId="0" xfId="0" applyFont="1" applyAlignment="1">
      <alignment horizontal="left" vertical="top"/>
    </xf>
    <xf numFmtId="165" fontId="1" fillId="0" borderId="0" xfId="0" applyNumberFormat="1" applyFont="1" applyAlignment="1">
      <alignment vertical="center"/>
    </xf>
    <xf numFmtId="2" fontId="1" fillId="0" borderId="0" xfId="0" applyNumberFormat="1" applyFont="1" applyAlignment="1">
      <alignment horizontal="center"/>
    </xf>
    <xf numFmtId="0" fontId="2" fillId="0" borderId="0" xfId="0" applyFont="1" applyAlignment="1">
      <alignment horizontal="right"/>
    </xf>
    <xf numFmtId="0" fontId="1" fillId="0" borderId="0" xfId="1" applyFont="1" applyAlignment="1">
      <alignment horizontal="right"/>
    </xf>
    <xf numFmtId="0" fontId="1" fillId="0" borderId="0" xfId="1" applyFont="1"/>
    <xf numFmtId="0" fontId="11" fillId="0" borderId="0" xfId="1" applyFont="1" applyAlignment="1">
      <alignment horizontal="right"/>
    </xf>
    <xf numFmtId="0" fontId="26" fillId="0" borderId="0" xfId="1" applyFont="1" applyAlignment="1">
      <alignment horizontal="left"/>
    </xf>
    <xf numFmtId="1" fontId="1" fillId="0" borderId="0" xfId="1" applyNumberFormat="1" applyFont="1" applyAlignment="1">
      <alignment horizontal="right"/>
    </xf>
    <xf numFmtId="1" fontId="1" fillId="0" borderId="0" xfId="1" applyNumberFormat="1" applyFont="1" applyAlignment="1">
      <alignment horizontal="left"/>
    </xf>
    <xf numFmtId="0" fontId="19" fillId="0" borderId="0" xfId="0" applyFont="1" applyAlignment="1">
      <alignment horizontal="right"/>
    </xf>
    <xf numFmtId="0" fontId="19" fillId="0" borderId="0" xfId="1" applyFont="1" applyAlignment="1">
      <alignment horizontal="right"/>
    </xf>
    <xf numFmtId="0" fontId="28" fillId="0" borderId="0" xfId="0" applyFont="1" applyAlignment="1">
      <alignment vertical="center"/>
    </xf>
    <xf numFmtId="0" fontId="16" fillId="0" borderId="0" xfId="0" applyFont="1" applyAlignment="1">
      <alignment vertical="center"/>
    </xf>
    <xf numFmtId="0" fontId="1" fillId="0" borderId="0" xfId="0" applyFont="1" applyAlignment="1">
      <alignment horizontal="right" vertical="top" wrapText="1"/>
    </xf>
    <xf numFmtId="0" fontId="1" fillId="0" borderId="0" xfId="0" applyFont="1" applyAlignment="1">
      <alignment horizontal="center" vertical="top" wrapText="1"/>
    </xf>
    <xf numFmtId="0" fontId="1" fillId="0" borderId="0" xfId="0" quotePrefix="1" applyFont="1"/>
    <xf numFmtId="0" fontId="1" fillId="0" borderId="0" xfId="0" applyFont="1" applyAlignment="1">
      <alignment horizontal="right" vertical="top"/>
    </xf>
    <xf numFmtId="165" fontId="1" fillId="0" borderId="0" xfId="0" applyNumberFormat="1" applyFont="1" applyAlignment="1">
      <alignment horizontal="center" vertical="center"/>
    </xf>
    <xf numFmtId="0" fontId="29" fillId="0" borderId="0" xfId="2"/>
    <xf numFmtId="0" fontId="1" fillId="0" borderId="0" xfId="3" applyFont="1" applyAlignment="1">
      <alignment horizontal="right"/>
    </xf>
    <xf numFmtId="0" fontId="1" fillId="0" borderId="0" xfId="3" quotePrefix="1" applyFont="1" applyAlignment="1">
      <alignment horizontal="center"/>
    </xf>
    <xf numFmtId="167" fontId="11" fillId="0" borderId="0" xfId="0" applyNumberFormat="1" applyFont="1" applyAlignment="1">
      <alignment horizontal="center"/>
    </xf>
    <xf numFmtId="0" fontId="30" fillId="0" borderId="0" xfId="3" applyFont="1" applyAlignment="1">
      <alignment horizontal="right"/>
    </xf>
    <xf numFmtId="0" fontId="11" fillId="0" borderId="0" xfId="0" applyFont="1" applyAlignment="1">
      <alignment horizontal="right"/>
    </xf>
    <xf numFmtId="0" fontId="1" fillId="0" borderId="0" xfId="3" applyFont="1"/>
    <xf numFmtId="0" fontId="1" fillId="0" borderId="0" xfId="3" applyFont="1" applyAlignment="1">
      <alignment horizontal="left"/>
    </xf>
    <xf numFmtId="0" fontId="1" fillId="0" borderId="0" xfId="3" applyFont="1" applyAlignment="1">
      <alignment horizontal="center"/>
    </xf>
    <xf numFmtId="0" fontId="1" fillId="0" borderId="0" xfId="0" applyFont="1" applyAlignment="1">
      <alignment horizontal="left" vertical="center"/>
    </xf>
    <xf numFmtId="0" fontId="0" fillId="0" borderId="0" xfId="0" applyAlignment="1">
      <alignment horizontal="right" vertical="center"/>
    </xf>
    <xf numFmtId="0" fontId="26" fillId="0" borderId="0" xfId="0" applyFont="1" applyAlignment="1">
      <alignment horizontal="left" vertical="center"/>
    </xf>
    <xf numFmtId="0" fontId="14" fillId="0" borderId="0" xfId="0" applyFont="1" applyAlignment="1">
      <alignment horizontal="lef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0" xfId="0" applyFont="1" applyAlignment="1">
      <alignment horizontal="left" vertical="center"/>
    </xf>
    <xf numFmtId="0" fontId="1" fillId="0" borderId="0" xfId="0" applyFont="1" applyAlignment="1">
      <alignment horizontal="center" vertical="top"/>
    </xf>
    <xf numFmtId="168" fontId="1" fillId="0" borderId="0" xfId="0" applyNumberFormat="1" applyFont="1" applyAlignment="1">
      <alignment horizontal="center" vertical="center"/>
    </xf>
    <xf numFmtId="2" fontId="1" fillId="0" borderId="0" xfId="0" applyNumberFormat="1" applyFont="1" applyAlignment="1">
      <alignment horizontal="center" vertical="center"/>
    </xf>
    <xf numFmtId="0" fontId="3" fillId="0" borderId="0" xfId="0" applyFont="1" applyAlignment="1">
      <alignment horizontal="center"/>
    </xf>
    <xf numFmtId="0" fontId="11" fillId="0" borderId="0" xfId="0" applyFont="1" applyAlignment="1">
      <alignment vertical="center"/>
    </xf>
    <xf numFmtId="0" fontId="19" fillId="0" borderId="0" xfId="0" applyFont="1"/>
    <xf numFmtId="0" fontId="16" fillId="0" borderId="0" xfId="0" applyFont="1" applyAlignment="1">
      <alignment horizontal="left" vertical="center"/>
    </xf>
    <xf numFmtId="0" fontId="28" fillId="0" borderId="0" xfId="0" applyFont="1" applyAlignment="1">
      <alignment horizontal="left" vertical="center"/>
    </xf>
    <xf numFmtId="0" fontId="14" fillId="0" borderId="0" xfId="0" applyFont="1" applyAlignment="1">
      <alignment vertical="center"/>
    </xf>
    <xf numFmtId="0" fontId="11" fillId="0" borderId="0" xfId="0" applyFont="1" applyAlignment="1">
      <alignment horizontal="right" vertical="center"/>
    </xf>
    <xf numFmtId="0" fontId="1" fillId="0" borderId="0" xfId="0" applyFont="1" applyAlignment="1">
      <alignment vertical="center" wrapText="1"/>
    </xf>
    <xf numFmtId="0" fontId="11" fillId="0" borderId="0" xfId="0" applyFont="1" applyAlignment="1">
      <alignment horizontal="left" vertical="center"/>
    </xf>
    <xf numFmtId="0" fontId="11" fillId="0" borderId="0" xfId="0" applyFont="1" applyAlignment="1">
      <alignment horizontal="center" vertical="center"/>
    </xf>
    <xf numFmtId="0" fontId="0" fillId="0" borderId="0" xfId="0" applyAlignment="1">
      <alignment vertical="center"/>
    </xf>
    <xf numFmtId="1" fontId="1" fillId="0" borderId="0" xfId="0" applyNumberFormat="1" applyFont="1" applyAlignment="1">
      <alignment horizontal="center"/>
    </xf>
    <xf numFmtId="167" fontId="1" fillId="0" borderId="0" xfId="0" applyNumberFormat="1" applyFont="1" applyAlignment="1">
      <alignment horizontal="center"/>
    </xf>
    <xf numFmtId="0" fontId="14" fillId="0" borderId="0" xfId="0" applyFont="1" applyAlignment="1">
      <alignment horizontal="left"/>
    </xf>
    <xf numFmtId="0" fontId="1" fillId="0" borderId="0" xfId="0" quotePrefix="1" applyFont="1" applyAlignment="1">
      <alignment horizontal="right"/>
    </xf>
    <xf numFmtId="0" fontId="18" fillId="0" borderId="0" xfId="0" applyFont="1" applyAlignment="1">
      <alignment vertical="top"/>
    </xf>
    <xf numFmtId="0" fontId="11" fillId="0" borderId="0" xfId="0" applyFont="1" applyAlignment="1">
      <alignment horizontal="left" vertical="top"/>
    </xf>
    <xf numFmtId="165" fontId="11" fillId="0" borderId="0" xfId="0" applyNumberFormat="1" applyFont="1" applyAlignment="1">
      <alignment horizontal="center" vertical="center"/>
    </xf>
    <xf numFmtId="0" fontId="17" fillId="0" borderId="0" xfId="0" applyFont="1" applyAlignment="1">
      <alignment horizontal="left" vertical="top"/>
    </xf>
    <xf numFmtId="0" fontId="18" fillId="0" borderId="0" xfId="0" applyFont="1" applyAlignment="1">
      <alignment horizontal="left" vertical="top"/>
    </xf>
    <xf numFmtId="165" fontId="3" fillId="0" borderId="0" xfId="0" applyNumberFormat="1" applyFont="1"/>
    <xf numFmtId="2" fontId="1" fillId="0" borderId="0" xfId="0" applyNumberFormat="1" applyFont="1" applyAlignment="1">
      <alignment horizontal="center" vertical="top" wrapText="1"/>
    </xf>
    <xf numFmtId="167" fontId="3" fillId="0" borderId="0" xfId="0" applyNumberFormat="1" applyFont="1"/>
    <xf numFmtId="1" fontId="11" fillId="0" borderId="0" xfId="1" applyNumberFormat="1" applyFont="1" applyAlignment="1">
      <alignment horizontal="right"/>
    </xf>
    <xf numFmtId="0" fontId="1" fillId="0" borderId="0" xfId="0" applyFont="1" applyAlignment="1">
      <alignment horizontal="left"/>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0" fillId="0" borderId="16" xfId="0" applyFont="1" applyBorder="1" applyAlignment="1">
      <alignment horizontal="left" vertical="center" wrapText="1"/>
    </xf>
    <xf numFmtId="0" fontId="10" fillId="0" borderId="20" xfId="0" applyFont="1" applyBorder="1" applyAlignment="1">
      <alignment horizontal="left" vertical="center" wrapText="1"/>
    </xf>
    <xf numFmtId="0" fontId="10" fillId="0" borderId="22" xfId="0" applyFont="1" applyBorder="1" applyAlignment="1">
      <alignment horizontal="left" vertical="center" wrapText="1"/>
    </xf>
    <xf numFmtId="0" fontId="10" fillId="0" borderId="21" xfId="0" applyFont="1" applyBorder="1" applyAlignment="1">
      <alignment horizontal="left"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6"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0" xfId="0" applyFont="1" applyAlignment="1">
      <alignment horizontal="center" vertical="center" wrapText="1"/>
    </xf>
    <xf numFmtId="0" fontId="10" fillId="0" borderId="12"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23" xfId="0" applyFont="1" applyBorder="1" applyAlignment="1">
      <alignment horizontal="left" vertical="center" wrapText="1"/>
    </xf>
    <xf numFmtId="0" fontId="10" fillId="0" borderId="25" xfId="0" applyFont="1" applyBorder="1" applyAlignment="1">
      <alignment horizontal="left" vertical="center" wrapText="1"/>
    </xf>
    <xf numFmtId="0" fontId="10" fillId="0" borderId="24" xfId="0" applyFont="1" applyBorder="1" applyAlignment="1">
      <alignment horizontal="left" vertical="center" wrapText="1"/>
    </xf>
    <xf numFmtId="0" fontId="10" fillId="0" borderId="26" xfId="0" applyFont="1" applyBorder="1" applyAlignment="1">
      <alignment horizontal="left" vertical="center" wrapText="1"/>
    </xf>
    <xf numFmtId="0" fontId="10" fillId="0" borderId="28" xfId="0" applyFont="1" applyBorder="1" applyAlignment="1">
      <alignment horizontal="left" vertical="center" wrapText="1"/>
    </xf>
    <xf numFmtId="0" fontId="10" fillId="0" borderId="27" xfId="0" applyFont="1" applyBorder="1" applyAlignment="1">
      <alignment horizontal="left" vertical="center" wrapText="1"/>
    </xf>
    <xf numFmtId="0" fontId="1" fillId="0" borderId="0" xfId="0" applyFont="1" applyAlignment="1">
      <alignment horizontal="left" wrapText="1"/>
    </xf>
    <xf numFmtId="0" fontId="3" fillId="0" borderId="7" xfId="0" applyFont="1" applyBorder="1" applyAlignment="1">
      <alignment horizontal="left"/>
    </xf>
    <xf numFmtId="0" fontId="3" fillId="0" borderId="0" xfId="0" applyFont="1" applyAlignment="1">
      <alignment horizontal="left" wrapText="1"/>
    </xf>
    <xf numFmtId="0" fontId="5" fillId="0" borderId="17" xfId="0" applyFont="1" applyBorder="1" applyAlignment="1">
      <alignment horizontal="center"/>
    </xf>
    <xf numFmtId="0" fontId="5" fillId="0" borderId="18" xfId="0" applyFont="1" applyBorder="1" applyAlignment="1">
      <alignment horizontal="center"/>
    </xf>
    <xf numFmtId="0" fontId="5" fillId="0" borderId="19" xfId="0" applyFont="1" applyBorder="1" applyAlignment="1">
      <alignment horizontal="center"/>
    </xf>
    <xf numFmtId="165" fontId="5" fillId="0" borderId="29" xfId="0" applyNumberFormat="1" applyFont="1" applyBorder="1" applyAlignment="1">
      <alignment horizontal="center"/>
    </xf>
    <xf numFmtId="0" fontId="3" fillId="0" borderId="26" xfId="0" applyFont="1" applyBorder="1" applyAlignment="1">
      <alignment horizontal="center" vertical="top"/>
    </xf>
    <xf numFmtId="0" fontId="3" fillId="0" borderId="27" xfId="0" applyFont="1" applyBorder="1" applyAlignment="1">
      <alignment horizontal="center" vertical="top"/>
    </xf>
    <xf numFmtId="0" fontId="3" fillId="0" borderId="28" xfId="0" applyFont="1" applyBorder="1" applyAlignment="1">
      <alignment horizontal="center" vertical="top"/>
    </xf>
    <xf numFmtId="164" fontId="3" fillId="0" borderId="26" xfId="0" applyNumberFormat="1" applyFont="1" applyBorder="1" applyAlignment="1">
      <alignment horizontal="center" vertical="top"/>
    </xf>
    <xf numFmtId="164" fontId="3" fillId="0" borderId="28" xfId="0" applyNumberFormat="1" applyFont="1" applyBorder="1" applyAlignment="1">
      <alignment horizontal="center" vertical="top"/>
    </xf>
    <xf numFmtId="164" fontId="3" fillId="0" borderId="27" xfId="0" applyNumberFormat="1" applyFont="1" applyBorder="1" applyAlignment="1">
      <alignment horizontal="center" vertical="top"/>
    </xf>
    <xf numFmtId="0" fontId="3" fillId="0" borderId="26" xfId="0" applyFont="1" applyBorder="1" applyAlignment="1">
      <alignment horizontal="left" vertical="top" wrapText="1"/>
    </xf>
    <xf numFmtId="0" fontId="3" fillId="0" borderId="28" xfId="0" applyFont="1" applyBorder="1" applyAlignment="1">
      <alignment horizontal="left" vertical="top" wrapText="1"/>
    </xf>
    <xf numFmtId="0" fontId="3" fillId="0" borderId="27" xfId="0" applyFont="1" applyBorder="1" applyAlignment="1">
      <alignment horizontal="left" vertical="top" wrapText="1"/>
    </xf>
    <xf numFmtId="0" fontId="5" fillId="0" borderId="0" xfId="0" applyFont="1" applyAlignment="1">
      <alignment horizontal="center"/>
    </xf>
    <xf numFmtId="0" fontId="3" fillId="0" borderId="23" xfId="0" applyFont="1" applyBorder="1" applyAlignment="1">
      <alignment horizontal="center" vertical="top"/>
    </xf>
    <xf numFmtId="0" fontId="3" fillId="0" borderId="24" xfId="0" applyFont="1" applyBorder="1" applyAlignment="1">
      <alignment horizontal="center" vertical="top"/>
    </xf>
    <xf numFmtId="0" fontId="3" fillId="0" borderId="25" xfId="0" applyFont="1" applyBorder="1" applyAlignment="1">
      <alignment horizontal="center" vertical="top"/>
    </xf>
    <xf numFmtId="164" fontId="3" fillId="0" borderId="23" xfId="0" applyNumberFormat="1" applyFont="1" applyBorder="1" applyAlignment="1">
      <alignment horizontal="center" vertical="top"/>
    </xf>
    <xf numFmtId="164" fontId="3" fillId="0" borderId="25" xfId="0" applyNumberFormat="1" applyFont="1" applyBorder="1" applyAlignment="1">
      <alignment horizontal="center" vertical="top"/>
    </xf>
    <xf numFmtId="164" fontId="3" fillId="0" borderId="24" xfId="0" applyNumberFormat="1" applyFont="1" applyBorder="1" applyAlignment="1">
      <alignment horizontal="center" vertical="top"/>
    </xf>
    <xf numFmtId="0" fontId="3" fillId="0" borderId="23" xfId="0" applyFont="1" applyBorder="1" applyAlignment="1">
      <alignment horizontal="left" vertical="top" wrapText="1"/>
    </xf>
    <xf numFmtId="0" fontId="3" fillId="0" borderId="25" xfId="0" applyFont="1" applyBorder="1" applyAlignment="1">
      <alignment horizontal="left" vertical="top" wrapText="1"/>
    </xf>
    <xf numFmtId="0" fontId="3" fillId="0" borderId="24" xfId="0" applyFont="1" applyBorder="1" applyAlignment="1">
      <alignment horizontal="left" vertical="top" wrapText="1"/>
    </xf>
    <xf numFmtId="0" fontId="1" fillId="0" borderId="23" xfId="0" applyFont="1" applyBorder="1" applyAlignment="1">
      <alignment horizontal="center" vertical="top"/>
    </xf>
    <xf numFmtId="0" fontId="1" fillId="0" borderId="24" xfId="0" applyFont="1" applyBorder="1" applyAlignment="1">
      <alignment horizontal="center" vertical="top"/>
    </xf>
    <xf numFmtId="0" fontId="1" fillId="0" borderId="25" xfId="0" applyFont="1" applyBorder="1" applyAlignment="1">
      <alignment horizontal="center" vertical="top"/>
    </xf>
    <xf numFmtId="164" fontId="1" fillId="0" borderId="23" xfId="0" applyNumberFormat="1" applyFont="1" applyBorder="1" applyAlignment="1">
      <alignment horizontal="center" vertical="top"/>
    </xf>
    <xf numFmtId="164" fontId="1" fillId="0" borderId="25" xfId="0" applyNumberFormat="1" applyFont="1" applyBorder="1" applyAlignment="1">
      <alignment horizontal="center" vertical="top"/>
    </xf>
    <xf numFmtId="164" fontId="1" fillId="0" borderId="24" xfId="0" applyNumberFormat="1" applyFont="1" applyBorder="1" applyAlignment="1">
      <alignment horizontal="center" vertical="top"/>
    </xf>
    <xf numFmtId="0" fontId="1" fillId="0" borderId="23" xfId="0" applyFont="1" applyBorder="1" applyAlignment="1">
      <alignment horizontal="left" vertical="top" wrapText="1"/>
    </xf>
    <xf numFmtId="0" fontId="1" fillId="0" borderId="25" xfId="0" applyFont="1" applyBorder="1" applyAlignment="1">
      <alignment horizontal="left" vertical="top" wrapText="1"/>
    </xf>
    <xf numFmtId="0" fontId="1" fillId="0" borderId="24" xfId="0" applyFont="1" applyBorder="1" applyAlignment="1">
      <alignment horizontal="left" vertical="top" wrapText="1"/>
    </xf>
    <xf numFmtId="0" fontId="5" fillId="0" borderId="13"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3" fillId="0" borderId="13" xfId="0" applyFont="1" applyBorder="1" applyAlignment="1">
      <alignment horizontal="left"/>
    </xf>
    <xf numFmtId="0" fontId="3" fillId="0" borderId="14" xfId="0" applyFont="1" applyBorder="1" applyAlignment="1">
      <alignment horizontal="left"/>
    </xf>
    <xf numFmtId="0" fontId="3" fillId="0" borderId="15" xfId="0" applyFont="1" applyBorder="1" applyAlignment="1">
      <alignment horizontal="left"/>
    </xf>
    <xf numFmtId="0" fontId="1" fillId="0" borderId="20" xfId="0" applyFont="1" applyBorder="1" applyAlignment="1">
      <alignment horizontal="center" vertical="top"/>
    </xf>
    <xf numFmtId="0" fontId="1" fillId="0" borderId="21" xfId="0" applyFont="1" applyBorder="1" applyAlignment="1">
      <alignment horizontal="center" vertical="top"/>
    </xf>
    <xf numFmtId="0" fontId="1" fillId="0" borderId="22" xfId="0" applyFont="1" applyBorder="1" applyAlignment="1">
      <alignment horizontal="center" vertical="top"/>
    </xf>
    <xf numFmtId="164" fontId="1" fillId="0" borderId="20" xfId="0" applyNumberFormat="1" applyFont="1" applyBorder="1" applyAlignment="1">
      <alignment horizontal="center" vertical="top"/>
    </xf>
    <xf numFmtId="164" fontId="1" fillId="0" borderId="22" xfId="0" applyNumberFormat="1" applyFont="1" applyBorder="1" applyAlignment="1">
      <alignment horizontal="center" vertical="top"/>
    </xf>
    <xf numFmtId="164" fontId="1" fillId="0" borderId="21" xfId="0" applyNumberFormat="1" applyFont="1" applyBorder="1" applyAlignment="1">
      <alignment horizontal="center" vertical="top"/>
    </xf>
    <xf numFmtId="0" fontId="1" fillId="0" borderId="20" xfId="0" applyFont="1" applyBorder="1" applyAlignment="1">
      <alignment horizontal="left" vertical="top" wrapText="1"/>
    </xf>
    <xf numFmtId="0" fontId="1" fillId="0" borderId="22" xfId="0" applyFont="1" applyBorder="1" applyAlignment="1">
      <alignment horizontal="left" vertical="top" wrapText="1"/>
    </xf>
    <xf numFmtId="0" fontId="1" fillId="0" borderId="21" xfId="0" applyFont="1" applyBorder="1" applyAlignment="1">
      <alignment horizontal="left" vertical="top" wrapText="1"/>
    </xf>
    <xf numFmtId="164" fontId="3" fillId="0" borderId="7" xfId="0" applyNumberFormat="1" applyFont="1" applyBorder="1" applyAlignment="1">
      <alignment horizontal="center"/>
    </xf>
    <xf numFmtId="0" fontId="3" fillId="0" borderId="7" xfId="0" applyFont="1" applyBorder="1" applyAlignment="1">
      <alignment horizontal="center"/>
    </xf>
    <xf numFmtId="0" fontId="5" fillId="0" borderId="9" xfId="0" applyFont="1" applyBorder="1" applyAlignment="1">
      <alignment horizontal="center"/>
    </xf>
    <xf numFmtId="0" fontId="5" fillId="0" borderId="10" xfId="0" applyFont="1" applyBorder="1" applyAlignment="1">
      <alignment horizontal="center"/>
    </xf>
    <xf numFmtId="0" fontId="5" fillId="0" borderId="16" xfId="0" applyFont="1" applyBorder="1" applyAlignment="1">
      <alignment horizontal="center"/>
    </xf>
    <xf numFmtId="0" fontId="5" fillId="0" borderId="9" xfId="0" applyFont="1" applyBorder="1" applyAlignment="1">
      <alignment horizontal="left"/>
    </xf>
    <xf numFmtId="0" fontId="5" fillId="0" borderId="10" xfId="0" applyFont="1" applyBorder="1" applyAlignment="1">
      <alignment horizontal="left"/>
    </xf>
    <xf numFmtId="0" fontId="5" fillId="0" borderId="16" xfId="0" applyFont="1" applyBorder="1" applyAlignment="1">
      <alignment horizontal="left"/>
    </xf>
    <xf numFmtId="0" fontId="3" fillId="0" borderId="26" xfId="0" applyFont="1" applyBorder="1" applyAlignment="1">
      <alignment horizontal="center"/>
    </xf>
    <xf numFmtId="0" fontId="3" fillId="0" borderId="27" xfId="0" applyFont="1" applyBorder="1" applyAlignment="1">
      <alignment horizontal="center"/>
    </xf>
    <xf numFmtId="0" fontId="3" fillId="0" borderId="28" xfId="0" applyFont="1" applyBorder="1" applyAlignment="1">
      <alignment horizontal="center"/>
    </xf>
    <xf numFmtId="164" fontId="3" fillId="0" borderId="26" xfId="0" applyNumberFormat="1" applyFont="1" applyBorder="1" applyAlignment="1">
      <alignment horizontal="center"/>
    </xf>
    <xf numFmtId="164" fontId="3" fillId="0" borderId="28" xfId="0" applyNumberFormat="1" applyFont="1" applyBorder="1" applyAlignment="1">
      <alignment horizontal="center"/>
    </xf>
    <xf numFmtId="164" fontId="3" fillId="0" borderId="27" xfId="0" applyNumberFormat="1" applyFont="1" applyBorder="1" applyAlignment="1">
      <alignment horizontal="center"/>
    </xf>
    <xf numFmtId="0" fontId="3" fillId="0" borderId="23" xfId="0" applyFont="1" applyBorder="1" applyAlignment="1">
      <alignment horizontal="center"/>
    </xf>
    <xf numFmtId="0" fontId="3" fillId="0" borderId="24" xfId="0" applyFont="1" applyBorder="1" applyAlignment="1">
      <alignment horizontal="center"/>
    </xf>
    <xf numFmtId="0" fontId="3" fillId="0" borderId="25" xfId="0" applyFont="1" applyBorder="1" applyAlignment="1">
      <alignment horizontal="center"/>
    </xf>
    <xf numFmtId="164" fontId="3" fillId="0" borderId="23" xfId="0" applyNumberFormat="1" applyFont="1" applyBorder="1" applyAlignment="1">
      <alignment horizontal="center"/>
    </xf>
    <xf numFmtId="164" fontId="3" fillId="0" borderId="25" xfId="0" applyNumberFormat="1" applyFont="1" applyBorder="1" applyAlignment="1">
      <alignment horizontal="center"/>
    </xf>
    <xf numFmtId="164" fontId="3" fillId="0" borderId="24" xfId="0" applyNumberFormat="1" applyFont="1" applyBorder="1" applyAlignment="1">
      <alignment horizontal="center"/>
    </xf>
    <xf numFmtId="0" fontId="1" fillId="0" borderId="23" xfId="0" applyFont="1" applyBorder="1" applyAlignment="1">
      <alignment horizontal="center"/>
    </xf>
    <xf numFmtId="0" fontId="1" fillId="0" borderId="24" xfId="0" applyFont="1" applyBorder="1" applyAlignment="1">
      <alignment horizontal="center"/>
    </xf>
    <xf numFmtId="0" fontId="1" fillId="0" borderId="25" xfId="0" applyFont="1" applyBorder="1" applyAlignment="1">
      <alignment horizontal="center"/>
    </xf>
    <xf numFmtId="164" fontId="1" fillId="0" borderId="23" xfId="0" applyNumberFormat="1" applyFont="1" applyBorder="1" applyAlignment="1">
      <alignment horizontal="center"/>
    </xf>
    <xf numFmtId="164" fontId="1" fillId="0" borderId="25" xfId="0" applyNumberFormat="1" applyFont="1" applyBorder="1" applyAlignment="1">
      <alignment horizontal="center"/>
    </xf>
    <xf numFmtId="164" fontId="1" fillId="0" borderId="24" xfId="0" applyNumberFormat="1" applyFont="1" applyBorder="1" applyAlignment="1">
      <alignment horizontal="center"/>
    </xf>
    <xf numFmtId="0" fontId="1" fillId="0" borderId="20" xfId="0" applyFont="1" applyBorder="1" applyAlignment="1">
      <alignment horizontal="center"/>
    </xf>
    <xf numFmtId="0" fontId="1" fillId="0" borderId="21" xfId="0" applyFont="1" applyBorder="1" applyAlignment="1">
      <alignment horizontal="center"/>
    </xf>
    <xf numFmtId="0" fontId="1" fillId="0" borderId="22" xfId="0" applyFont="1" applyBorder="1" applyAlignment="1">
      <alignment horizontal="center"/>
    </xf>
    <xf numFmtId="164" fontId="1" fillId="0" borderId="20" xfId="0" applyNumberFormat="1" applyFont="1" applyBorder="1" applyAlignment="1">
      <alignment horizontal="center"/>
    </xf>
    <xf numFmtId="164" fontId="1" fillId="0" borderId="22" xfId="0" applyNumberFormat="1" applyFont="1" applyBorder="1" applyAlignment="1">
      <alignment horizontal="center"/>
    </xf>
    <xf numFmtId="164" fontId="1" fillId="0" borderId="21" xfId="0" applyNumberFormat="1" applyFont="1" applyBorder="1" applyAlignment="1">
      <alignment horizontal="center"/>
    </xf>
    <xf numFmtId="0" fontId="3" fillId="0" borderId="13" xfId="0" applyFont="1" applyBorder="1" applyAlignment="1">
      <alignment horizontal="center"/>
    </xf>
    <xf numFmtId="0" fontId="3" fillId="0" borderId="15" xfId="0" applyFont="1" applyBorder="1" applyAlignment="1">
      <alignment horizontal="center"/>
    </xf>
    <xf numFmtId="0" fontId="3" fillId="0" borderId="14" xfId="0" applyFont="1" applyBorder="1" applyAlignment="1">
      <alignment horizontal="center"/>
    </xf>
    <xf numFmtId="0" fontId="5" fillId="0" borderId="11" xfId="0" applyFont="1" applyBorder="1" applyAlignment="1">
      <alignment horizontal="center"/>
    </xf>
    <xf numFmtId="0" fontId="5" fillId="0" borderId="12" xfId="0" applyFont="1" applyBorder="1" applyAlignment="1">
      <alignment horizontal="center"/>
    </xf>
    <xf numFmtId="0" fontId="3" fillId="0" borderId="0" xfId="0" applyFont="1" applyAlignment="1">
      <alignment horizontal="center"/>
    </xf>
    <xf numFmtId="0" fontId="4" fillId="0" borderId="0" xfId="0" applyFont="1" applyAlignment="1">
      <alignment horizontal="center" vertical="center"/>
    </xf>
    <xf numFmtId="0" fontId="9" fillId="0" borderId="0" xfId="0" applyFont="1" applyAlignment="1">
      <alignment horizontal="center" vertical="center" wrapText="1"/>
    </xf>
    <xf numFmtId="0" fontId="9" fillId="0" borderId="0" xfId="0" applyFont="1" applyAlignment="1">
      <alignment horizontal="center" vertical="center"/>
    </xf>
    <xf numFmtId="0" fontId="3" fillId="0" borderId="1" xfId="0" applyFont="1" applyBorder="1" applyAlignment="1">
      <alignment horizontal="center"/>
    </xf>
    <xf numFmtId="0" fontId="3" fillId="0" borderId="2"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8" xfId="0" applyFont="1" applyBorder="1" applyAlignment="1">
      <alignment horizontal="center"/>
    </xf>
    <xf numFmtId="0" fontId="3" fillId="0" borderId="26" xfId="0" applyFont="1" applyBorder="1" applyAlignment="1">
      <alignment horizontal="center" vertical="top" wrapText="1"/>
    </xf>
    <xf numFmtId="0" fontId="3" fillId="0" borderId="27" xfId="0" applyFont="1" applyBorder="1" applyAlignment="1">
      <alignment horizontal="center" vertical="top" wrapText="1"/>
    </xf>
    <xf numFmtId="0" fontId="1" fillId="0" borderId="20" xfId="0" applyFont="1" applyBorder="1" applyAlignment="1">
      <alignment horizontal="center" vertical="top" wrapText="1"/>
    </xf>
    <xf numFmtId="0" fontId="1" fillId="0" borderId="21" xfId="0" applyFont="1" applyBorder="1" applyAlignment="1">
      <alignment horizontal="center" vertical="top" wrapText="1"/>
    </xf>
    <xf numFmtId="0" fontId="11" fillId="0" borderId="20" xfId="0" applyFont="1" applyBorder="1" applyAlignment="1">
      <alignment horizontal="left" vertical="top" wrapText="1"/>
    </xf>
    <xf numFmtId="0" fontId="11" fillId="0" borderId="22" xfId="0" applyFont="1" applyBorder="1" applyAlignment="1">
      <alignment horizontal="left" vertical="top" wrapText="1"/>
    </xf>
    <xf numFmtId="0" fontId="11" fillId="0" borderId="21" xfId="0" applyFont="1" applyBorder="1" applyAlignment="1">
      <alignment horizontal="left" vertical="top" wrapText="1"/>
    </xf>
    <xf numFmtId="15" fontId="11" fillId="0" borderId="20" xfId="0" applyNumberFormat="1" applyFont="1" applyBorder="1" applyAlignment="1">
      <alignment horizontal="left" vertical="top" wrapText="1"/>
    </xf>
    <xf numFmtId="0" fontId="3" fillId="0" borderId="23" xfId="0" applyFont="1" applyBorder="1" applyAlignment="1">
      <alignment horizontal="center" vertical="top" wrapText="1"/>
    </xf>
    <xf numFmtId="0" fontId="3" fillId="0" borderId="24" xfId="0" applyFont="1" applyBorder="1" applyAlignment="1">
      <alignment horizontal="center" vertical="top" wrapText="1"/>
    </xf>
    <xf numFmtId="0" fontId="5" fillId="0" borderId="11" xfId="0" applyFont="1" applyBorder="1" applyAlignment="1">
      <alignment horizontal="center" wrapText="1"/>
    </xf>
    <xf numFmtId="0" fontId="5" fillId="0" borderId="12" xfId="0" applyFont="1" applyBorder="1" applyAlignment="1">
      <alignment horizontal="center" wrapText="1"/>
    </xf>
    <xf numFmtId="0" fontId="5" fillId="0" borderId="13" xfId="0" applyFont="1" applyBorder="1" applyAlignment="1">
      <alignment horizontal="center" wrapText="1"/>
    </xf>
    <xf numFmtId="0" fontId="5" fillId="0" borderId="15" xfId="0" applyFont="1" applyBorder="1" applyAlignment="1">
      <alignment horizontal="center" wrapText="1"/>
    </xf>
    <xf numFmtId="0" fontId="3" fillId="0" borderId="11" xfId="0" applyFont="1" applyBorder="1" applyAlignment="1">
      <alignment horizontal="center"/>
    </xf>
    <xf numFmtId="0" fontId="3" fillId="0" borderId="12" xfId="0" applyFont="1" applyBorder="1" applyAlignment="1">
      <alignment horizontal="center"/>
    </xf>
    <xf numFmtId="0" fontId="5" fillId="0" borderId="11" xfId="0" applyFont="1" applyBorder="1" applyAlignment="1">
      <alignment horizontal="left"/>
    </xf>
    <xf numFmtId="0" fontId="5" fillId="0" borderId="0" xfId="0" applyFont="1" applyAlignment="1">
      <alignment horizontal="left"/>
    </xf>
    <xf numFmtId="0" fontId="5" fillId="0" borderId="12" xfId="0" applyFont="1" applyBorder="1" applyAlignment="1">
      <alignment horizontal="left"/>
    </xf>
    <xf numFmtId="0" fontId="1" fillId="0" borderId="0" xfId="0" applyFont="1" applyAlignment="1">
      <alignment horizontal="left" vertical="center" wrapText="1"/>
    </xf>
    <xf numFmtId="165" fontId="1" fillId="0" borderId="0" xfId="0" applyNumberFormat="1" applyFont="1" applyAlignment="1">
      <alignment horizontal="center"/>
    </xf>
    <xf numFmtId="0" fontId="1" fillId="0" borderId="0" xfId="0" applyFont="1" applyAlignment="1">
      <alignment horizontal="left" vertical="top" wrapText="1"/>
    </xf>
    <xf numFmtId="0" fontId="1" fillId="0" borderId="33" xfId="0" applyFont="1" applyBorder="1" applyAlignment="1">
      <alignment horizontal="center"/>
    </xf>
    <xf numFmtId="0" fontId="1" fillId="0" borderId="34" xfId="0" applyFont="1" applyBorder="1" applyAlignment="1">
      <alignment horizontal="center"/>
    </xf>
    <xf numFmtId="0" fontId="1" fillId="0" borderId="35" xfId="0" applyFont="1" applyBorder="1" applyAlignment="1">
      <alignment horizontal="center"/>
    </xf>
    <xf numFmtId="165" fontId="1" fillId="0" borderId="33" xfId="0" applyNumberFormat="1" applyFont="1" applyBorder="1" applyAlignment="1">
      <alignment horizontal="center"/>
    </xf>
    <xf numFmtId="165" fontId="1" fillId="0" borderId="34" xfId="0" applyNumberFormat="1" applyFont="1" applyBorder="1" applyAlignment="1">
      <alignment horizontal="center"/>
    </xf>
    <xf numFmtId="165" fontId="1" fillId="0" borderId="35" xfId="0" applyNumberFormat="1" applyFont="1" applyBorder="1" applyAlignment="1">
      <alignment horizontal="center"/>
    </xf>
    <xf numFmtId="0" fontId="1" fillId="0" borderId="32" xfId="0" applyFont="1" applyBorder="1" applyAlignment="1">
      <alignment horizontal="center"/>
    </xf>
    <xf numFmtId="0" fontId="11" fillId="0" borderId="0" xfId="0" applyFont="1" applyAlignment="1">
      <alignment horizontal="left" vertical="top" wrapText="1"/>
    </xf>
    <xf numFmtId="0" fontId="1" fillId="0" borderId="0" xfId="0" applyFont="1" applyAlignment="1">
      <alignment horizontal="center" vertical="top"/>
    </xf>
    <xf numFmtId="0" fontId="1" fillId="0" borderId="26" xfId="0" applyFont="1" applyBorder="1" applyAlignment="1">
      <alignment horizontal="center"/>
    </xf>
    <xf numFmtId="0" fontId="1" fillId="0" borderId="28" xfId="0" applyFont="1" applyBorder="1" applyAlignment="1">
      <alignment horizontal="center"/>
    </xf>
    <xf numFmtId="0" fontId="1" fillId="0" borderId="27" xfId="0" applyFont="1" applyBorder="1" applyAlignment="1">
      <alignment horizontal="center"/>
    </xf>
    <xf numFmtId="0" fontId="1" fillId="0" borderId="23" xfId="0" applyFont="1" applyBorder="1" applyAlignment="1">
      <alignment horizontal="left" vertical="top"/>
    </xf>
    <xf numFmtId="0" fontId="1" fillId="0" borderId="25" xfId="0" applyFont="1" applyBorder="1" applyAlignment="1">
      <alignment horizontal="left" vertical="top"/>
    </xf>
    <xf numFmtId="0" fontId="1" fillId="0" borderId="24" xfId="0" applyFont="1" applyBorder="1" applyAlignment="1">
      <alignment horizontal="left" vertical="top"/>
    </xf>
    <xf numFmtId="0" fontId="1" fillId="0" borderId="26" xfId="0" applyFont="1" applyBorder="1" applyAlignment="1">
      <alignment horizontal="left" vertical="top"/>
    </xf>
    <xf numFmtId="0" fontId="1" fillId="0" borderId="28" xfId="0" applyFont="1" applyBorder="1" applyAlignment="1">
      <alignment horizontal="left" vertical="top"/>
    </xf>
    <xf numFmtId="0" fontId="1" fillId="0" borderId="27" xfId="0" applyFont="1" applyBorder="1" applyAlignment="1">
      <alignment horizontal="left" vertical="top"/>
    </xf>
    <xf numFmtId="166" fontId="1" fillId="0" borderId="0" xfId="0" quotePrefix="1" applyNumberFormat="1" applyFont="1" applyAlignment="1">
      <alignment horizontal="left"/>
    </xf>
    <xf numFmtId="0" fontId="5" fillId="0" borderId="17" xfId="0" applyFont="1" applyBorder="1" applyAlignment="1">
      <alignment horizontal="center" wrapText="1"/>
    </xf>
    <xf numFmtId="0" fontId="5" fillId="0" borderId="18" xfId="0" applyFont="1" applyBorder="1" applyAlignment="1">
      <alignment horizontal="center" wrapText="1"/>
    </xf>
    <xf numFmtId="0" fontId="5" fillId="0" borderId="19" xfId="0" applyFont="1" applyBorder="1" applyAlignment="1">
      <alignment horizontal="center" wrapText="1"/>
    </xf>
    <xf numFmtId="0" fontId="5" fillId="0" borderId="17" xfId="0" applyFont="1" applyBorder="1" applyAlignment="1">
      <alignment horizontal="center" vertical="top" wrapText="1"/>
    </xf>
    <xf numFmtId="0" fontId="5" fillId="0" borderId="18" xfId="0" applyFont="1" applyBorder="1" applyAlignment="1">
      <alignment horizontal="center" vertical="top" wrapText="1"/>
    </xf>
    <xf numFmtId="0" fontId="5" fillId="0" borderId="19" xfId="0" applyFont="1" applyBorder="1" applyAlignment="1">
      <alignment horizontal="center" vertical="top" wrapText="1"/>
    </xf>
    <xf numFmtId="0" fontId="5" fillId="0" borderId="17" xfId="0" applyFont="1" applyBorder="1" applyAlignment="1">
      <alignment horizontal="center" vertical="top"/>
    </xf>
    <xf numFmtId="0" fontId="5" fillId="0" borderId="18" xfId="0" applyFont="1" applyBorder="1" applyAlignment="1">
      <alignment horizontal="center" vertical="top"/>
    </xf>
    <xf numFmtId="0" fontId="5" fillId="0" borderId="19" xfId="0" applyFont="1" applyBorder="1" applyAlignment="1">
      <alignment horizontal="center" vertical="top"/>
    </xf>
    <xf numFmtId="0" fontId="2" fillId="0" borderId="20" xfId="0" applyFont="1" applyBorder="1" applyAlignment="1">
      <alignment horizontal="center" vertical="center"/>
    </xf>
    <xf numFmtId="0" fontId="2" fillId="0" borderId="22" xfId="0" applyFont="1" applyBorder="1" applyAlignment="1">
      <alignment horizontal="center" vertical="center"/>
    </xf>
    <xf numFmtId="0" fontId="2" fillId="0" borderId="21" xfId="0" applyFont="1" applyBorder="1" applyAlignment="1">
      <alignment horizontal="center" vertical="center"/>
    </xf>
    <xf numFmtId="0" fontId="2" fillId="0" borderId="23" xfId="0" applyFont="1" applyBorder="1" applyAlignment="1">
      <alignment horizontal="center"/>
    </xf>
    <xf numFmtId="0" fontId="2" fillId="0" borderId="25" xfId="0" applyFont="1" applyBorder="1" applyAlignment="1">
      <alignment horizontal="center"/>
    </xf>
    <xf numFmtId="0" fontId="2" fillId="0" borderId="24" xfId="0" applyFont="1" applyBorder="1" applyAlignment="1">
      <alignment horizontal="center"/>
    </xf>
    <xf numFmtId="0" fontId="2" fillId="0" borderId="26" xfId="0" applyFont="1" applyBorder="1" applyAlignment="1">
      <alignment horizontal="center"/>
    </xf>
    <xf numFmtId="0" fontId="2" fillId="0" borderId="28" xfId="0" applyFont="1" applyBorder="1" applyAlignment="1">
      <alignment horizontal="center"/>
    </xf>
    <xf numFmtId="0" fontId="2" fillId="0" borderId="27" xfId="0" applyFont="1" applyBorder="1" applyAlignment="1">
      <alignment horizontal="center"/>
    </xf>
    <xf numFmtId="0" fontId="1" fillId="0" borderId="32" xfId="0" applyFont="1" applyBorder="1" applyAlignment="1">
      <alignment horizontal="center" vertical="center" wrapText="1"/>
    </xf>
    <xf numFmtId="0" fontId="2" fillId="0" borderId="32" xfId="0" applyFont="1" applyBorder="1" applyAlignment="1">
      <alignment horizontal="center" vertical="center"/>
    </xf>
    <xf numFmtId="0" fontId="1" fillId="0" borderId="32" xfId="0" applyFont="1" applyBorder="1" applyAlignment="1">
      <alignment horizontal="center" vertical="center"/>
    </xf>
    <xf numFmtId="0" fontId="1" fillId="0" borderId="1" xfId="0" applyFont="1" applyBorder="1" applyAlignment="1">
      <alignment horizontal="center" vertical="center" wrapText="1"/>
    </xf>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0" fontId="1" fillId="0" borderId="33" xfId="0" applyFont="1" applyBorder="1" applyAlignment="1">
      <alignment horizontal="center" vertical="center"/>
    </xf>
    <xf numFmtId="0" fontId="1" fillId="0" borderId="34" xfId="0" applyFont="1" applyBorder="1" applyAlignment="1">
      <alignment horizontal="center" vertical="center"/>
    </xf>
    <xf numFmtId="0" fontId="1" fillId="0" borderId="35" xfId="0" applyFont="1" applyBorder="1" applyAlignment="1">
      <alignment horizontal="center" vertical="center"/>
    </xf>
    <xf numFmtId="0" fontId="1" fillId="0" borderId="33" xfId="0" applyFont="1" applyBorder="1" applyAlignment="1">
      <alignment horizontal="center" vertical="center" wrapText="1"/>
    </xf>
    <xf numFmtId="0" fontId="1" fillId="0" borderId="34" xfId="0" applyFont="1" applyBorder="1" applyAlignment="1">
      <alignment horizontal="center" vertical="center" wrapText="1"/>
    </xf>
    <xf numFmtId="0" fontId="1" fillId="0" borderId="35" xfId="0" applyFont="1" applyBorder="1" applyAlignment="1">
      <alignment horizontal="center" vertical="center" wrapText="1"/>
    </xf>
    <xf numFmtId="0" fontId="11" fillId="0" borderId="0" xfId="0" quotePrefix="1" applyFont="1" applyAlignment="1">
      <alignment horizontal="left" vertical="top" wrapText="1"/>
    </xf>
    <xf numFmtId="1" fontId="1" fillId="0" borderId="0" xfId="0" applyNumberFormat="1" applyFont="1" applyAlignment="1">
      <alignment horizontal="center"/>
    </xf>
    <xf numFmtId="0" fontId="1" fillId="0" borderId="0" xfId="0" applyFont="1" applyAlignment="1">
      <alignment horizontal="center"/>
    </xf>
    <xf numFmtId="2" fontId="1" fillId="0" borderId="0" xfId="0" applyNumberFormat="1" applyFont="1" applyAlignment="1">
      <alignment horizontal="center"/>
    </xf>
    <xf numFmtId="0" fontId="1" fillId="0" borderId="0" xfId="0" applyFont="1" applyAlignment="1">
      <alignment horizontal="right" vertical="top"/>
    </xf>
    <xf numFmtId="2" fontId="1" fillId="0" borderId="0" xfId="0" applyNumberFormat="1" applyFont="1" applyAlignment="1">
      <alignment horizontal="center" vertical="top" wrapText="1"/>
    </xf>
    <xf numFmtId="167" fontId="1" fillId="0" borderId="0" xfId="0" applyNumberFormat="1" applyFont="1" applyAlignment="1">
      <alignment horizontal="center"/>
    </xf>
    <xf numFmtId="170" fontId="1" fillId="0" borderId="0" xfId="0" applyNumberFormat="1" applyFont="1" applyAlignment="1">
      <alignment horizontal="center"/>
    </xf>
    <xf numFmtId="165" fontId="1" fillId="0" borderId="0" xfId="0" applyNumberFormat="1" applyFont="1" applyAlignment="1">
      <alignment horizontal="center" vertical="center"/>
    </xf>
    <xf numFmtId="169" fontId="1" fillId="0" borderId="0" xfId="0" applyNumberFormat="1" applyFont="1" applyAlignment="1">
      <alignment horizontal="center"/>
    </xf>
    <xf numFmtId="11" fontId="1" fillId="0" borderId="0" xfId="0" applyNumberFormat="1" applyFont="1" applyAlignment="1">
      <alignment horizontal="center"/>
    </xf>
    <xf numFmtId="2" fontId="1" fillId="0" borderId="33" xfId="0" applyNumberFormat="1" applyFont="1" applyBorder="1" applyAlignment="1">
      <alignment horizontal="center"/>
    </xf>
    <xf numFmtId="2" fontId="1" fillId="0" borderId="34" xfId="0" applyNumberFormat="1" applyFont="1" applyBorder="1" applyAlignment="1">
      <alignment horizontal="center"/>
    </xf>
    <xf numFmtId="2" fontId="1" fillId="0" borderId="35" xfId="0" applyNumberFormat="1" applyFont="1" applyBorder="1" applyAlignment="1">
      <alignment horizontal="center"/>
    </xf>
    <xf numFmtId="165" fontId="1" fillId="0" borderId="32" xfId="0" applyNumberFormat="1" applyFont="1" applyBorder="1" applyAlignment="1">
      <alignment horizontal="center"/>
    </xf>
    <xf numFmtId="1" fontId="1" fillId="0" borderId="0" xfId="0" applyNumberFormat="1" applyFont="1" applyAlignment="1">
      <alignment horizontal="center" vertical="top" wrapText="1"/>
    </xf>
    <xf numFmtId="2" fontId="1" fillId="0" borderId="0" xfId="0" applyNumberFormat="1" applyFont="1" applyAlignment="1">
      <alignment horizontal="center" vertical="center"/>
    </xf>
    <xf numFmtId="165" fontId="1" fillId="0" borderId="0" xfId="3" applyNumberFormat="1" applyFont="1" applyAlignment="1">
      <alignment horizontal="center"/>
    </xf>
    <xf numFmtId="167" fontId="1" fillId="0" borderId="0" xfId="3" applyNumberFormat="1" applyFont="1" applyAlignment="1">
      <alignment horizontal="center"/>
    </xf>
    <xf numFmtId="167" fontId="11" fillId="0" borderId="0" xfId="0" applyNumberFormat="1" applyFont="1" applyAlignment="1">
      <alignment horizontal="center"/>
    </xf>
    <xf numFmtId="4" fontId="11" fillId="0" borderId="0" xfId="0" applyNumberFormat="1" applyFont="1" applyAlignment="1">
      <alignment horizontal="center"/>
    </xf>
    <xf numFmtId="0" fontId="11" fillId="0" borderId="0" xfId="0" applyFont="1" applyAlignment="1">
      <alignment horizontal="center"/>
    </xf>
    <xf numFmtId="2" fontId="1" fillId="0" borderId="32" xfId="0" applyNumberFormat="1" applyFont="1" applyBorder="1" applyAlignment="1">
      <alignment horizontal="center"/>
    </xf>
    <xf numFmtId="0" fontId="2" fillId="0" borderId="17" xfId="0" applyFont="1" applyBorder="1" applyAlignment="1">
      <alignment horizontal="center" vertical="top" wrapText="1"/>
    </xf>
    <xf numFmtId="0" fontId="2" fillId="0" borderId="18" xfId="0" applyFont="1" applyBorder="1" applyAlignment="1">
      <alignment horizontal="center" vertical="top" wrapText="1"/>
    </xf>
    <xf numFmtId="0" fontId="2" fillId="0" borderId="19" xfId="0" applyFont="1" applyBorder="1" applyAlignment="1">
      <alignment horizontal="center" vertical="top" wrapText="1"/>
    </xf>
    <xf numFmtId="0" fontId="2" fillId="0" borderId="17" xfId="0" applyFont="1" applyBorder="1" applyAlignment="1">
      <alignment horizontal="center" vertical="top"/>
    </xf>
    <xf numFmtId="0" fontId="2" fillId="0" borderId="18" xfId="0" applyFont="1" applyBorder="1" applyAlignment="1">
      <alignment horizontal="center" vertical="top"/>
    </xf>
    <xf numFmtId="0" fontId="2" fillId="0" borderId="19" xfId="0" applyFont="1" applyBorder="1" applyAlignment="1">
      <alignment horizontal="center" vertical="top"/>
    </xf>
    <xf numFmtId="0" fontId="1" fillId="0" borderId="23" xfId="0" applyFont="1" applyBorder="1" applyAlignment="1">
      <alignment horizontal="left"/>
    </xf>
    <xf numFmtId="0" fontId="1" fillId="0" borderId="25" xfId="0" applyFont="1" applyBorder="1" applyAlignment="1">
      <alignment horizontal="left"/>
    </xf>
    <xf numFmtId="0" fontId="1" fillId="0" borderId="24" xfId="0" applyFont="1" applyBorder="1" applyAlignment="1">
      <alignment horizontal="left"/>
    </xf>
    <xf numFmtId="0" fontId="1" fillId="0" borderId="20" xfId="0" applyFont="1" applyBorder="1" applyAlignment="1">
      <alignment horizontal="left"/>
    </xf>
    <xf numFmtId="0" fontId="1" fillId="0" borderId="22" xfId="0" applyFont="1" applyBorder="1" applyAlignment="1">
      <alignment horizontal="left"/>
    </xf>
    <xf numFmtId="0" fontId="1" fillId="0" borderId="21" xfId="0" applyFont="1" applyBorder="1" applyAlignment="1">
      <alignment horizontal="left"/>
    </xf>
    <xf numFmtId="0" fontId="1" fillId="2" borderId="20" xfId="0" applyFont="1" applyFill="1" applyBorder="1" applyAlignment="1">
      <alignment horizontal="center"/>
    </xf>
    <xf numFmtId="0" fontId="1" fillId="2" borderId="22" xfId="0" applyFont="1" applyFill="1" applyBorder="1" applyAlignment="1">
      <alignment horizontal="center"/>
    </xf>
    <xf numFmtId="0" fontId="1" fillId="2" borderId="21" xfId="0" applyFont="1" applyFill="1" applyBorder="1" applyAlignment="1">
      <alignment horizontal="center"/>
    </xf>
    <xf numFmtId="0" fontId="1" fillId="2" borderId="23" xfId="0" applyFont="1" applyFill="1" applyBorder="1" applyAlignment="1">
      <alignment horizontal="center"/>
    </xf>
    <xf numFmtId="0" fontId="1" fillId="2" borderId="25" xfId="0" applyFont="1" applyFill="1" applyBorder="1" applyAlignment="1">
      <alignment horizontal="center"/>
    </xf>
    <xf numFmtId="0" fontId="1" fillId="2" borderId="24" xfId="0" applyFont="1" applyFill="1" applyBorder="1" applyAlignment="1">
      <alignment horizontal="center"/>
    </xf>
    <xf numFmtId="0" fontId="1" fillId="0" borderId="30" xfId="0" applyFont="1" applyBorder="1" applyAlignment="1">
      <alignment horizontal="center"/>
    </xf>
    <xf numFmtId="0" fontId="1" fillId="0" borderId="29" xfId="0" applyFont="1" applyBorder="1" applyAlignment="1">
      <alignment horizontal="center"/>
    </xf>
    <xf numFmtId="0" fontId="1" fillId="0" borderId="31" xfId="0" applyFont="1" applyBorder="1" applyAlignment="1">
      <alignment horizontal="center"/>
    </xf>
    <xf numFmtId="0" fontId="1" fillId="0" borderId="30" xfId="0" applyFont="1" applyBorder="1" applyAlignment="1">
      <alignment horizontal="left"/>
    </xf>
    <xf numFmtId="0" fontId="1" fillId="0" borderId="29" xfId="0" applyFont="1" applyBorder="1" applyAlignment="1">
      <alignment horizontal="left"/>
    </xf>
    <xf numFmtId="0" fontId="1" fillId="0" borderId="31" xfId="0" applyFont="1" applyBorder="1" applyAlignment="1">
      <alignment horizontal="left"/>
    </xf>
    <xf numFmtId="0" fontId="2" fillId="0" borderId="23" xfId="0" applyFont="1" applyBorder="1" applyAlignment="1">
      <alignment horizontal="left"/>
    </xf>
    <xf numFmtId="0" fontId="2" fillId="0" borderId="25" xfId="0" applyFont="1" applyBorder="1" applyAlignment="1">
      <alignment horizontal="left"/>
    </xf>
    <xf numFmtId="0" fontId="2" fillId="0" borderId="24" xfId="0" applyFont="1" applyBorder="1" applyAlignment="1">
      <alignment horizontal="left"/>
    </xf>
    <xf numFmtId="0" fontId="1" fillId="0" borderId="26" xfId="0" applyFont="1" applyBorder="1" applyAlignment="1">
      <alignment horizontal="left"/>
    </xf>
    <xf numFmtId="0" fontId="1" fillId="0" borderId="28" xfId="0" applyFont="1" applyBorder="1" applyAlignment="1">
      <alignment horizontal="left"/>
    </xf>
    <xf numFmtId="0" fontId="1" fillId="0" borderId="27" xfId="0" applyFont="1" applyBorder="1" applyAlignment="1">
      <alignment horizontal="left"/>
    </xf>
    <xf numFmtId="0" fontId="12" fillId="0" borderId="0" xfId="0" applyFont="1" applyAlignment="1">
      <alignment vertical="center"/>
    </xf>
    <xf numFmtId="165" fontId="1" fillId="0" borderId="0" xfId="0" applyNumberFormat="1" applyFont="1" applyAlignment="1">
      <alignment vertical="center"/>
    </xf>
    <xf numFmtId="167" fontId="1" fillId="0" borderId="0" xfId="0" applyNumberFormat="1" applyFont="1" applyAlignment="1">
      <alignment vertical="center"/>
    </xf>
    <xf numFmtId="0" fontId="1" fillId="0" borderId="0" xfId="0" applyFont="1"/>
    <xf numFmtId="0" fontId="1" fillId="0" borderId="0" xfId="0" applyFont="1" applyAlignment="1">
      <alignment vertical="center"/>
    </xf>
    <xf numFmtId="165" fontId="12" fillId="0" borderId="0" xfId="0" applyNumberFormat="1" applyFont="1" applyAlignment="1">
      <alignment vertical="center"/>
    </xf>
    <xf numFmtId="165" fontId="1" fillId="0" borderId="0" xfId="0" applyNumberFormat="1" applyFont="1"/>
    <xf numFmtId="168" fontId="1" fillId="0" borderId="0" xfId="0" applyNumberFormat="1" applyFont="1" applyAlignment="1">
      <alignment horizontal="center"/>
    </xf>
    <xf numFmtId="4" fontId="1" fillId="0" borderId="0" xfId="0" applyNumberFormat="1" applyFont="1" applyAlignment="1">
      <alignment horizontal="center"/>
    </xf>
    <xf numFmtId="0" fontId="1" fillId="2" borderId="32" xfId="0" applyFont="1" applyFill="1" applyBorder="1" applyAlignment="1">
      <alignment horizontal="center" vertical="center"/>
    </xf>
    <xf numFmtId="2" fontId="1" fillId="0" borderId="0" xfId="0" applyNumberFormat="1" applyFont="1" applyAlignment="1">
      <alignment vertical="center"/>
    </xf>
    <xf numFmtId="1" fontId="1" fillId="0" borderId="0" xfId="0" applyNumberFormat="1" applyFont="1" applyAlignment="1">
      <alignment vertical="center"/>
    </xf>
    <xf numFmtId="165" fontId="1" fillId="0" borderId="0" xfId="0" applyNumberFormat="1" applyFont="1" applyAlignment="1">
      <alignment horizontal="center" vertical="top"/>
    </xf>
    <xf numFmtId="0" fontId="11" fillId="0" borderId="0" xfId="1" applyFont="1" applyAlignment="1">
      <alignment horizontal="right"/>
    </xf>
    <xf numFmtId="1" fontId="1" fillId="0" borderId="0" xfId="0" applyNumberFormat="1" applyFont="1" applyAlignment="1">
      <alignment horizontal="right" vertical="center"/>
    </xf>
    <xf numFmtId="0" fontId="11" fillId="0" borderId="0" xfId="0" applyFont="1" applyAlignment="1">
      <alignment vertical="center"/>
    </xf>
    <xf numFmtId="165" fontId="1" fillId="2" borderId="32" xfId="0" applyNumberFormat="1" applyFont="1" applyFill="1" applyBorder="1" applyAlignment="1">
      <alignment horizontal="center"/>
    </xf>
    <xf numFmtId="165" fontId="1" fillId="0" borderId="0" xfId="1" applyNumberFormat="1" applyFont="1" applyAlignment="1">
      <alignment horizontal="center"/>
    </xf>
    <xf numFmtId="1" fontId="1" fillId="0" borderId="0" xfId="1" applyNumberFormat="1" applyFont="1" applyAlignment="1">
      <alignment horizontal="right"/>
    </xf>
    <xf numFmtId="0" fontId="11" fillId="2" borderId="32" xfId="1" applyFont="1" applyFill="1" applyBorder="1" applyAlignment="1">
      <alignment horizontal="right"/>
    </xf>
    <xf numFmtId="0" fontId="12" fillId="0" borderId="0" xfId="1" applyFont="1" applyAlignment="1">
      <alignment horizontal="right"/>
    </xf>
    <xf numFmtId="1" fontId="12" fillId="0" borderId="0" xfId="1" applyNumberFormat="1" applyFont="1" applyAlignment="1">
      <alignment horizontal="right"/>
    </xf>
    <xf numFmtId="0" fontId="1" fillId="0" borderId="0" xfId="0" applyFont="1" applyAlignment="1">
      <alignment wrapText="1"/>
    </xf>
    <xf numFmtId="0" fontId="1" fillId="0" borderId="32" xfId="0" applyFont="1" applyBorder="1" applyAlignment="1">
      <alignment horizontal="center" wrapText="1"/>
    </xf>
    <xf numFmtId="0" fontId="1" fillId="0" borderId="36" xfId="0" applyFont="1" applyBorder="1" applyAlignment="1">
      <alignment horizontal="center" wrapText="1"/>
    </xf>
    <xf numFmtId="1" fontId="1" fillId="0" borderId="32" xfId="0" applyNumberFormat="1" applyFont="1" applyBorder="1" applyAlignment="1">
      <alignment horizontal="center"/>
    </xf>
    <xf numFmtId="0" fontId="1" fillId="2" borderId="32" xfId="0" applyFont="1" applyFill="1" applyBorder="1" applyAlignment="1">
      <alignment horizontal="center"/>
    </xf>
    <xf numFmtId="165" fontId="11" fillId="0" borderId="0" xfId="0" applyNumberFormat="1" applyFont="1" applyAlignment="1">
      <alignment horizontal="center" vertical="center"/>
    </xf>
    <xf numFmtId="0" fontId="1" fillId="0" borderId="0" xfId="0" applyFont="1" applyAlignment="1">
      <alignment horizontal="center" vertical="center"/>
    </xf>
    <xf numFmtId="1" fontId="1" fillId="0" borderId="0" xfId="0" applyNumberFormat="1" applyFont="1" applyAlignment="1">
      <alignment horizontal="center" vertical="center"/>
    </xf>
    <xf numFmtId="168" fontId="1" fillId="0" borderId="0" xfId="0" applyNumberFormat="1" applyFont="1" applyAlignment="1">
      <alignment horizontal="center" vertical="top"/>
    </xf>
    <xf numFmtId="0" fontId="1" fillId="0" borderId="32" xfId="0" applyFont="1" applyBorder="1" applyAlignment="1">
      <alignment horizontal="center" vertical="top"/>
    </xf>
    <xf numFmtId="2" fontId="2" fillId="0" borderId="0" xfId="0" applyNumberFormat="1" applyFont="1" applyAlignment="1">
      <alignment horizontal="center" vertical="center"/>
    </xf>
    <xf numFmtId="168" fontId="1" fillId="0" borderId="0" xfId="0" applyNumberFormat="1" applyFont="1" applyAlignment="1">
      <alignment horizontal="center" vertical="center"/>
    </xf>
    <xf numFmtId="167" fontId="1" fillId="0" borderId="0" xfId="0" applyNumberFormat="1" applyFont="1" applyAlignment="1">
      <alignment horizontal="center" vertical="center"/>
    </xf>
    <xf numFmtId="11" fontId="1" fillId="0" borderId="0" xfId="0" applyNumberFormat="1" applyFont="1" applyAlignment="1">
      <alignment horizontal="center" vertical="center"/>
    </xf>
    <xf numFmtId="3" fontId="1" fillId="0" borderId="0" xfId="0" applyNumberFormat="1" applyFont="1" applyAlignment="1">
      <alignment horizontal="center" vertical="top"/>
    </xf>
    <xf numFmtId="2" fontId="1" fillId="0" borderId="0" xfId="0" applyNumberFormat="1" applyFont="1" applyAlignment="1">
      <alignment horizontal="center" vertical="top"/>
    </xf>
    <xf numFmtId="1" fontId="11" fillId="0" borderId="0" xfId="1" applyNumberFormat="1" applyFont="1" applyAlignment="1">
      <alignment horizontal="right"/>
    </xf>
    <xf numFmtId="2" fontId="11" fillId="0" borderId="0" xfId="1" applyNumberFormat="1" applyFont="1" applyAlignment="1">
      <alignment horizontal="right"/>
    </xf>
    <xf numFmtId="0" fontId="34" fillId="0" borderId="0" xfId="0" applyFont="1" applyAlignment="1">
      <alignment horizontal="center" vertical="center" wrapText="1"/>
    </xf>
  </cellXfs>
  <cellStyles count="4">
    <cellStyle name="Header 3" xfId="2" xr:uid="{796DEE4A-9C55-417F-B11C-57A834186626}"/>
    <cellStyle name="Normal" xfId="0" builtinId="0"/>
    <cellStyle name="Normal 2 2" xfId="3" xr:uid="{A9DC5677-1032-4A3E-B10B-A94206FD94A3}"/>
    <cellStyle name="Normal 3" xfId="1" xr:uid="{D8B8832A-FCB1-4208-B83B-95A0FF1CBD18}"/>
  </cellStyles>
  <dxfs count="0"/>
  <tableStyles count="0" defaultTableStyle="TableStyleMedium2" defaultPivotStyle="PivotStyleLight16"/>
  <colors>
    <mruColors>
      <color rgb="FFCCFFCC"/>
      <color rgb="FFFF0000"/>
      <color rgb="FFFFE7E7"/>
      <color rgb="FFE1FFE1"/>
      <color rgb="FFFFFFE7"/>
      <color rgb="FF0000FF"/>
      <color rgb="FFFF9797"/>
      <color rgb="FFFFFFCC"/>
      <color rgb="FFFFAB97"/>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5" Type="http://schemas.openxmlformats.org/officeDocument/2006/relationships/image" Target="../media/image23.png"/><Relationship Id="rId4" Type="http://schemas.openxmlformats.org/officeDocument/2006/relationships/image" Target="../media/image22.png"/></Relationships>
</file>

<file path=xl/drawings/_rels/drawing6.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18.png"/><Relationship Id="rId4" Type="http://schemas.openxmlformats.org/officeDocument/2006/relationships/image" Target="../media/image26.png"/></Relationships>
</file>

<file path=xl/drawings/_rels/drawing7.xml.rels><?xml version="1.0" encoding="UTF-8" standalone="yes"?>
<Relationships xmlns="http://schemas.openxmlformats.org/package/2006/relationships"><Relationship Id="rId8" Type="http://schemas.openxmlformats.org/officeDocument/2006/relationships/image" Target="../media/image34.png"/><Relationship Id="rId13" Type="http://schemas.openxmlformats.org/officeDocument/2006/relationships/image" Target="../media/image39.png"/><Relationship Id="rId3" Type="http://schemas.openxmlformats.org/officeDocument/2006/relationships/image" Target="../media/image29.png"/><Relationship Id="rId7" Type="http://schemas.openxmlformats.org/officeDocument/2006/relationships/image" Target="../media/image33.png"/><Relationship Id="rId12" Type="http://schemas.openxmlformats.org/officeDocument/2006/relationships/image" Target="../media/image38.png"/><Relationship Id="rId2" Type="http://schemas.openxmlformats.org/officeDocument/2006/relationships/image" Target="../media/image28.png"/><Relationship Id="rId1" Type="http://schemas.openxmlformats.org/officeDocument/2006/relationships/image" Target="../media/image27.png"/><Relationship Id="rId6" Type="http://schemas.openxmlformats.org/officeDocument/2006/relationships/image" Target="../media/image32.png"/><Relationship Id="rId11" Type="http://schemas.openxmlformats.org/officeDocument/2006/relationships/image" Target="../media/image37.png"/><Relationship Id="rId5" Type="http://schemas.openxmlformats.org/officeDocument/2006/relationships/image" Target="../media/image31.png"/><Relationship Id="rId10" Type="http://schemas.openxmlformats.org/officeDocument/2006/relationships/image" Target="../media/image36.png"/><Relationship Id="rId4" Type="http://schemas.openxmlformats.org/officeDocument/2006/relationships/image" Target="../media/image30.png"/><Relationship Id="rId9" Type="http://schemas.openxmlformats.org/officeDocument/2006/relationships/image" Target="../media/image35.png"/></Relationships>
</file>

<file path=xl/drawings/_rels/drawing8.xml.rels><?xml version="1.0" encoding="UTF-8" standalone="yes"?>
<Relationships xmlns="http://schemas.openxmlformats.org/package/2006/relationships"><Relationship Id="rId3" Type="http://schemas.openxmlformats.org/officeDocument/2006/relationships/image" Target="../media/image42.png"/><Relationship Id="rId2" Type="http://schemas.openxmlformats.org/officeDocument/2006/relationships/image" Target="../media/image41.png"/><Relationship Id="rId1" Type="http://schemas.openxmlformats.org/officeDocument/2006/relationships/image" Target="../media/image40.png"/><Relationship Id="rId4" Type="http://schemas.openxmlformats.org/officeDocument/2006/relationships/image" Target="../media/image43.png"/></Relationships>
</file>

<file path=xl/drawings/_rels/drawing9.xml.rels><?xml version="1.0" encoding="UTF-8" standalone="yes"?>
<Relationships xmlns="http://schemas.openxmlformats.org/package/2006/relationships"><Relationship Id="rId8" Type="http://schemas.openxmlformats.org/officeDocument/2006/relationships/image" Target="../media/image51.png"/><Relationship Id="rId3" Type="http://schemas.openxmlformats.org/officeDocument/2006/relationships/image" Target="../media/image46.png"/><Relationship Id="rId7" Type="http://schemas.openxmlformats.org/officeDocument/2006/relationships/image" Target="../media/image50.png"/><Relationship Id="rId2" Type="http://schemas.openxmlformats.org/officeDocument/2006/relationships/image" Target="../media/image45.png"/><Relationship Id="rId1" Type="http://schemas.openxmlformats.org/officeDocument/2006/relationships/image" Target="../media/image44.png"/><Relationship Id="rId6" Type="http://schemas.openxmlformats.org/officeDocument/2006/relationships/image" Target="../media/image49.png"/><Relationship Id="rId11" Type="http://schemas.openxmlformats.org/officeDocument/2006/relationships/image" Target="../media/image54.png"/><Relationship Id="rId5" Type="http://schemas.openxmlformats.org/officeDocument/2006/relationships/image" Target="../media/image48.png"/><Relationship Id="rId10" Type="http://schemas.openxmlformats.org/officeDocument/2006/relationships/image" Target="../media/image53.png"/><Relationship Id="rId4" Type="http://schemas.openxmlformats.org/officeDocument/2006/relationships/image" Target="../media/image47.png"/><Relationship Id="rId9" Type="http://schemas.openxmlformats.org/officeDocument/2006/relationships/image" Target="../media/image52.png"/></Relationships>
</file>

<file path=xl/drawings/_rels/drawing10.xml.rels><?xml version="1.0" encoding="UTF-8" standalone="yes"?>
<Relationships xmlns="http://schemas.openxmlformats.org/package/2006/relationships"><Relationship Id="rId8" Type="http://schemas.openxmlformats.org/officeDocument/2006/relationships/image" Target="../media/image62.png"/><Relationship Id="rId13" Type="http://schemas.openxmlformats.org/officeDocument/2006/relationships/image" Target="../media/image67.png"/><Relationship Id="rId3" Type="http://schemas.openxmlformats.org/officeDocument/2006/relationships/image" Target="../media/image57.png"/><Relationship Id="rId7" Type="http://schemas.openxmlformats.org/officeDocument/2006/relationships/image" Target="../media/image61.png"/><Relationship Id="rId12" Type="http://schemas.openxmlformats.org/officeDocument/2006/relationships/image" Target="../media/image66.png"/><Relationship Id="rId2" Type="http://schemas.openxmlformats.org/officeDocument/2006/relationships/image" Target="../media/image56.png"/><Relationship Id="rId1" Type="http://schemas.openxmlformats.org/officeDocument/2006/relationships/image" Target="../media/image55.png"/><Relationship Id="rId6" Type="http://schemas.openxmlformats.org/officeDocument/2006/relationships/image" Target="../media/image60.png"/><Relationship Id="rId11" Type="http://schemas.openxmlformats.org/officeDocument/2006/relationships/image" Target="../media/image65.png"/><Relationship Id="rId5" Type="http://schemas.openxmlformats.org/officeDocument/2006/relationships/image" Target="../media/image59.png"/><Relationship Id="rId15" Type="http://schemas.openxmlformats.org/officeDocument/2006/relationships/image" Target="../media/image69.png"/><Relationship Id="rId10" Type="http://schemas.openxmlformats.org/officeDocument/2006/relationships/image" Target="../media/image64.png"/><Relationship Id="rId4" Type="http://schemas.openxmlformats.org/officeDocument/2006/relationships/image" Target="../media/image58.png"/><Relationship Id="rId9" Type="http://schemas.openxmlformats.org/officeDocument/2006/relationships/image" Target="../media/image63.png"/><Relationship Id="rId14" Type="http://schemas.openxmlformats.org/officeDocument/2006/relationships/image" Target="../media/image68.png"/></Relationships>
</file>

<file path=xl/drawings/_rels/drawing11.xml.rels><?xml version="1.0" encoding="UTF-8" standalone="yes"?>
<Relationships xmlns="http://schemas.openxmlformats.org/package/2006/relationships"><Relationship Id="rId8" Type="http://schemas.openxmlformats.org/officeDocument/2006/relationships/image" Target="../media/image77.png"/><Relationship Id="rId3" Type="http://schemas.openxmlformats.org/officeDocument/2006/relationships/image" Target="../media/image72.png"/><Relationship Id="rId7" Type="http://schemas.openxmlformats.org/officeDocument/2006/relationships/image" Target="../media/image76.png"/><Relationship Id="rId2" Type="http://schemas.openxmlformats.org/officeDocument/2006/relationships/image" Target="../media/image71.png"/><Relationship Id="rId1" Type="http://schemas.openxmlformats.org/officeDocument/2006/relationships/image" Target="../media/image70.png"/><Relationship Id="rId6" Type="http://schemas.openxmlformats.org/officeDocument/2006/relationships/image" Target="../media/image75.png"/><Relationship Id="rId5" Type="http://schemas.openxmlformats.org/officeDocument/2006/relationships/image" Target="../media/image74.png"/><Relationship Id="rId4" Type="http://schemas.openxmlformats.org/officeDocument/2006/relationships/image" Target="../media/image73.png"/><Relationship Id="rId9" Type="http://schemas.openxmlformats.org/officeDocument/2006/relationships/image" Target="../media/image78.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200025</xdr:colOff>
          <xdr:row>41</xdr:row>
          <xdr:rowOff>171450</xdr:rowOff>
        </xdr:from>
        <xdr:to>
          <xdr:col>9</xdr:col>
          <xdr:colOff>85725</xdr:colOff>
          <xdr:row>43</xdr:row>
          <xdr:rowOff>19050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161925</xdr:rowOff>
        </xdr:from>
        <xdr:to>
          <xdr:col>15</xdr:col>
          <xdr:colOff>95250</xdr:colOff>
          <xdr:row>43</xdr:row>
          <xdr:rowOff>9525</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24848</xdr:colOff>
      <xdr:row>17</xdr:row>
      <xdr:rowOff>33131</xdr:rowOff>
    </xdr:from>
    <xdr:to>
      <xdr:col>28</xdr:col>
      <xdr:colOff>132522</xdr:colOff>
      <xdr:row>22</xdr:row>
      <xdr:rowOff>164315</xdr:rowOff>
    </xdr:to>
    <xdr:pic>
      <xdr:nvPicPr>
        <xdr:cNvPr id="12" name="Picture 11">
          <a:extLst>
            <a:ext uri="{FF2B5EF4-FFF2-40B4-BE49-F238E27FC236}">
              <a16:creationId xmlns:a16="http://schemas.microsoft.com/office/drawing/2014/main" id="{BE313D38-3325-759D-1525-5CDA77CE0F9C}"/>
            </a:ext>
          </a:extLst>
        </xdr:cNvPr>
        <xdr:cNvPicPr>
          <a:picLocks noChangeAspect="1"/>
        </xdr:cNvPicPr>
      </xdr:nvPicPr>
      <xdr:blipFill>
        <a:blip xmlns:r="http://schemas.openxmlformats.org/officeDocument/2006/relationships" r:embed="rId1"/>
        <a:stretch>
          <a:fillRect/>
        </a:stretch>
      </xdr:blipFill>
      <xdr:spPr>
        <a:xfrm>
          <a:off x="438978" y="2973457"/>
          <a:ext cx="5491370" cy="1042271"/>
        </a:xfrm>
        <a:prstGeom prst="rect">
          <a:avLst/>
        </a:prstGeom>
        <a:ln>
          <a:solidFill>
            <a:sysClr val="windowText" lastClr="000000"/>
          </a:solidFill>
        </a:ln>
      </xdr:spPr>
    </xdr:pic>
    <xdr:clientData/>
  </xdr:twoCellAnchor>
  <xdr:twoCellAnchor editAs="oneCell">
    <xdr:from>
      <xdr:col>3</xdr:col>
      <xdr:colOff>33132</xdr:colOff>
      <xdr:row>65</xdr:row>
      <xdr:rowOff>33132</xdr:rowOff>
    </xdr:from>
    <xdr:to>
      <xdr:col>15</xdr:col>
      <xdr:colOff>182219</xdr:colOff>
      <xdr:row>87</xdr:row>
      <xdr:rowOff>11565</xdr:rowOff>
    </xdr:to>
    <xdr:pic>
      <xdr:nvPicPr>
        <xdr:cNvPr id="13" name="Picture 12">
          <a:extLst>
            <a:ext uri="{FF2B5EF4-FFF2-40B4-BE49-F238E27FC236}">
              <a16:creationId xmlns:a16="http://schemas.microsoft.com/office/drawing/2014/main" id="{714F5E41-F0F8-D272-4E10-73AADD48FDC6}"/>
            </a:ext>
          </a:extLst>
        </xdr:cNvPr>
        <xdr:cNvPicPr>
          <a:picLocks noChangeAspect="1"/>
        </xdr:cNvPicPr>
      </xdr:nvPicPr>
      <xdr:blipFill>
        <a:blip xmlns:r="http://schemas.openxmlformats.org/officeDocument/2006/relationships" r:embed="rId2"/>
        <a:stretch>
          <a:fillRect/>
        </a:stretch>
      </xdr:blipFill>
      <xdr:spPr>
        <a:xfrm>
          <a:off x="654328" y="11943523"/>
          <a:ext cx="2633869" cy="3987216"/>
        </a:xfrm>
        <a:prstGeom prst="rect">
          <a:avLst/>
        </a:prstGeom>
        <a:ln>
          <a:solidFill>
            <a:sysClr val="windowText" lastClr="000000"/>
          </a:solidFill>
        </a:ln>
      </xdr:spPr>
    </xdr:pic>
    <xdr:clientData/>
  </xdr:twoCellAnchor>
  <xdr:twoCellAnchor editAs="oneCell">
    <xdr:from>
      <xdr:col>18</xdr:col>
      <xdr:colOff>8283</xdr:colOff>
      <xdr:row>65</xdr:row>
      <xdr:rowOff>8283</xdr:rowOff>
    </xdr:from>
    <xdr:to>
      <xdr:col>29</xdr:col>
      <xdr:colOff>192040</xdr:colOff>
      <xdr:row>79</xdr:row>
      <xdr:rowOff>173935</xdr:rowOff>
    </xdr:to>
    <xdr:pic>
      <xdr:nvPicPr>
        <xdr:cNvPr id="14" name="Picture 13">
          <a:extLst>
            <a:ext uri="{FF2B5EF4-FFF2-40B4-BE49-F238E27FC236}">
              <a16:creationId xmlns:a16="http://schemas.microsoft.com/office/drawing/2014/main" id="{D8F71835-7EFF-5307-2037-3D245B3F179A}"/>
            </a:ext>
          </a:extLst>
        </xdr:cNvPr>
        <xdr:cNvPicPr>
          <a:picLocks noChangeAspect="1"/>
        </xdr:cNvPicPr>
      </xdr:nvPicPr>
      <xdr:blipFill>
        <a:blip xmlns:r="http://schemas.openxmlformats.org/officeDocument/2006/relationships" r:embed="rId3"/>
        <a:stretch>
          <a:fillRect/>
        </a:stretch>
      </xdr:blipFill>
      <xdr:spPr>
        <a:xfrm>
          <a:off x="3735457" y="11918674"/>
          <a:ext cx="2461474" cy="2716696"/>
        </a:xfrm>
        <a:prstGeom prst="rect">
          <a:avLst/>
        </a:prstGeom>
        <a:ln>
          <a:solidFill>
            <a:sysClr val="windowText" lastClr="000000"/>
          </a:solidFill>
        </a:ln>
      </xdr:spPr>
    </xdr:pic>
    <xdr:clientData/>
  </xdr:twoCellAnchor>
  <xdr:twoCellAnchor editAs="oneCell">
    <xdr:from>
      <xdr:col>0</xdr:col>
      <xdr:colOff>66261</xdr:colOff>
      <xdr:row>171</xdr:row>
      <xdr:rowOff>0</xdr:rowOff>
    </xdr:from>
    <xdr:to>
      <xdr:col>32</xdr:col>
      <xdr:colOff>157370</xdr:colOff>
      <xdr:row>190</xdr:row>
      <xdr:rowOff>69257</xdr:rowOff>
    </xdr:to>
    <xdr:pic>
      <xdr:nvPicPr>
        <xdr:cNvPr id="17" name="Picture 16">
          <a:extLst>
            <a:ext uri="{FF2B5EF4-FFF2-40B4-BE49-F238E27FC236}">
              <a16:creationId xmlns:a16="http://schemas.microsoft.com/office/drawing/2014/main" id="{594A154C-7D48-D2A6-C236-D26CF99D98BF}"/>
            </a:ext>
          </a:extLst>
        </xdr:cNvPr>
        <xdr:cNvPicPr>
          <a:picLocks noChangeAspect="1"/>
        </xdr:cNvPicPr>
      </xdr:nvPicPr>
      <xdr:blipFill>
        <a:blip xmlns:r="http://schemas.openxmlformats.org/officeDocument/2006/relationships" r:embed="rId4"/>
        <a:stretch>
          <a:fillRect/>
        </a:stretch>
      </xdr:blipFill>
      <xdr:spPr>
        <a:xfrm>
          <a:off x="66261" y="30927261"/>
          <a:ext cx="6717196" cy="3531387"/>
        </a:xfrm>
        <a:prstGeom prst="rect">
          <a:avLst/>
        </a:prstGeom>
        <a:ln>
          <a:solidFill>
            <a:sysClr val="windowText" lastClr="000000"/>
          </a:solidFill>
        </a:ln>
      </xdr:spPr>
    </xdr:pic>
    <xdr:clientData/>
  </xdr:twoCellAnchor>
  <xdr:twoCellAnchor editAs="oneCell">
    <xdr:from>
      <xdr:col>1</xdr:col>
      <xdr:colOff>8283</xdr:colOff>
      <xdr:row>192</xdr:row>
      <xdr:rowOff>16566</xdr:rowOff>
    </xdr:from>
    <xdr:to>
      <xdr:col>11</xdr:col>
      <xdr:colOff>157370</xdr:colOff>
      <xdr:row>211</xdr:row>
      <xdr:rowOff>121874</xdr:rowOff>
    </xdr:to>
    <xdr:pic>
      <xdr:nvPicPr>
        <xdr:cNvPr id="18" name="Picture 17">
          <a:extLst>
            <a:ext uri="{FF2B5EF4-FFF2-40B4-BE49-F238E27FC236}">
              <a16:creationId xmlns:a16="http://schemas.microsoft.com/office/drawing/2014/main" id="{F5FFC35B-E7D4-BBEA-6A34-99D4BFA33843}"/>
            </a:ext>
          </a:extLst>
        </xdr:cNvPr>
        <xdr:cNvPicPr>
          <a:picLocks noChangeAspect="1"/>
        </xdr:cNvPicPr>
      </xdr:nvPicPr>
      <xdr:blipFill>
        <a:blip xmlns:r="http://schemas.openxmlformats.org/officeDocument/2006/relationships" r:embed="rId5"/>
        <a:stretch>
          <a:fillRect/>
        </a:stretch>
      </xdr:blipFill>
      <xdr:spPr>
        <a:xfrm>
          <a:off x="215348" y="34770392"/>
          <a:ext cx="2219739" cy="3567438"/>
        </a:xfrm>
        <a:prstGeom prst="rect">
          <a:avLst/>
        </a:prstGeom>
        <a:ln>
          <a:solidFill>
            <a:sysClr val="windowText" lastClr="000000"/>
          </a:solidFill>
        </a:ln>
      </xdr:spPr>
    </xdr:pic>
    <xdr:clientData/>
  </xdr:twoCellAnchor>
  <xdr:twoCellAnchor editAs="oneCell">
    <xdr:from>
      <xdr:col>24</xdr:col>
      <xdr:colOff>24847</xdr:colOff>
      <xdr:row>192</xdr:row>
      <xdr:rowOff>8282</xdr:rowOff>
    </xdr:from>
    <xdr:to>
      <xdr:col>32</xdr:col>
      <xdr:colOff>33129</xdr:colOff>
      <xdr:row>212</xdr:row>
      <xdr:rowOff>176463</xdr:rowOff>
    </xdr:to>
    <xdr:pic>
      <xdr:nvPicPr>
        <xdr:cNvPr id="20" name="Picture 19">
          <a:extLst>
            <a:ext uri="{FF2B5EF4-FFF2-40B4-BE49-F238E27FC236}">
              <a16:creationId xmlns:a16="http://schemas.microsoft.com/office/drawing/2014/main" id="{42C80C9A-7A1A-D434-A3CE-16532B1B8955}"/>
            </a:ext>
          </a:extLst>
        </xdr:cNvPr>
        <xdr:cNvPicPr>
          <a:picLocks noChangeAspect="1"/>
        </xdr:cNvPicPr>
      </xdr:nvPicPr>
      <xdr:blipFill>
        <a:blip xmlns:r="http://schemas.openxmlformats.org/officeDocument/2006/relationships" r:embed="rId6"/>
        <a:stretch>
          <a:fillRect/>
        </a:stretch>
      </xdr:blipFill>
      <xdr:spPr>
        <a:xfrm>
          <a:off x="4994412" y="35126543"/>
          <a:ext cx="1664804" cy="3812529"/>
        </a:xfrm>
        <a:prstGeom prst="rect">
          <a:avLst/>
        </a:prstGeom>
        <a:ln>
          <a:solidFill>
            <a:sysClr val="windowText" lastClr="000000"/>
          </a:solidFill>
        </a:ln>
      </xdr:spPr>
    </xdr:pic>
    <xdr:clientData/>
  </xdr:twoCellAnchor>
  <xdr:twoCellAnchor editAs="oneCell">
    <xdr:from>
      <xdr:col>13</xdr:col>
      <xdr:colOff>132522</xdr:colOff>
      <xdr:row>192</xdr:row>
      <xdr:rowOff>1</xdr:rowOff>
    </xdr:from>
    <xdr:to>
      <xdr:col>23</xdr:col>
      <xdr:colOff>82827</xdr:colOff>
      <xdr:row>200</xdr:row>
      <xdr:rowOff>9212</xdr:rowOff>
    </xdr:to>
    <xdr:pic>
      <xdr:nvPicPr>
        <xdr:cNvPr id="21" name="Picture 20">
          <a:extLst>
            <a:ext uri="{FF2B5EF4-FFF2-40B4-BE49-F238E27FC236}">
              <a16:creationId xmlns:a16="http://schemas.microsoft.com/office/drawing/2014/main" id="{BDA63446-EF6E-9C2C-D44C-CCB4443B808C}"/>
            </a:ext>
          </a:extLst>
        </xdr:cNvPr>
        <xdr:cNvPicPr>
          <a:picLocks noChangeAspect="1"/>
        </xdr:cNvPicPr>
      </xdr:nvPicPr>
      <xdr:blipFill>
        <a:blip xmlns:r="http://schemas.openxmlformats.org/officeDocument/2006/relationships" r:embed="rId7"/>
        <a:stretch>
          <a:fillRect/>
        </a:stretch>
      </xdr:blipFill>
      <xdr:spPr>
        <a:xfrm>
          <a:off x="2824370" y="34753827"/>
          <a:ext cx="2020957" cy="1466950"/>
        </a:xfrm>
        <a:prstGeom prst="rect">
          <a:avLst/>
        </a:prstGeom>
        <a:ln>
          <a:solidFill>
            <a:sysClr val="windowText" lastClr="000000"/>
          </a:solidFill>
        </a:ln>
      </xdr:spPr>
    </xdr:pic>
    <xdr:clientData/>
  </xdr:twoCellAnchor>
  <xdr:twoCellAnchor editAs="oneCell">
    <xdr:from>
      <xdr:col>3</xdr:col>
      <xdr:colOff>33133</xdr:colOff>
      <xdr:row>95</xdr:row>
      <xdr:rowOff>24848</xdr:rowOff>
    </xdr:from>
    <xdr:to>
      <xdr:col>15</xdr:col>
      <xdr:colOff>24849</xdr:colOff>
      <xdr:row>106</xdr:row>
      <xdr:rowOff>113745</xdr:rowOff>
    </xdr:to>
    <xdr:pic>
      <xdr:nvPicPr>
        <xdr:cNvPr id="22" name="Picture 21">
          <a:extLst>
            <a:ext uri="{FF2B5EF4-FFF2-40B4-BE49-F238E27FC236}">
              <a16:creationId xmlns:a16="http://schemas.microsoft.com/office/drawing/2014/main" id="{C51AC419-01C2-663C-1DC4-1DD21144C1A3}"/>
            </a:ext>
          </a:extLst>
        </xdr:cNvPr>
        <xdr:cNvPicPr>
          <a:picLocks noChangeAspect="1"/>
        </xdr:cNvPicPr>
      </xdr:nvPicPr>
      <xdr:blipFill>
        <a:blip xmlns:r="http://schemas.openxmlformats.org/officeDocument/2006/relationships" r:embed="rId8"/>
        <a:stretch>
          <a:fillRect/>
        </a:stretch>
      </xdr:blipFill>
      <xdr:spPr>
        <a:xfrm>
          <a:off x="654329" y="17401761"/>
          <a:ext cx="2476498" cy="2093288"/>
        </a:xfrm>
        <a:prstGeom prst="rect">
          <a:avLst/>
        </a:prstGeom>
        <a:ln>
          <a:solidFill>
            <a:sysClr val="windowText" lastClr="000000"/>
          </a:solidFill>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200025</xdr:colOff>
          <xdr:row>41</xdr:row>
          <xdr:rowOff>171450</xdr:rowOff>
        </xdr:from>
        <xdr:to>
          <xdr:col>9</xdr:col>
          <xdr:colOff>85725</xdr:colOff>
          <xdr:row>43</xdr:row>
          <xdr:rowOff>19050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161925</xdr:rowOff>
        </xdr:from>
        <xdr:to>
          <xdr:col>15</xdr:col>
          <xdr:colOff>95250</xdr:colOff>
          <xdr:row>43</xdr:row>
          <xdr:rowOff>9525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190500</xdr:colOff>
      <xdr:row>178</xdr:row>
      <xdr:rowOff>178593</xdr:rowOff>
    </xdr:from>
    <xdr:to>
      <xdr:col>21</xdr:col>
      <xdr:colOff>53578</xdr:colOff>
      <xdr:row>194</xdr:row>
      <xdr:rowOff>52728</xdr:rowOff>
    </xdr:to>
    <xdr:pic>
      <xdr:nvPicPr>
        <xdr:cNvPr id="4" name="Picture 3">
          <a:extLst>
            <a:ext uri="{FF2B5EF4-FFF2-40B4-BE49-F238E27FC236}">
              <a16:creationId xmlns:a16="http://schemas.microsoft.com/office/drawing/2014/main" id="{C9E22D2A-8784-E391-099B-06205EA6A887}"/>
            </a:ext>
          </a:extLst>
        </xdr:cNvPr>
        <xdr:cNvPicPr>
          <a:picLocks noChangeAspect="1"/>
        </xdr:cNvPicPr>
      </xdr:nvPicPr>
      <xdr:blipFill>
        <a:blip xmlns:r="http://schemas.openxmlformats.org/officeDocument/2006/relationships" r:embed="rId1"/>
        <a:stretch>
          <a:fillRect/>
        </a:stretch>
      </xdr:blipFill>
      <xdr:spPr>
        <a:xfrm>
          <a:off x="815578" y="32075437"/>
          <a:ext cx="3613547" cy="2731635"/>
        </a:xfrm>
        <a:prstGeom prst="rect">
          <a:avLst/>
        </a:prstGeom>
        <a:ln>
          <a:solidFill>
            <a:sysClr val="windowText" lastClr="000000"/>
          </a:solidFill>
        </a:ln>
      </xdr:spPr>
    </xdr:pic>
    <xdr:clientData/>
  </xdr:twoCellAnchor>
  <xdr:twoCellAnchor editAs="oneCell">
    <xdr:from>
      <xdr:col>3</xdr:col>
      <xdr:colOff>8333</xdr:colOff>
      <xdr:row>159</xdr:row>
      <xdr:rowOff>8333</xdr:rowOff>
    </xdr:from>
    <xdr:to>
      <xdr:col>31</xdr:col>
      <xdr:colOff>149576</xdr:colOff>
      <xdr:row>172</xdr:row>
      <xdr:rowOff>17860</xdr:rowOff>
    </xdr:to>
    <xdr:pic>
      <xdr:nvPicPr>
        <xdr:cNvPr id="43" name="Picture 42">
          <a:extLst>
            <a:ext uri="{FF2B5EF4-FFF2-40B4-BE49-F238E27FC236}">
              <a16:creationId xmlns:a16="http://schemas.microsoft.com/office/drawing/2014/main" id="{9B41BF3B-603C-3712-278B-A787FBA5AE3D}"/>
            </a:ext>
          </a:extLst>
        </xdr:cNvPr>
        <xdr:cNvPicPr>
          <a:picLocks noChangeAspect="1"/>
        </xdr:cNvPicPr>
      </xdr:nvPicPr>
      <xdr:blipFill>
        <a:blip xmlns:r="http://schemas.openxmlformats.org/officeDocument/2006/relationships" r:embed="rId2"/>
        <a:stretch>
          <a:fillRect/>
        </a:stretch>
      </xdr:blipFill>
      <xdr:spPr>
        <a:xfrm>
          <a:off x="645775" y="29191468"/>
          <a:ext cx="6090705" cy="2390777"/>
        </a:xfrm>
        <a:prstGeom prst="rect">
          <a:avLst/>
        </a:prstGeom>
        <a:ln>
          <a:solidFill>
            <a:sysClr val="windowText" lastClr="000000"/>
          </a:solidFill>
        </a:ln>
      </xdr:spPr>
    </xdr:pic>
    <xdr:clientData/>
  </xdr:twoCellAnchor>
  <xdr:twoCellAnchor editAs="oneCell">
    <xdr:from>
      <xdr:col>4</xdr:col>
      <xdr:colOff>28576</xdr:colOff>
      <xdr:row>108</xdr:row>
      <xdr:rowOff>164301</xdr:rowOff>
    </xdr:from>
    <xdr:to>
      <xdr:col>25</xdr:col>
      <xdr:colOff>28576</xdr:colOff>
      <xdr:row>125</xdr:row>
      <xdr:rowOff>69040</xdr:rowOff>
    </xdr:to>
    <xdr:pic>
      <xdr:nvPicPr>
        <xdr:cNvPr id="33" name="Picture 32">
          <a:extLst>
            <a:ext uri="{FF2B5EF4-FFF2-40B4-BE49-F238E27FC236}">
              <a16:creationId xmlns:a16="http://schemas.microsoft.com/office/drawing/2014/main" id="{4DEB371D-C82C-E17C-B4CF-FA1F963E5623}"/>
            </a:ext>
          </a:extLst>
        </xdr:cNvPr>
        <xdr:cNvPicPr>
          <a:picLocks noChangeAspect="1"/>
        </xdr:cNvPicPr>
      </xdr:nvPicPr>
      <xdr:blipFill>
        <a:blip xmlns:r="http://schemas.openxmlformats.org/officeDocument/2006/relationships" r:embed="rId3"/>
        <a:stretch>
          <a:fillRect/>
        </a:stretch>
      </xdr:blipFill>
      <xdr:spPr>
        <a:xfrm>
          <a:off x="866776" y="19776276"/>
          <a:ext cx="4400550" cy="2981315"/>
        </a:xfrm>
        <a:prstGeom prst="rect">
          <a:avLst/>
        </a:prstGeom>
        <a:ln>
          <a:solidFill>
            <a:sysClr val="windowText" lastClr="000000"/>
          </a:solidFill>
        </a:ln>
      </xdr:spPr>
    </xdr:pic>
    <xdr:clientData/>
  </xdr:twoCellAnchor>
  <xdr:twoCellAnchor editAs="oneCell">
    <xdr:from>
      <xdr:col>0</xdr:col>
      <xdr:colOff>190499</xdr:colOff>
      <xdr:row>55</xdr:row>
      <xdr:rowOff>5953</xdr:rowOff>
    </xdr:from>
    <xdr:to>
      <xdr:col>31</xdr:col>
      <xdr:colOff>148828</xdr:colOff>
      <xdr:row>70</xdr:row>
      <xdr:rowOff>55652</xdr:rowOff>
    </xdr:to>
    <xdr:pic>
      <xdr:nvPicPr>
        <xdr:cNvPr id="3" name="Picture 2">
          <a:extLst>
            <a:ext uri="{FF2B5EF4-FFF2-40B4-BE49-F238E27FC236}">
              <a16:creationId xmlns:a16="http://schemas.microsoft.com/office/drawing/2014/main" id="{E2BCAE21-334A-0E94-63C3-35AAE0DDDDBC}"/>
            </a:ext>
          </a:extLst>
        </xdr:cNvPr>
        <xdr:cNvPicPr>
          <a:picLocks noChangeAspect="1"/>
        </xdr:cNvPicPr>
      </xdr:nvPicPr>
      <xdr:blipFill>
        <a:blip xmlns:r="http://schemas.openxmlformats.org/officeDocument/2006/relationships" r:embed="rId4"/>
        <a:stretch>
          <a:fillRect/>
        </a:stretch>
      </xdr:blipFill>
      <xdr:spPr>
        <a:xfrm>
          <a:off x="190499" y="9852422"/>
          <a:ext cx="6417470" cy="2728605"/>
        </a:xfrm>
        <a:prstGeom prst="rect">
          <a:avLst/>
        </a:prstGeom>
        <a:ln>
          <a:solidFill>
            <a:sysClr val="windowText" lastClr="000000"/>
          </a:solidFill>
        </a:ln>
      </xdr:spPr>
    </xdr:pic>
    <xdr:clientData/>
  </xdr:twoCellAnchor>
  <xdr:twoCellAnchor editAs="oneCell">
    <xdr:from>
      <xdr:col>7</xdr:col>
      <xdr:colOff>140803</xdr:colOff>
      <xdr:row>69</xdr:row>
      <xdr:rowOff>140805</xdr:rowOff>
    </xdr:from>
    <xdr:to>
      <xdr:col>25</xdr:col>
      <xdr:colOff>157369</xdr:colOff>
      <xdr:row>86</xdr:row>
      <xdr:rowOff>176214</xdr:rowOff>
    </xdr:to>
    <xdr:pic>
      <xdr:nvPicPr>
        <xdr:cNvPr id="10" name="Picture 9">
          <a:extLst>
            <a:ext uri="{FF2B5EF4-FFF2-40B4-BE49-F238E27FC236}">
              <a16:creationId xmlns:a16="http://schemas.microsoft.com/office/drawing/2014/main" id="{DA622455-C998-5940-BC0E-0F87E3BC9F98}"/>
            </a:ext>
          </a:extLst>
        </xdr:cNvPr>
        <xdr:cNvPicPr>
          <a:picLocks noChangeAspect="1"/>
        </xdr:cNvPicPr>
      </xdr:nvPicPr>
      <xdr:blipFill>
        <a:blip xmlns:r="http://schemas.openxmlformats.org/officeDocument/2006/relationships" r:embed="rId5"/>
        <a:stretch>
          <a:fillRect/>
        </a:stretch>
      </xdr:blipFill>
      <xdr:spPr>
        <a:xfrm>
          <a:off x="1590260" y="12730370"/>
          <a:ext cx="3743739" cy="3141386"/>
        </a:xfrm>
        <a:prstGeom prst="rect">
          <a:avLst/>
        </a:prstGeom>
        <a:ln w="12700">
          <a:solidFill>
            <a:srgbClr val="FF0000"/>
          </a:solidFill>
        </a:ln>
      </xdr:spPr>
    </xdr:pic>
    <xdr:clientData/>
  </xdr:twoCellAnchor>
  <xdr:twoCellAnchor>
    <xdr:from>
      <xdr:col>24</xdr:col>
      <xdr:colOff>190500</xdr:colOff>
      <xdr:row>58</xdr:row>
      <xdr:rowOff>162127</xdr:rowOff>
    </xdr:from>
    <xdr:to>
      <xdr:col>30</xdr:col>
      <xdr:colOff>40532</xdr:colOff>
      <xdr:row>62</xdr:row>
      <xdr:rowOff>166181</xdr:rowOff>
    </xdr:to>
    <xdr:sp macro="" textlink="">
      <xdr:nvSpPr>
        <xdr:cNvPr id="7" name="Rectangle 6">
          <a:extLst>
            <a:ext uri="{FF2B5EF4-FFF2-40B4-BE49-F238E27FC236}">
              <a16:creationId xmlns:a16="http://schemas.microsoft.com/office/drawing/2014/main" id="{1D08C642-6576-9321-34FA-49EEE4107154}"/>
            </a:ext>
          </a:extLst>
        </xdr:cNvPr>
        <xdr:cNvSpPr/>
      </xdr:nvSpPr>
      <xdr:spPr>
        <a:xfrm>
          <a:off x="5248883" y="11121957"/>
          <a:ext cx="1114628" cy="733628"/>
        </a:xfrm>
        <a:prstGeom prst="rect">
          <a:avLst/>
        </a:prstGeom>
        <a:solidFill>
          <a:srgbClr val="FFFF99">
            <a:alpha val="30196"/>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140804</xdr:colOff>
      <xdr:row>58</xdr:row>
      <xdr:rowOff>163286</xdr:rowOff>
    </xdr:from>
    <xdr:to>
      <xdr:col>24</xdr:col>
      <xdr:colOff>197304</xdr:colOff>
      <xdr:row>69</xdr:row>
      <xdr:rowOff>124239</xdr:rowOff>
    </xdr:to>
    <xdr:cxnSp macro="">
      <xdr:nvCxnSpPr>
        <xdr:cNvPr id="9" name="Straight Connector 8">
          <a:extLst>
            <a:ext uri="{FF2B5EF4-FFF2-40B4-BE49-F238E27FC236}">
              <a16:creationId xmlns:a16="http://schemas.microsoft.com/office/drawing/2014/main" id="{5309ECCC-E1BE-DB52-F869-AB67ED13E8B7}"/>
            </a:ext>
          </a:extLst>
        </xdr:cNvPr>
        <xdr:cNvCxnSpPr/>
      </xdr:nvCxnSpPr>
      <xdr:spPr>
        <a:xfrm flipH="1">
          <a:off x="1590261" y="10748460"/>
          <a:ext cx="3576608" cy="1965344"/>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173935</xdr:colOff>
      <xdr:row>62</xdr:row>
      <xdr:rowOff>145241</xdr:rowOff>
    </xdr:from>
    <xdr:to>
      <xdr:col>30</xdr:col>
      <xdr:colOff>69072</xdr:colOff>
      <xdr:row>87</xdr:row>
      <xdr:rowOff>8282</xdr:rowOff>
    </xdr:to>
    <xdr:cxnSp macro="">
      <xdr:nvCxnSpPr>
        <xdr:cNvPr id="11" name="Straight Connector 10">
          <a:extLst>
            <a:ext uri="{FF2B5EF4-FFF2-40B4-BE49-F238E27FC236}">
              <a16:creationId xmlns:a16="http://schemas.microsoft.com/office/drawing/2014/main" id="{EEA0EFCB-6253-4FA1-A5B8-711549D93BA8}"/>
            </a:ext>
          </a:extLst>
        </xdr:cNvPr>
        <xdr:cNvCxnSpPr/>
      </xdr:nvCxnSpPr>
      <xdr:spPr>
        <a:xfrm flipH="1">
          <a:off x="5350565" y="11459284"/>
          <a:ext cx="930464" cy="4426759"/>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168125</xdr:colOff>
      <xdr:row>84</xdr:row>
      <xdr:rowOff>132522</xdr:rowOff>
    </xdr:from>
    <xdr:to>
      <xdr:col>15</xdr:col>
      <xdr:colOff>198781</xdr:colOff>
      <xdr:row>86</xdr:row>
      <xdr:rowOff>156752</xdr:rowOff>
    </xdr:to>
    <xdr:sp macro="" textlink="">
      <xdr:nvSpPr>
        <xdr:cNvPr id="18" name="TextBox 17">
          <a:extLst>
            <a:ext uri="{FF2B5EF4-FFF2-40B4-BE49-F238E27FC236}">
              <a16:creationId xmlns:a16="http://schemas.microsoft.com/office/drawing/2014/main" id="{52B93696-E3FB-4530-BF3C-DE8C32FED744}"/>
            </a:ext>
          </a:extLst>
        </xdr:cNvPr>
        <xdr:cNvSpPr txBox="1"/>
      </xdr:nvSpPr>
      <xdr:spPr>
        <a:xfrm>
          <a:off x="1617582" y="15463631"/>
          <a:ext cx="1687177" cy="388664"/>
        </a:xfrm>
        <a:prstGeom prst="rect">
          <a:avLst/>
        </a:prstGeom>
        <a:solidFill>
          <a:srgbClr val="FFFFE7"/>
        </a:solidFill>
        <a:ln w="127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 tIns="18288" rIns="18288" bIns="18288" rtlCol="0" anchor="t"/>
        <a:lstStyle/>
        <a:p>
          <a:pPr algn="ctr"/>
          <a:r>
            <a:rPr lang="en-US" sz="1000">
              <a:solidFill>
                <a:srgbClr val="FF0000"/>
              </a:solidFill>
            </a:rPr>
            <a:t>Scope:</a:t>
          </a:r>
          <a:r>
            <a:rPr lang="en-US" sz="1000" baseline="0">
              <a:solidFill>
                <a:srgbClr val="FF0000"/>
              </a:solidFill>
            </a:rPr>
            <a:t> PM-6008 &amp; PM-6009  FDN Design</a:t>
          </a:r>
          <a:endParaRPr lang="en-US" sz="1000">
            <a:solidFill>
              <a:srgbClr val="FF0000"/>
            </a:solidFill>
          </a:endParaRPr>
        </a:p>
      </xdr:txBody>
    </xdr:sp>
    <xdr:clientData/>
  </xdr:twoCellAnchor>
  <xdr:twoCellAnchor editAs="oneCell">
    <xdr:from>
      <xdr:col>0</xdr:col>
      <xdr:colOff>187536</xdr:colOff>
      <xdr:row>65</xdr:row>
      <xdr:rowOff>83478</xdr:rowOff>
    </xdr:from>
    <xdr:to>
      <xdr:col>2</xdr:col>
      <xdr:colOff>69806</xdr:colOff>
      <xdr:row>70</xdr:row>
      <xdr:rowOff>54902</xdr:rowOff>
    </xdr:to>
    <xdr:pic>
      <xdr:nvPicPr>
        <xdr:cNvPr id="19" name="Picture 18">
          <a:extLst>
            <a:ext uri="{FF2B5EF4-FFF2-40B4-BE49-F238E27FC236}">
              <a16:creationId xmlns:a16="http://schemas.microsoft.com/office/drawing/2014/main" id="{88CDD969-AA12-4C68-72A4-22BB862AADC8}"/>
            </a:ext>
          </a:extLst>
        </xdr:cNvPr>
        <xdr:cNvPicPr>
          <a:picLocks noChangeAspect="1"/>
        </xdr:cNvPicPr>
      </xdr:nvPicPr>
      <xdr:blipFill>
        <a:blip xmlns:r="http://schemas.openxmlformats.org/officeDocument/2006/relationships" r:embed="rId6"/>
        <a:stretch>
          <a:fillRect/>
        </a:stretch>
      </xdr:blipFill>
      <xdr:spPr>
        <a:xfrm>
          <a:off x="187536" y="11715884"/>
          <a:ext cx="298989" cy="864393"/>
        </a:xfrm>
        <a:prstGeom prst="rect">
          <a:avLst/>
        </a:prstGeom>
        <a:ln>
          <a:solidFill>
            <a:sysClr val="windowText" lastClr="000000"/>
          </a:solidFill>
        </a:ln>
      </xdr:spPr>
    </xdr:pic>
    <xdr:clientData/>
  </xdr:twoCellAnchor>
  <xdr:twoCellAnchor>
    <xdr:from>
      <xdr:col>5</xdr:col>
      <xdr:colOff>47625</xdr:colOff>
      <xdr:row>123</xdr:row>
      <xdr:rowOff>84675</xdr:rowOff>
    </xdr:from>
    <xdr:to>
      <xdr:col>6</xdr:col>
      <xdr:colOff>85802</xdr:colOff>
      <xdr:row>124</xdr:row>
      <xdr:rowOff>49282</xdr:rowOff>
    </xdr:to>
    <xdr:cxnSp macro="">
      <xdr:nvCxnSpPr>
        <xdr:cNvPr id="21" name="Straight Arrow Connector 20">
          <a:extLst>
            <a:ext uri="{FF2B5EF4-FFF2-40B4-BE49-F238E27FC236}">
              <a16:creationId xmlns:a16="http://schemas.microsoft.com/office/drawing/2014/main" id="{926828D3-3BD0-4750-905B-539AA3032098}"/>
            </a:ext>
          </a:extLst>
        </xdr:cNvPr>
        <xdr:cNvCxnSpPr/>
      </xdr:nvCxnSpPr>
      <xdr:spPr>
        <a:xfrm flipV="1">
          <a:off x="1095375" y="22411275"/>
          <a:ext cx="247727" cy="145582"/>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55907</xdr:colOff>
      <xdr:row>122</xdr:row>
      <xdr:rowOff>32718</xdr:rowOff>
    </xdr:from>
    <xdr:to>
      <xdr:col>7</xdr:col>
      <xdr:colOff>138349</xdr:colOff>
      <xdr:row>123</xdr:row>
      <xdr:rowOff>88337</xdr:rowOff>
    </xdr:to>
    <xdr:sp macro="" textlink="">
      <xdr:nvSpPr>
        <xdr:cNvPr id="22" name="TextBox 21">
          <a:extLst>
            <a:ext uri="{FF2B5EF4-FFF2-40B4-BE49-F238E27FC236}">
              <a16:creationId xmlns:a16="http://schemas.microsoft.com/office/drawing/2014/main" id="{00092D05-5780-4ABD-840B-E640796B1A6C}"/>
            </a:ext>
          </a:extLst>
        </xdr:cNvPr>
        <xdr:cNvSpPr txBox="1"/>
      </xdr:nvSpPr>
      <xdr:spPr>
        <a:xfrm>
          <a:off x="894107" y="22178343"/>
          <a:ext cx="711092" cy="236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North</a:t>
          </a:r>
        </a:p>
      </xdr:txBody>
    </xdr:sp>
    <xdr:clientData/>
  </xdr:twoCellAnchor>
  <xdr:twoCellAnchor>
    <xdr:from>
      <xdr:col>24</xdr:col>
      <xdr:colOff>24222</xdr:colOff>
      <xdr:row>162</xdr:row>
      <xdr:rowOff>90682</xdr:rowOff>
    </xdr:from>
    <xdr:to>
      <xdr:col>27</xdr:col>
      <xdr:colOff>13213</xdr:colOff>
      <xdr:row>163</xdr:row>
      <xdr:rowOff>58915</xdr:rowOff>
    </xdr:to>
    <xdr:sp macro="" textlink="">
      <xdr:nvSpPr>
        <xdr:cNvPr id="27" name="TextBox 26">
          <a:extLst>
            <a:ext uri="{FF2B5EF4-FFF2-40B4-BE49-F238E27FC236}">
              <a16:creationId xmlns:a16="http://schemas.microsoft.com/office/drawing/2014/main" id="{3F82B44A-A107-4BD6-97A8-28A5F1054EF7}"/>
            </a:ext>
          </a:extLst>
        </xdr:cNvPr>
        <xdr:cNvSpPr txBox="1"/>
      </xdr:nvSpPr>
      <xdr:spPr>
        <a:xfrm>
          <a:off x="5123760" y="29823336"/>
          <a:ext cx="626434" cy="151406"/>
        </a:xfrm>
        <a:prstGeom prst="rect">
          <a:avLst/>
        </a:prstGeom>
        <a:solidFill>
          <a:schemeClr val="lt1"/>
        </a:solidFill>
        <a:ln w="127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ctr"/>
        <a:lstStyle/>
        <a:p>
          <a:pPr algn="ctr"/>
          <a:r>
            <a:rPr lang="en-US" sz="900">
              <a:solidFill>
                <a:srgbClr val="FF0000"/>
              </a:solidFill>
            </a:rPr>
            <a:t>PM-6009</a:t>
          </a:r>
        </a:p>
      </xdr:txBody>
    </xdr:sp>
    <xdr:clientData/>
  </xdr:twoCellAnchor>
  <xdr:twoCellAnchor>
    <xdr:from>
      <xdr:col>28</xdr:col>
      <xdr:colOff>117960</xdr:colOff>
      <xdr:row>162</xdr:row>
      <xdr:rowOff>87409</xdr:rowOff>
    </xdr:from>
    <xdr:to>
      <xdr:col>31</xdr:col>
      <xdr:colOff>93943</xdr:colOff>
      <xdr:row>163</xdr:row>
      <xdr:rowOff>59360</xdr:rowOff>
    </xdr:to>
    <xdr:sp macro="" textlink="">
      <xdr:nvSpPr>
        <xdr:cNvPr id="28" name="TextBox 27">
          <a:extLst>
            <a:ext uri="{FF2B5EF4-FFF2-40B4-BE49-F238E27FC236}">
              <a16:creationId xmlns:a16="http://schemas.microsoft.com/office/drawing/2014/main" id="{08379AD4-7573-4F24-B3A2-EF9178706AD3}"/>
            </a:ext>
          </a:extLst>
        </xdr:cNvPr>
        <xdr:cNvSpPr txBox="1"/>
      </xdr:nvSpPr>
      <xdr:spPr>
        <a:xfrm>
          <a:off x="5952023" y="29114847"/>
          <a:ext cx="601061" cy="150544"/>
        </a:xfrm>
        <a:prstGeom prst="rect">
          <a:avLst/>
        </a:prstGeom>
        <a:solidFill>
          <a:schemeClr val="lt1"/>
        </a:solidFill>
        <a:ln w="127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ctr"/>
        <a:lstStyle/>
        <a:p>
          <a:pPr algn="ctr"/>
          <a:r>
            <a:rPr lang="en-US" sz="900">
              <a:solidFill>
                <a:srgbClr val="FF0000"/>
              </a:solidFill>
            </a:rPr>
            <a:t>PM-6008</a:t>
          </a:r>
        </a:p>
      </xdr:txBody>
    </xdr:sp>
    <xdr:clientData/>
  </xdr:twoCellAnchor>
  <xdr:twoCellAnchor>
    <xdr:from>
      <xdr:col>3</xdr:col>
      <xdr:colOff>89591</xdr:colOff>
      <xdr:row>159</xdr:row>
      <xdr:rowOff>163982</xdr:rowOff>
    </xdr:from>
    <xdr:to>
      <xdr:col>3</xdr:col>
      <xdr:colOff>89591</xdr:colOff>
      <xdr:row>161</xdr:row>
      <xdr:rowOff>11192</xdr:rowOff>
    </xdr:to>
    <xdr:cxnSp macro="">
      <xdr:nvCxnSpPr>
        <xdr:cNvPr id="29" name="Straight Arrow Connector 28">
          <a:extLst>
            <a:ext uri="{FF2B5EF4-FFF2-40B4-BE49-F238E27FC236}">
              <a16:creationId xmlns:a16="http://schemas.microsoft.com/office/drawing/2014/main" id="{735AC7B7-C480-4FE3-BB34-E8B0F5056470}"/>
            </a:ext>
          </a:extLst>
        </xdr:cNvPr>
        <xdr:cNvCxnSpPr/>
      </xdr:nvCxnSpPr>
      <xdr:spPr>
        <a:xfrm flipV="1">
          <a:off x="714669" y="28655638"/>
          <a:ext cx="0" cy="204398"/>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28606</xdr:colOff>
      <xdr:row>158</xdr:row>
      <xdr:rowOff>165143</xdr:rowOff>
    </xdr:from>
    <xdr:to>
      <xdr:col>6</xdr:col>
      <xdr:colOff>111046</xdr:colOff>
      <xdr:row>160</xdr:row>
      <xdr:rowOff>39555</xdr:rowOff>
    </xdr:to>
    <xdr:sp macro="" textlink="">
      <xdr:nvSpPr>
        <xdr:cNvPr id="32" name="TextBox 31">
          <a:extLst>
            <a:ext uri="{FF2B5EF4-FFF2-40B4-BE49-F238E27FC236}">
              <a16:creationId xmlns:a16="http://schemas.microsoft.com/office/drawing/2014/main" id="{C83152AF-2F16-4E11-942C-0BA994E59163}"/>
            </a:ext>
          </a:extLst>
        </xdr:cNvPr>
        <xdr:cNvSpPr txBox="1"/>
      </xdr:nvSpPr>
      <xdr:spPr>
        <a:xfrm>
          <a:off x="653684" y="28478206"/>
          <a:ext cx="707518" cy="231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North</a:t>
          </a:r>
        </a:p>
      </xdr:txBody>
    </xdr:sp>
    <xdr:clientData/>
  </xdr:twoCellAnchor>
  <xdr:twoCellAnchor>
    <xdr:from>
      <xdr:col>13</xdr:col>
      <xdr:colOff>89297</xdr:colOff>
      <xdr:row>180</xdr:row>
      <xdr:rowOff>77391</xdr:rowOff>
    </xdr:from>
    <xdr:to>
      <xdr:col>15</xdr:col>
      <xdr:colOff>2330</xdr:colOff>
      <xdr:row>181</xdr:row>
      <xdr:rowOff>40896</xdr:rowOff>
    </xdr:to>
    <xdr:cxnSp macro="">
      <xdr:nvCxnSpPr>
        <xdr:cNvPr id="35" name="Straight Arrow Connector 34">
          <a:extLst>
            <a:ext uri="{FF2B5EF4-FFF2-40B4-BE49-F238E27FC236}">
              <a16:creationId xmlns:a16="http://schemas.microsoft.com/office/drawing/2014/main" id="{376184DE-A7C1-4DC9-9DC1-9989A45FC811}"/>
            </a:ext>
          </a:extLst>
        </xdr:cNvPr>
        <xdr:cNvCxnSpPr/>
      </xdr:nvCxnSpPr>
      <xdr:spPr>
        <a:xfrm flipH="1" flipV="1">
          <a:off x="2797969" y="32331422"/>
          <a:ext cx="329752" cy="142099"/>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54354</xdr:colOff>
      <xdr:row>179</xdr:row>
      <xdr:rowOff>3882</xdr:rowOff>
    </xdr:from>
    <xdr:to>
      <xdr:col>15</xdr:col>
      <xdr:colOff>136796</xdr:colOff>
      <xdr:row>180</xdr:row>
      <xdr:rowOff>55879</xdr:rowOff>
    </xdr:to>
    <xdr:sp macro="" textlink="">
      <xdr:nvSpPr>
        <xdr:cNvPr id="36" name="TextBox 35">
          <a:extLst>
            <a:ext uri="{FF2B5EF4-FFF2-40B4-BE49-F238E27FC236}">
              <a16:creationId xmlns:a16="http://schemas.microsoft.com/office/drawing/2014/main" id="{9B8677CD-E029-479E-941A-B8953B9DEDAF}"/>
            </a:ext>
          </a:extLst>
        </xdr:cNvPr>
        <xdr:cNvSpPr txBox="1"/>
      </xdr:nvSpPr>
      <xdr:spPr>
        <a:xfrm>
          <a:off x="2554667" y="32079320"/>
          <a:ext cx="707520" cy="230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North</a:t>
          </a:r>
        </a:p>
      </xdr:txBody>
    </xdr:sp>
    <xdr:clientData/>
  </xdr:twoCellAnchor>
  <xdr:twoCellAnchor>
    <xdr:from>
      <xdr:col>20</xdr:col>
      <xdr:colOff>188844</xdr:colOff>
      <xdr:row>70</xdr:row>
      <xdr:rowOff>10373</xdr:rowOff>
    </xdr:from>
    <xdr:to>
      <xdr:col>25</xdr:col>
      <xdr:colOff>0</xdr:colOff>
      <xdr:row>81</xdr:row>
      <xdr:rowOff>134177</xdr:rowOff>
    </xdr:to>
    <xdr:sp macro="" textlink="">
      <xdr:nvSpPr>
        <xdr:cNvPr id="31" name="Rectangle 30">
          <a:extLst>
            <a:ext uri="{FF2B5EF4-FFF2-40B4-BE49-F238E27FC236}">
              <a16:creationId xmlns:a16="http://schemas.microsoft.com/office/drawing/2014/main" id="{68A7B533-A48B-4F10-966B-E8BFB622A6D7}"/>
            </a:ext>
          </a:extLst>
        </xdr:cNvPr>
        <xdr:cNvSpPr/>
      </xdr:nvSpPr>
      <xdr:spPr>
        <a:xfrm>
          <a:off x="4330148" y="12782156"/>
          <a:ext cx="846482" cy="2128195"/>
        </a:xfrm>
        <a:prstGeom prst="rect">
          <a:avLst/>
        </a:prstGeom>
        <a:solidFill>
          <a:srgbClr val="FFFF99">
            <a:alpha val="30196"/>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19050</xdr:colOff>
      <xdr:row>132</xdr:row>
      <xdr:rowOff>22026</xdr:rowOff>
    </xdr:from>
    <xdr:to>
      <xdr:col>30</xdr:col>
      <xdr:colOff>180975</xdr:colOff>
      <xdr:row>149</xdr:row>
      <xdr:rowOff>77073</xdr:rowOff>
    </xdr:to>
    <xdr:pic>
      <xdr:nvPicPr>
        <xdr:cNvPr id="37" name="Picture 36">
          <a:extLst>
            <a:ext uri="{FF2B5EF4-FFF2-40B4-BE49-F238E27FC236}">
              <a16:creationId xmlns:a16="http://schemas.microsoft.com/office/drawing/2014/main" id="{18A94A64-C34F-2FAB-4E9E-4B2C65E9598B}"/>
            </a:ext>
          </a:extLst>
        </xdr:cNvPr>
        <xdr:cNvPicPr>
          <a:picLocks noChangeAspect="1"/>
        </xdr:cNvPicPr>
      </xdr:nvPicPr>
      <xdr:blipFill>
        <a:blip xmlns:r="http://schemas.openxmlformats.org/officeDocument/2006/relationships" r:embed="rId7"/>
        <a:stretch>
          <a:fillRect/>
        </a:stretch>
      </xdr:blipFill>
      <xdr:spPr>
        <a:xfrm>
          <a:off x="857250" y="23977401"/>
          <a:ext cx="5610225" cy="3131621"/>
        </a:xfrm>
        <a:prstGeom prst="rect">
          <a:avLst/>
        </a:prstGeom>
        <a:ln>
          <a:solidFill>
            <a:sysClr val="windowText" lastClr="000000"/>
          </a:solidFill>
        </a:ln>
      </xdr:spPr>
    </xdr:pic>
    <xdr:clientData/>
  </xdr:twoCellAnchor>
  <xdr:twoCellAnchor>
    <xdr:from>
      <xdr:col>5</xdr:col>
      <xdr:colOff>39343</xdr:colOff>
      <xdr:row>147</xdr:row>
      <xdr:rowOff>166257</xdr:rowOff>
    </xdr:from>
    <xdr:to>
      <xdr:col>6</xdr:col>
      <xdr:colOff>77520</xdr:colOff>
      <xdr:row>148</xdr:row>
      <xdr:rowOff>130864</xdr:rowOff>
    </xdr:to>
    <xdr:cxnSp macro="">
      <xdr:nvCxnSpPr>
        <xdr:cNvPr id="38" name="Straight Arrow Connector 37">
          <a:extLst>
            <a:ext uri="{FF2B5EF4-FFF2-40B4-BE49-F238E27FC236}">
              <a16:creationId xmlns:a16="http://schemas.microsoft.com/office/drawing/2014/main" id="{623232F1-D324-448B-9C8C-0750C690534C}"/>
            </a:ext>
          </a:extLst>
        </xdr:cNvPr>
        <xdr:cNvCxnSpPr/>
      </xdr:nvCxnSpPr>
      <xdr:spPr>
        <a:xfrm flipV="1">
          <a:off x="1087093" y="26836257"/>
          <a:ext cx="247727" cy="145582"/>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47625</xdr:colOff>
      <xdr:row>146</xdr:row>
      <xdr:rowOff>114300</xdr:rowOff>
    </xdr:from>
    <xdr:to>
      <xdr:col>7</xdr:col>
      <xdr:colOff>130067</xdr:colOff>
      <xdr:row>147</xdr:row>
      <xdr:rowOff>169919</xdr:rowOff>
    </xdr:to>
    <xdr:sp macro="" textlink="">
      <xdr:nvSpPr>
        <xdr:cNvPr id="42" name="TextBox 41">
          <a:extLst>
            <a:ext uri="{FF2B5EF4-FFF2-40B4-BE49-F238E27FC236}">
              <a16:creationId xmlns:a16="http://schemas.microsoft.com/office/drawing/2014/main" id="{D9B9D446-FCE3-44E6-8CF9-B0CD54F28B12}"/>
            </a:ext>
          </a:extLst>
        </xdr:cNvPr>
        <xdr:cNvSpPr txBox="1"/>
      </xdr:nvSpPr>
      <xdr:spPr>
        <a:xfrm>
          <a:off x="885825" y="26603325"/>
          <a:ext cx="711092" cy="236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North</a:t>
          </a:r>
        </a:p>
      </xdr:txBody>
    </xdr:sp>
    <xdr:clientData/>
  </xdr:twoCellAnchor>
  <xdr:twoCellAnchor editAs="oneCell">
    <xdr:from>
      <xdr:col>3</xdr:col>
      <xdr:colOff>39502</xdr:colOff>
      <xdr:row>12</xdr:row>
      <xdr:rowOff>21026</xdr:rowOff>
    </xdr:from>
    <xdr:to>
      <xdr:col>23</xdr:col>
      <xdr:colOff>164059</xdr:colOff>
      <xdr:row>18</xdr:row>
      <xdr:rowOff>67027</xdr:rowOff>
    </xdr:to>
    <xdr:pic>
      <xdr:nvPicPr>
        <xdr:cNvPr id="2" name="Picture 1">
          <a:extLst>
            <a:ext uri="{FF2B5EF4-FFF2-40B4-BE49-F238E27FC236}">
              <a16:creationId xmlns:a16="http://schemas.microsoft.com/office/drawing/2014/main" id="{027CC15D-F41B-139A-16C5-37069673BDC8}"/>
            </a:ext>
          </a:extLst>
        </xdr:cNvPr>
        <xdr:cNvPicPr>
          <a:picLocks noChangeAspect="1"/>
        </xdr:cNvPicPr>
      </xdr:nvPicPr>
      <xdr:blipFill>
        <a:blip xmlns:r="http://schemas.openxmlformats.org/officeDocument/2006/relationships" r:embed="rId8"/>
        <a:stretch>
          <a:fillRect/>
        </a:stretch>
      </xdr:blipFill>
      <xdr:spPr>
        <a:xfrm>
          <a:off x="660698" y="2215917"/>
          <a:ext cx="4265861" cy="1139306"/>
        </a:xfrm>
        <a:prstGeom prst="rect">
          <a:avLst/>
        </a:prstGeom>
        <a:ln>
          <a:solidFill>
            <a:sysClr val="windowText" lastClr="000000"/>
          </a:solidFill>
        </a:ln>
      </xdr:spPr>
    </xdr:pic>
    <xdr:clientData/>
  </xdr:twoCellAnchor>
  <xdr:twoCellAnchor>
    <xdr:from>
      <xdr:col>27</xdr:col>
      <xdr:colOff>80595</xdr:colOff>
      <xdr:row>137</xdr:row>
      <xdr:rowOff>131885</xdr:rowOff>
    </xdr:from>
    <xdr:to>
      <xdr:col>30</xdr:col>
      <xdr:colOff>124558</xdr:colOff>
      <xdr:row>139</xdr:row>
      <xdr:rowOff>122100</xdr:rowOff>
    </xdr:to>
    <xdr:sp macro="" textlink="">
      <xdr:nvSpPr>
        <xdr:cNvPr id="5" name="TextBox 4">
          <a:extLst>
            <a:ext uri="{FF2B5EF4-FFF2-40B4-BE49-F238E27FC236}">
              <a16:creationId xmlns:a16="http://schemas.microsoft.com/office/drawing/2014/main" id="{1ED6D206-4ED7-42C4-A6DE-AE8D469C2D44}"/>
            </a:ext>
          </a:extLst>
        </xdr:cNvPr>
        <xdr:cNvSpPr txBox="1"/>
      </xdr:nvSpPr>
      <xdr:spPr>
        <a:xfrm>
          <a:off x="5817576" y="25277885"/>
          <a:ext cx="681405" cy="356561"/>
        </a:xfrm>
        <a:prstGeom prst="rect">
          <a:avLst/>
        </a:prstGeom>
        <a:solidFill>
          <a:schemeClr val="lt1"/>
        </a:solidFill>
        <a:ln w="127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ctr"/>
        <a:lstStyle/>
        <a:p>
          <a:pPr algn="ctr"/>
          <a:r>
            <a:rPr lang="en-US" sz="900">
              <a:solidFill>
                <a:srgbClr val="FF0000"/>
              </a:solidFill>
            </a:rPr>
            <a:t>PM-6008</a:t>
          </a:r>
          <a:r>
            <a:rPr lang="en-US" sz="900" baseline="0">
              <a:solidFill>
                <a:srgbClr val="FF0000"/>
              </a:solidFill>
            </a:rPr>
            <a:t> &amp; PM-6009</a:t>
          </a:r>
          <a:endParaRPr lang="en-US" sz="900">
            <a:solidFill>
              <a:srgbClr val="FF0000"/>
            </a:solidFill>
          </a:endParaRPr>
        </a:p>
      </xdr:txBody>
    </xdr:sp>
    <xdr:clientData/>
  </xdr:twoCellAnchor>
  <xdr:twoCellAnchor>
    <xdr:from>
      <xdr:col>26</xdr:col>
      <xdr:colOff>161192</xdr:colOff>
      <xdr:row>139</xdr:row>
      <xdr:rowOff>131885</xdr:rowOff>
    </xdr:from>
    <xdr:to>
      <xdr:col>29</xdr:col>
      <xdr:colOff>0</xdr:colOff>
      <xdr:row>143</xdr:row>
      <xdr:rowOff>146539</xdr:rowOff>
    </xdr:to>
    <xdr:cxnSp macro="">
      <xdr:nvCxnSpPr>
        <xdr:cNvPr id="8" name="Straight Arrow Connector 7">
          <a:extLst>
            <a:ext uri="{FF2B5EF4-FFF2-40B4-BE49-F238E27FC236}">
              <a16:creationId xmlns:a16="http://schemas.microsoft.com/office/drawing/2014/main" id="{94E738FA-9687-4783-5C66-6B54B8DD3786}"/>
            </a:ext>
          </a:extLst>
        </xdr:cNvPr>
        <xdr:cNvCxnSpPr/>
      </xdr:nvCxnSpPr>
      <xdr:spPr>
        <a:xfrm flipH="1">
          <a:off x="5685692" y="25644231"/>
          <a:ext cx="476250" cy="747346"/>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146539</xdr:colOff>
      <xdr:row>139</xdr:row>
      <xdr:rowOff>122100</xdr:rowOff>
    </xdr:from>
    <xdr:to>
      <xdr:col>28</xdr:col>
      <xdr:colOff>208817</xdr:colOff>
      <xdr:row>143</xdr:row>
      <xdr:rowOff>36635</xdr:rowOff>
    </xdr:to>
    <xdr:cxnSp macro="">
      <xdr:nvCxnSpPr>
        <xdr:cNvPr id="14" name="Straight Arrow Connector 13">
          <a:extLst>
            <a:ext uri="{FF2B5EF4-FFF2-40B4-BE49-F238E27FC236}">
              <a16:creationId xmlns:a16="http://schemas.microsoft.com/office/drawing/2014/main" id="{FB216593-0A01-4828-8E68-6A5EE6F7EDD5}"/>
            </a:ext>
          </a:extLst>
        </xdr:cNvPr>
        <xdr:cNvCxnSpPr>
          <a:stCxn id="5" idx="2"/>
        </xdr:cNvCxnSpPr>
      </xdr:nvCxnSpPr>
      <xdr:spPr>
        <a:xfrm flipH="1">
          <a:off x="5246077" y="25634446"/>
          <a:ext cx="912202" cy="647227"/>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124958</xdr:colOff>
      <xdr:row>163</xdr:row>
      <xdr:rowOff>58915</xdr:rowOff>
    </xdr:from>
    <xdr:to>
      <xdr:col>26</xdr:col>
      <xdr:colOff>124558</xdr:colOff>
      <xdr:row>164</xdr:row>
      <xdr:rowOff>109904</xdr:rowOff>
    </xdr:to>
    <xdr:cxnSp macro="">
      <xdr:nvCxnSpPr>
        <xdr:cNvPr id="20" name="Straight Arrow Connector 19">
          <a:extLst>
            <a:ext uri="{FF2B5EF4-FFF2-40B4-BE49-F238E27FC236}">
              <a16:creationId xmlns:a16="http://schemas.microsoft.com/office/drawing/2014/main" id="{8E1F72E0-0D5D-416B-B2F9-896880A0344C}"/>
            </a:ext>
          </a:extLst>
        </xdr:cNvPr>
        <xdr:cNvCxnSpPr>
          <a:stCxn id="27" idx="2"/>
        </xdr:cNvCxnSpPr>
      </xdr:nvCxnSpPr>
      <xdr:spPr>
        <a:xfrm>
          <a:off x="5436977" y="29974742"/>
          <a:ext cx="212081" cy="23416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175846</xdr:colOff>
      <xdr:row>163</xdr:row>
      <xdr:rowOff>59360</xdr:rowOff>
    </xdr:from>
    <xdr:to>
      <xdr:col>29</xdr:col>
      <xdr:colOff>212193</xdr:colOff>
      <xdr:row>164</xdr:row>
      <xdr:rowOff>124558</xdr:rowOff>
    </xdr:to>
    <xdr:cxnSp macro="">
      <xdr:nvCxnSpPr>
        <xdr:cNvPr id="25" name="Straight Arrow Connector 24">
          <a:extLst>
            <a:ext uri="{FF2B5EF4-FFF2-40B4-BE49-F238E27FC236}">
              <a16:creationId xmlns:a16="http://schemas.microsoft.com/office/drawing/2014/main" id="{8497CBCE-5535-4B3A-8D56-4D81F4A1717F}"/>
            </a:ext>
          </a:extLst>
        </xdr:cNvPr>
        <xdr:cNvCxnSpPr>
          <a:stCxn id="28" idx="2"/>
        </xdr:cNvCxnSpPr>
      </xdr:nvCxnSpPr>
      <xdr:spPr>
        <a:xfrm flipH="1">
          <a:off x="6125308" y="29975187"/>
          <a:ext cx="248827" cy="248371"/>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66675</xdr:colOff>
          <xdr:row>16</xdr:row>
          <xdr:rowOff>561975</xdr:rowOff>
        </xdr:from>
        <xdr:to>
          <xdr:col>5</xdr:col>
          <xdr:colOff>66675</xdr:colOff>
          <xdr:row>18</xdr:row>
          <xdr:rowOff>9525</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17</xdr:row>
          <xdr:rowOff>171450</xdr:rowOff>
        </xdr:from>
        <xdr:to>
          <xdr:col>5</xdr:col>
          <xdr:colOff>66675</xdr:colOff>
          <xdr:row>19</xdr:row>
          <xdr:rowOff>19050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171450</xdr:rowOff>
        </xdr:from>
        <xdr:to>
          <xdr:col>5</xdr:col>
          <xdr:colOff>66675</xdr:colOff>
          <xdr:row>20</xdr:row>
          <xdr:rowOff>9525</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8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19</xdr:row>
          <xdr:rowOff>180975</xdr:rowOff>
        </xdr:from>
        <xdr:to>
          <xdr:col>5</xdr:col>
          <xdr:colOff>66675</xdr:colOff>
          <xdr:row>21</xdr:row>
          <xdr:rowOff>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8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200025</xdr:colOff>
          <xdr:row>148</xdr:row>
          <xdr:rowOff>0</xdr:rowOff>
        </xdr:from>
        <xdr:to>
          <xdr:col>19</xdr:col>
          <xdr:colOff>85725</xdr:colOff>
          <xdr:row>149</xdr:row>
          <xdr:rowOff>38100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8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148</xdr:row>
          <xdr:rowOff>0</xdr:rowOff>
        </xdr:from>
        <xdr:to>
          <xdr:col>25</xdr:col>
          <xdr:colOff>95250</xdr:colOff>
          <xdr:row>149</xdr:row>
          <xdr:rowOff>28575</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8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200025</xdr:colOff>
          <xdr:row>151</xdr:row>
          <xdr:rowOff>0</xdr:rowOff>
        </xdr:from>
        <xdr:to>
          <xdr:col>19</xdr:col>
          <xdr:colOff>85725</xdr:colOff>
          <xdr:row>152</xdr:row>
          <xdr:rowOff>47625</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8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151</xdr:row>
          <xdr:rowOff>0</xdr:rowOff>
        </xdr:from>
        <xdr:to>
          <xdr:col>25</xdr:col>
          <xdr:colOff>95250</xdr:colOff>
          <xdr:row>152</xdr:row>
          <xdr:rowOff>47625</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8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200025</xdr:colOff>
          <xdr:row>154</xdr:row>
          <xdr:rowOff>0</xdr:rowOff>
        </xdr:from>
        <xdr:to>
          <xdr:col>19</xdr:col>
          <xdr:colOff>85725</xdr:colOff>
          <xdr:row>155</xdr:row>
          <xdr:rowOff>47625</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8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154</xdr:row>
          <xdr:rowOff>0</xdr:rowOff>
        </xdr:from>
        <xdr:to>
          <xdr:col>25</xdr:col>
          <xdr:colOff>95250</xdr:colOff>
          <xdr:row>155</xdr:row>
          <xdr:rowOff>47625</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800-00000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30873</xdr:colOff>
      <xdr:row>177</xdr:row>
      <xdr:rowOff>78828</xdr:rowOff>
    </xdr:from>
    <xdr:to>
      <xdr:col>32</xdr:col>
      <xdr:colOff>91009</xdr:colOff>
      <xdr:row>185</xdr:row>
      <xdr:rowOff>105103</xdr:rowOff>
    </xdr:to>
    <xdr:pic>
      <xdr:nvPicPr>
        <xdr:cNvPr id="2" name="Picture 1">
          <a:extLst>
            <a:ext uri="{FF2B5EF4-FFF2-40B4-BE49-F238E27FC236}">
              <a16:creationId xmlns:a16="http://schemas.microsoft.com/office/drawing/2014/main" id="{053B93CE-5290-E66F-B610-77C056D1C5AB}"/>
            </a:ext>
          </a:extLst>
        </xdr:cNvPr>
        <xdr:cNvPicPr>
          <a:picLocks noChangeAspect="1"/>
        </xdr:cNvPicPr>
      </xdr:nvPicPr>
      <xdr:blipFill>
        <a:blip xmlns:r="http://schemas.openxmlformats.org/officeDocument/2006/relationships" r:embed="rId1"/>
        <a:stretch>
          <a:fillRect/>
        </a:stretch>
      </xdr:blipFill>
      <xdr:spPr>
        <a:xfrm>
          <a:off x="451287" y="32949931"/>
          <a:ext cx="6366343" cy="1497723"/>
        </a:xfrm>
        <a:prstGeom prst="rect">
          <a:avLst/>
        </a:prstGeom>
        <a:ln>
          <a:solidFill>
            <a:sysClr val="windowText" lastClr="000000"/>
          </a:solidFill>
        </a:ln>
      </xdr:spPr>
    </xdr:pic>
    <xdr:clientData/>
  </xdr:twoCellAnchor>
  <xdr:twoCellAnchor editAs="oneCell">
    <xdr:from>
      <xdr:col>18</xdr:col>
      <xdr:colOff>24178</xdr:colOff>
      <xdr:row>206</xdr:row>
      <xdr:rowOff>21983</xdr:rowOff>
    </xdr:from>
    <xdr:to>
      <xdr:col>27</xdr:col>
      <xdr:colOff>123825</xdr:colOff>
      <xdr:row>211</xdr:row>
      <xdr:rowOff>79020</xdr:rowOff>
    </xdr:to>
    <xdr:pic>
      <xdr:nvPicPr>
        <xdr:cNvPr id="3" name="Picture 2">
          <a:extLst>
            <a:ext uri="{FF2B5EF4-FFF2-40B4-BE49-F238E27FC236}">
              <a16:creationId xmlns:a16="http://schemas.microsoft.com/office/drawing/2014/main" id="{66C52AFD-7335-E9CA-C687-807A16935DA4}"/>
            </a:ext>
          </a:extLst>
        </xdr:cNvPr>
        <xdr:cNvPicPr>
          <a:picLocks noChangeAspect="1"/>
        </xdr:cNvPicPr>
      </xdr:nvPicPr>
      <xdr:blipFill>
        <a:blip xmlns:r="http://schemas.openxmlformats.org/officeDocument/2006/relationships" r:embed="rId2"/>
        <a:stretch>
          <a:fillRect/>
        </a:stretch>
      </xdr:blipFill>
      <xdr:spPr>
        <a:xfrm>
          <a:off x="3796078" y="37845758"/>
          <a:ext cx="1985597" cy="961912"/>
        </a:xfrm>
        <a:prstGeom prst="rect">
          <a:avLst/>
        </a:prstGeom>
        <a:ln>
          <a:solidFill>
            <a:sysClr val="windowText" lastClr="000000"/>
          </a:solidFill>
        </a:ln>
      </xdr:spPr>
    </xdr:pic>
    <xdr:clientData/>
  </xdr:twoCellAnchor>
  <xdr:twoCellAnchor editAs="oneCell">
    <xdr:from>
      <xdr:col>2</xdr:col>
      <xdr:colOff>26378</xdr:colOff>
      <xdr:row>206</xdr:row>
      <xdr:rowOff>2931</xdr:rowOff>
    </xdr:from>
    <xdr:to>
      <xdr:col>11</xdr:col>
      <xdr:colOff>142875</xdr:colOff>
      <xdr:row>211</xdr:row>
      <xdr:rowOff>86347</xdr:rowOff>
    </xdr:to>
    <xdr:pic>
      <xdr:nvPicPr>
        <xdr:cNvPr id="8" name="Picture 7">
          <a:extLst>
            <a:ext uri="{FF2B5EF4-FFF2-40B4-BE49-F238E27FC236}">
              <a16:creationId xmlns:a16="http://schemas.microsoft.com/office/drawing/2014/main" id="{5ACD6E5B-DE1B-D69B-1F2E-C58991375D1E}"/>
            </a:ext>
          </a:extLst>
        </xdr:cNvPr>
        <xdr:cNvPicPr>
          <a:picLocks noChangeAspect="1"/>
        </xdr:cNvPicPr>
      </xdr:nvPicPr>
      <xdr:blipFill>
        <a:blip xmlns:r="http://schemas.openxmlformats.org/officeDocument/2006/relationships" r:embed="rId3"/>
        <a:stretch>
          <a:fillRect/>
        </a:stretch>
      </xdr:blipFill>
      <xdr:spPr>
        <a:xfrm>
          <a:off x="445478" y="37826706"/>
          <a:ext cx="2002447" cy="988291"/>
        </a:xfrm>
        <a:prstGeom prst="rect">
          <a:avLst/>
        </a:prstGeom>
        <a:ln>
          <a:solidFill>
            <a:sysClr val="windowText" lastClr="000000"/>
          </a:solidFill>
        </a:ln>
      </xdr:spPr>
    </xdr:pic>
    <xdr:clientData/>
  </xdr:twoCellAnchor>
  <xdr:twoCellAnchor editAs="oneCell">
    <xdr:from>
      <xdr:col>1</xdr:col>
      <xdr:colOff>200025</xdr:colOff>
      <xdr:row>200</xdr:row>
      <xdr:rowOff>57151</xdr:rowOff>
    </xdr:from>
    <xdr:to>
      <xdr:col>15</xdr:col>
      <xdr:colOff>76200</xdr:colOff>
      <xdr:row>204</xdr:row>
      <xdr:rowOff>56585</xdr:rowOff>
    </xdr:to>
    <xdr:pic>
      <xdr:nvPicPr>
        <xdr:cNvPr id="4" name="Picture 3">
          <a:extLst>
            <a:ext uri="{FF2B5EF4-FFF2-40B4-BE49-F238E27FC236}">
              <a16:creationId xmlns:a16="http://schemas.microsoft.com/office/drawing/2014/main" id="{8BA886FA-8319-D0AD-AD89-9FD163C5686C}"/>
            </a:ext>
          </a:extLst>
        </xdr:cNvPr>
        <xdr:cNvPicPr>
          <a:picLocks noChangeAspect="1"/>
        </xdr:cNvPicPr>
      </xdr:nvPicPr>
      <xdr:blipFill>
        <a:blip xmlns:r="http://schemas.openxmlformats.org/officeDocument/2006/relationships" r:embed="rId4"/>
        <a:stretch>
          <a:fillRect/>
        </a:stretch>
      </xdr:blipFill>
      <xdr:spPr>
        <a:xfrm>
          <a:off x="409575" y="36795076"/>
          <a:ext cx="2809875" cy="723334"/>
        </a:xfrm>
        <a:prstGeom prst="rect">
          <a:avLst/>
        </a:prstGeom>
      </xdr:spPr>
    </xdr:pic>
    <xdr:clientData/>
  </xdr:twoCellAnchor>
  <xdr:twoCellAnchor editAs="oneCell">
    <xdr:from>
      <xdr:col>18</xdr:col>
      <xdr:colOff>0</xdr:colOff>
      <xdr:row>200</xdr:row>
      <xdr:rowOff>47625</xdr:rowOff>
    </xdr:from>
    <xdr:to>
      <xdr:col>32</xdr:col>
      <xdr:colOff>123825</xdr:colOff>
      <xdr:row>203</xdr:row>
      <xdr:rowOff>172634</xdr:rowOff>
    </xdr:to>
    <xdr:pic>
      <xdr:nvPicPr>
        <xdr:cNvPr id="5" name="Picture 4">
          <a:extLst>
            <a:ext uri="{FF2B5EF4-FFF2-40B4-BE49-F238E27FC236}">
              <a16:creationId xmlns:a16="http://schemas.microsoft.com/office/drawing/2014/main" id="{CC08EE01-1599-9A3C-3E44-4A5939B9B658}"/>
            </a:ext>
          </a:extLst>
        </xdr:cNvPr>
        <xdr:cNvPicPr>
          <a:picLocks noChangeAspect="1"/>
        </xdr:cNvPicPr>
      </xdr:nvPicPr>
      <xdr:blipFill>
        <a:blip xmlns:r="http://schemas.openxmlformats.org/officeDocument/2006/relationships" r:embed="rId5"/>
        <a:stretch>
          <a:fillRect/>
        </a:stretch>
      </xdr:blipFill>
      <xdr:spPr>
        <a:xfrm>
          <a:off x="3771900" y="36785550"/>
          <a:ext cx="3057525" cy="66793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36636</xdr:colOff>
      <xdr:row>8</xdr:row>
      <xdr:rowOff>21980</xdr:rowOff>
    </xdr:from>
    <xdr:to>
      <xdr:col>23</xdr:col>
      <xdr:colOff>169813</xdr:colOff>
      <xdr:row>14</xdr:row>
      <xdr:rowOff>44708</xdr:rowOff>
    </xdr:to>
    <xdr:pic>
      <xdr:nvPicPr>
        <xdr:cNvPr id="2" name="Picture 1">
          <a:extLst>
            <a:ext uri="{FF2B5EF4-FFF2-40B4-BE49-F238E27FC236}">
              <a16:creationId xmlns:a16="http://schemas.microsoft.com/office/drawing/2014/main" id="{C101BB20-FA2A-4A1C-902A-43E0747E7FA4}"/>
            </a:ext>
          </a:extLst>
        </xdr:cNvPr>
        <xdr:cNvPicPr>
          <a:picLocks noChangeAspect="1"/>
        </xdr:cNvPicPr>
      </xdr:nvPicPr>
      <xdr:blipFill>
        <a:blip xmlns:r="http://schemas.openxmlformats.org/officeDocument/2006/relationships" r:embed="rId1"/>
        <a:stretch>
          <a:fillRect/>
        </a:stretch>
      </xdr:blipFill>
      <xdr:spPr>
        <a:xfrm>
          <a:off x="674078" y="1494692"/>
          <a:ext cx="4382793" cy="1121766"/>
        </a:xfrm>
        <a:prstGeom prst="rect">
          <a:avLst/>
        </a:prstGeom>
        <a:ln>
          <a:solidFill>
            <a:sysClr val="windowText" lastClr="000000"/>
          </a:solidFill>
        </a:ln>
      </xdr:spPr>
    </xdr:pic>
    <xdr:clientData/>
  </xdr:twoCellAnchor>
  <xdr:twoCellAnchor editAs="oneCell">
    <xdr:from>
      <xdr:col>3</xdr:col>
      <xdr:colOff>36635</xdr:colOff>
      <xdr:row>18</xdr:row>
      <xdr:rowOff>14655</xdr:rowOff>
    </xdr:from>
    <xdr:to>
      <xdr:col>26</xdr:col>
      <xdr:colOff>51289</xdr:colOff>
      <xdr:row>23</xdr:row>
      <xdr:rowOff>116383</xdr:rowOff>
    </xdr:to>
    <xdr:pic>
      <xdr:nvPicPr>
        <xdr:cNvPr id="3" name="Picture 2">
          <a:extLst>
            <a:ext uri="{FF2B5EF4-FFF2-40B4-BE49-F238E27FC236}">
              <a16:creationId xmlns:a16="http://schemas.microsoft.com/office/drawing/2014/main" id="{FB7057B7-5699-DB37-2E3B-BC6F0A909D32}"/>
            </a:ext>
          </a:extLst>
        </xdr:cNvPr>
        <xdr:cNvPicPr>
          <a:picLocks noChangeAspect="1"/>
        </xdr:cNvPicPr>
      </xdr:nvPicPr>
      <xdr:blipFill>
        <a:blip xmlns:r="http://schemas.openxmlformats.org/officeDocument/2006/relationships" r:embed="rId2"/>
        <a:stretch>
          <a:fillRect/>
        </a:stretch>
      </xdr:blipFill>
      <xdr:spPr>
        <a:xfrm>
          <a:off x="674077" y="3319097"/>
          <a:ext cx="4901712" cy="1017594"/>
        </a:xfrm>
        <a:prstGeom prst="rect">
          <a:avLst/>
        </a:prstGeom>
        <a:ln>
          <a:solidFill>
            <a:sysClr val="windowText" lastClr="000000"/>
          </a:solidFill>
        </a:ln>
      </xdr:spPr>
    </xdr:pic>
    <xdr:clientData/>
  </xdr:twoCellAnchor>
  <xdr:twoCellAnchor editAs="oneCell">
    <xdr:from>
      <xdr:col>3</xdr:col>
      <xdr:colOff>2</xdr:colOff>
      <xdr:row>27</xdr:row>
      <xdr:rowOff>175846</xdr:rowOff>
    </xdr:from>
    <xdr:to>
      <xdr:col>20</xdr:col>
      <xdr:colOff>29309</xdr:colOff>
      <xdr:row>33</xdr:row>
      <xdr:rowOff>111302</xdr:rowOff>
    </xdr:to>
    <xdr:pic>
      <xdr:nvPicPr>
        <xdr:cNvPr id="4" name="Picture 3">
          <a:extLst>
            <a:ext uri="{FF2B5EF4-FFF2-40B4-BE49-F238E27FC236}">
              <a16:creationId xmlns:a16="http://schemas.microsoft.com/office/drawing/2014/main" id="{C6DEDDEF-1A0C-CE1D-D91B-500C217BADE3}"/>
            </a:ext>
          </a:extLst>
        </xdr:cNvPr>
        <xdr:cNvPicPr>
          <a:picLocks noChangeAspect="1"/>
        </xdr:cNvPicPr>
      </xdr:nvPicPr>
      <xdr:blipFill rotWithShape="1">
        <a:blip xmlns:r="http://schemas.openxmlformats.org/officeDocument/2006/relationships" r:embed="rId3"/>
        <a:srcRect t="7834"/>
        <a:stretch>
          <a:fillRect/>
        </a:stretch>
      </xdr:blipFill>
      <xdr:spPr>
        <a:xfrm>
          <a:off x="637444" y="5128846"/>
          <a:ext cx="3641480" cy="1034494"/>
        </a:xfrm>
        <a:prstGeom prst="rect">
          <a:avLst/>
        </a:prstGeom>
        <a:ln>
          <a:solidFill>
            <a:sysClr val="windowText" lastClr="000000"/>
          </a:solidFill>
        </a:ln>
      </xdr:spPr>
    </xdr:pic>
    <xdr:clientData/>
  </xdr:twoCellAnchor>
  <xdr:twoCellAnchor editAs="oneCell">
    <xdr:from>
      <xdr:col>3</xdr:col>
      <xdr:colOff>14654</xdr:colOff>
      <xdr:row>34</xdr:row>
      <xdr:rowOff>80596</xdr:rowOff>
    </xdr:from>
    <xdr:to>
      <xdr:col>20</xdr:col>
      <xdr:colOff>58617</xdr:colOff>
      <xdr:row>40</xdr:row>
      <xdr:rowOff>76070</xdr:rowOff>
    </xdr:to>
    <xdr:pic>
      <xdr:nvPicPr>
        <xdr:cNvPr id="5" name="Picture 4">
          <a:extLst>
            <a:ext uri="{FF2B5EF4-FFF2-40B4-BE49-F238E27FC236}">
              <a16:creationId xmlns:a16="http://schemas.microsoft.com/office/drawing/2014/main" id="{0B541001-D977-CE09-E42E-4B09AC0FBC20}"/>
            </a:ext>
          </a:extLst>
        </xdr:cNvPr>
        <xdr:cNvPicPr>
          <a:picLocks noChangeAspect="1"/>
        </xdr:cNvPicPr>
      </xdr:nvPicPr>
      <xdr:blipFill>
        <a:blip xmlns:r="http://schemas.openxmlformats.org/officeDocument/2006/relationships" r:embed="rId4"/>
        <a:stretch>
          <a:fillRect/>
        </a:stretch>
      </xdr:blipFill>
      <xdr:spPr>
        <a:xfrm>
          <a:off x="652096" y="6315808"/>
          <a:ext cx="3656136" cy="1094512"/>
        </a:xfrm>
        <a:prstGeom prst="rect">
          <a:avLst/>
        </a:prstGeom>
        <a:ln>
          <a:solidFill>
            <a:sysClr val="windowText" lastClr="000000"/>
          </a:solid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127034</xdr:colOff>
      <xdr:row>56</xdr:row>
      <xdr:rowOff>25067</xdr:rowOff>
    </xdr:from>
    <xdr:to>
      <xdr:col>32</xdr:col>
      <xdr:colOff>158349</xdr:colOff>
      <xdr:row>70</xdr:row>
      <xdr:rowOff>14758</xdr:rowOff>
    </xdr:to>
    <xdr:pic>
      <xdr:nvPicPr>
        <xdr:cNvPr id="15" name="Picture 14">
          <a:extLst>
            <a:ext uri="{FF2B5EF4-FFF2-40B4-BE49-F238E27FC236}">
              <a16:creationId xmlns:a16="http://schemas.microsoft.com/office/drawing/2014/main" id="{5F5CABFC-604F-86DD-4201-2E5C7BEB0AD6}"/>
            </a:ext>
          </a:extLst>
        </xdr:cNvPr>
        <xdr:cNvPicPr>
          <a:picLocks noChangeAspect="1"/>
        </xdr:cNvPicPr>
      </xdr:nvPicPr>
      <xdr:blipFill>
        <a:blip xmlns:r="http://schemas.openxmlformats.org/officeDocument/2006/relationships" r:embed="rId1"/>
        <a:stretch>
          <a:fillRect/>
        </a:stretch>
      </xdr:blipFill>
      <xdr:spPr>
        <a:xfrm>
          <a:off x="127034" y="10372225"/>
          <a:ext cx="6768999" cy="2516322"/>
        </a:xfrm>
        <a:prstGeom prst="rect">
          <a:avLst/>
        </a:prstGeom>
        <a:ln>
          <a:solidFill>
            <a:sysClr val="windowText" lastClr="000000"/>
          </a:solidFill>
        </a:ln>
      </xdr:spPr>
    </xdr:pic>
    <xdr:clientData/>
  </xdr:twoCellAnchor>
  <xdr:twoCellAnchor>
    <xdr:from>
      <xdr:col>25</xdr:col>
      <xdr:colOff>181731</xdr:colOff>
      <xdr:row>69</xdr:row>
      <xdr:rowOff>1954</xdr:rowOff>
    </xdr:from>
    <xdr:to>
      <xdr:col>27</xdr:col>
      <xdr:colOff>39725</xdr:colOff>
      <xdr:row>69</xdr:row>
      <xdr:rowOff>160029</xdr:rowOff>
    </xdr:to>
    <xdr:sp macro="" textlink="">
      <xdr:nvSpPr>
        <xdr:cNvPr id="43" name="TextBox 42">
          <a:extLst>
            <a:ext uri="{FF2B5EF4-FFF2-40B4-BE49-F238E27FC236}">
              <a16:creationId xmlns:a16="http://schemas.microsoft.com/office/drawing/2014/main" id="{FB9F965A-83A1-8184-7271-65931B4DCFE8}"/>
            </a:ext>
          </a:extLst>
        </xdr:cNvPr>
        <xdr:cNvSpPr txBox="1"/>
      </xdr:nvSpPr>
      <xdr:spPr>
        <a:xfrm>
          <a:off x="5445547" y="12695270"/>
          <a:ext cx="279099" cy="158075"/>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ctr"/>
        <a:lstStyle/>
        <a:p>
          <a:pPr algn="ctr"/>
          <a:r>
            <a:rPr lang="en-US" sz="700">
              <a:solidFill>
                <a:srgbClr val="FF0000"/>
              </a:solidFill>
              <a:latin typeface="Arial" panose="020B0604020202020204" pitchFamily="34" charset="0"/>
              <a:cs typeface="Arial" panose="020B0604020202020204" pitchFamily="34" charset="0"/>
            </a:rPr>
            <a:t>L</a:t>
          </a:r>
          <a:r>
            <a:rPr lang="en-US" sz="700" baseline="-25000">
              <a:solidFill>
                <a:srgbClr val="FF0000"/>
              </a:solidFill>
              <a:latin typeface="Arial" panose="020B0604020202020204" pitchFamily="34" charset="0"/>
              <a:cs typeface="Arial" panose="020B0604020202020204" pitchFamily="34" charset="0"/>
            </a:rPr>
            <a:t>skid</a:t>
          </a:r>
        </a:p>
      </xdr:txBody>
    </xdr:sp>
    <xdr:clientData/>
  </xdr:twoCellAnchor>
  <xdr:twoCellAnchor>
    <xdr:from>
      <xdr:col>9</xdr:col>
      <xdr:colOff>106543</xdr:colOff>
      <xdr:row>67</xdr:row>
      <xdr:rowOff>98013</xdr:rowOff>
    </xdr:from>
    <xdr:to>
      <xdr:col>10</xdr:col>
      <xdr:colOff>175447</xdr:colOff>
      <xdr:row>68</xdr:row>
      <xdr:rowOff>73694</xdr:rowOff>
    </xdr:to>
    <xdr:sp macro="" textlink="">
      <xdr:nvSpPr>
        <xdr:cNvPr id="44" name="TextBox 43">
          <a:extLst>
            <a:ext uri="{FF2B5EF4-FFF2-40B4-BE49-F238E27FC236}">
              <a16:creationId xmlns:a16="http://schemas.microsoft.com/office/drawing/2014/main" id="{9C664A7E-A5EB-4BA2-B6F0-8DC2912461AA}"/>
            </a:ext>
          </a:extLst>
        </xdr:cNvPr>
        <xdr:cNvSpPr txBox="1"/>
      </xdr:nvSpPr>
      <xdr:spPr>
        <a:xfrm>
          <a:off x="2001517" y="12430381"/>
          <a:ext cx="279456" cy="156155"/>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ctr"/>
        <a:lstStyle/>
        <a:p>
          <a:pPr algn="ctr"/>
          <a:r>
            <a:rPr lang="en-US" sz="700">
              <a:solidFill>
                <a:srgbClr val="FF0000"/>
              </a:solidFill>
              <a:latin typeface="Arial" panose="020B0604020202020204" pitchFamily="34" charset="0"/>
              <a:cs typeface="Arial" panose="020B0604020202020204" pitchFamily="34" charset="0"/>
            </a:rPr>
            <a:t>W</a:t>
          </a:r>
          <a:r>
            <a:rPr lang="en-US" sz="700" baseline="-25000">
              <a:solidFill>
                <a:srgbClr val="FF0000"/>
              </a:solidFill>
              <a:latin typeface="Arial" panose="020B0604020202020204" pitchFamily="34" charset="0"/>
              <a:cs typeface="Arial" panose="020B0604020202020204" pitchFamily="34" charset="0"/>
            </a:rPr>
            <a:t>skid</a:t>
          </a:r>
        </a:p>
      </xdr:txBody>
    </xdr:sp>
    <xdr:clientData/>
  </xdr:twoCellAnchor>
  <xdr:twoCellAnchor>
    <xdr:from>
      <xdr:col>22</xdr:col>
      <xdr:colOff>187418</xdr:colOff>
      <xdr:row>65</xdr:row>
      <xdr:rowOff>9805</xdr:rowOff>
    </xdr:from>
    <xdr:to>
      <xdr:col>24</xdr:col>
      <xdr:colOff>90966</xdr:colOff>
      <xdr:row>65</xdr:row>
      <xdr:rowOff>168631</xdr:rowOff>
    </xdr:to>
    <xdr:sp macro="" textlink="">
      <xdr:nvSpPr>
        <xdr:cNvPr id="51" name="TextBox 50">
          <a:extLst>
            <a:ext uri="{FF2B5EF4-FFF2-40B4-BE49-F238E27FC236}">
              <a16:creationId xmlns:a16="http://schemas.microsoft.com/office/drawing/2014/main" id="{E31F00D6-BF23-4ADF-9868-CA515A9B4EB7}"/>
            </a:ext>
          </a:extLst>
        </xdr:cNvPr>
        <xdr:cNvSpPr txBox="1"/>
      </xdr:nvSpPr>
      <xdr:spPr>
        <a:xfrm>
          <a:off x="4819576" y="11981226"/>
          <a:ext cx="324653" cy="158826"/>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ctr"/>
        <a:lstStyle/>
        <a:p>
          <a:pPr algn="ctr"/>
          <a:r>
            <a:rPr lang="en-US" sz="700">
              <a:solidFill>
                <a:srgbClr val="FF0000"/>
              </a:solidFill>
              <a:latin typeface="Arial" panose="020B0604020202020204" pitchFamily="34" charset="0"/>
              <a:cs typeface="Arial" panose="020B0604020202020204" pitchFamily="34" charset="0"/>
            </a:rPr>
            <a:t>COG</a:t>
          </a:r>
          <a:r>
            <a:rPr lang="en-US" sz="700" baseline="-25000">
              <a:solidFill>
                <a:srgbClr val="FF0000"/>
              </a:solidFill>
              <a:latin typeface="Arial" panose="020B0604020202020204" pitchFamily="34" charset="0"/>
              <a:cs typeface="Arial" panose="020B0604020202020204" pitchFamily="34" charset="0"/>
            </a:rPr>
            <a:t>X</a:t>
          </a:r>
        </a:p>
      </xdr:txBody>
    </xdr:sp>
    <xdr:clientData/>
  </xdr:twoCellAnchor>
  <xdr:twoCellAnchor>
    <xdr:from>
      <xdr:col>3</xdr:col>
      <xdr:colOff>51281</xdr:colOff>
      <xdr:row>62</xdr:row>
      <xdr:rowOff>27439</xdr:rowOff>
    </xdr:from>
    <xdr:to>
      <xdr:col>3</xdr:col>
      <xdr:colOff>51281</xdr:colOff>
      <xdr:row>65</xdr:row>
      <xdr:rowOff>120316</xdr:rowOff>
    </xdr:to>
    <xdr:cxnSp macro="">
      <xdr:nvCxnSpPr>
        <xdr:cNvPr id="52" name="Straight Connector 51">
          <a:extLst>
            <a:ext uri="{FF2B5EF4-FFF2-40B4-BE49-F238E27FC236}">
              <a16:creationId xmlns:a16="http://schemas.microsoft.com/office/drawing/2014/main" id="{603054F4-978A-47CE-B5CE-1A86E8FF7A28}"/>
            </a:ext>
          </a:extLst>
        </xdr:cNvPr>
        <xdr:cNvCxnSpPr/>
      </xdr:nvCxnSpPr>
      <xdr:spPr>
        <a:xfrm flipV="1">
          <a:off x="682939" y="11457439"/>
          <a:ext cx="0" cy="634298"/>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52211</xdr:colOff>
      <xdr:row>62</xdr:row>
      <xdr:rowOff>127289</xdr:rowOff>
    </xdr:from>
    <xdr:to>
      <xdr:col>6</xdr:col>
      <xdr:colOff>173014</xdr:colOff>
      <xdr:row>62</xdr:row>
      <xdr:rowOff>127289</xdr:rowOff>
    </xdr:to>
    <xdr:cxnSp macro="">
      <xdr:nvCxnSpPr>
        <xdr:cNvPr id="53" name="Straight Arrow Connector 52">
          <a:extLst>
            <a:ext uri="{FF2B5EF4-FFF2-40B4-BE49-F238E27FC236}">
              <a16:creationId xmlns:a16="http://schemas.microsoft.com/office/drawing/2014/main" id="{232B6C11-6B6E-44C6-B2BF-7CA13A7AC6FA}"/>
            </a:ext>
          </a:extLst>
        </xdr:cNvPr>
        <xdr:cNvCxnSpPr/>
      </xdr:nvCxnSpPr>
      <xdr:spPr>
        <a:xfrm>
          <a:off x="683869" y="11557289"/>
          <a:ext cx="752461" cy="0"/>
        </a:xfrm>
        <a:prstGeom prst="straightConnector1">
          <a:avLst/>
        </a:prstGeom>
        <a:ln w="12700">
          <a:solidFill>
            <a:srgbClr val="FF0000"/>
          </a:solidFill>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53185</xdr:colOff>
      <xdr:row>62</xdr:row>
      <xdr:rowOff>38294</xdr:rowOff>
    </xdr:from>
    <xdr:to>
      <xdr:col>5</xdr:col>
      <xdr:colOff>179563</xdr:colOff>
      <xdr:row>63</xdr:row>
      <xdr:rowOff>13901</xdr:rowOff>
    </xdr:to>
    <xdr:sp macro="" textlink="">
      <xdr:nvSpPr>
        <xdr:cNvPr id="54" name="TextBox 53">
          <a:extLst>
            <a:ext uri="{FF2B5EF4-FFF2-40B4-BE49-F238E27FC236}">
              <a16:creationId xmlns:a16="http://schemas.microsoft.com/office/drawing/2014/main" id="{356E2000-9D8F-432C-803F-ACCDA6B2F4BE}"/>
            </a:ext>
          </a:extLst>
        </xdr:cNvPr>
        <xdr:cNvSpPr txBox="1"/>
      </xdr:nvSpPr>
      <xdr:spPr>
        <a:xfrm>
          <a:off x="895396" y="11468294"/>
          <a:ext cx="336930" cy="156081"/>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ctr"/>
        <a:lstStyle/>
        <a:p>
          <a:pPr algn="ctr"/>
          <a:r>
            <a:rPr lang="en-US" sz="700">
              <a:solidFill>
                <a:srgbClr val="FF0000"/>
              </a:solidFill>
              <a:latin typeface="Arial" panose="020B0604020202020204" pitchFamily="34" charset="0"/>
              <a:cs typeface="Arial" panose="020B0604020202020204" pitchFamily="34" charset="0"/>
            </a:rPr>
            <a:t>COG</a:t>
          </a:r>
          <a:r>
            <a:rPr lang="en-US" sz="700" baseline="-25000">
              <a:solidFill>
                <a:srgbClr val="FF0000"/>
              </a:solidFill>
              <a:latin typeface="Arial" panose="020B0604020202020204" pitchFamily="34" charset="0"/>
              <a:cs typeface="Arial" panose="020B0604020202020204" pitchFamily="34" charset="0"/>
            </a:rPr>
            <a:t>Z</a:t>
          </a:r>
        </a:p>
      </xdr:txBody>
    </xdr:sp>
    <xdr:clientData/>
  </xdr:twoCellAnchor>
  <xdr:twoCellAnchor>
    <xdr:from>
      <xdr:col>30</xdr:col>
      <xdr:colOff>35145</xdr:colOff>
      <xdr:row>66</xdr:row>
      <xdr:rowOff>80691</xdr:rowOff>
    </xdr:from>
    <xdr:to>
      <xdr:col>31</xdr:col>
      <xdr:colOff>153081</xdr:colOff>
      <xdr:row>67</xdr:row>
      <xdr:rowOff>57558</xdr:rowOff>
    </xdr:to>
    <xdr:sp macro="" textlink="">
      <xdr:nvSpPr>
        <xdr:cNvPr id="56" name="TextBox 55">
          <a:extLst>
            <a:ext uri="{FF2B5EF4-FFF2-40B4-BE49-F238E27FC236}">
              <a16:creationId xmlns:a16="http://schemas.microsoft.com/office/drawing/2014/main" id="{9BA7DB1D-9FF0-4CCD-8079-A69F736DE86E}"/>
            </a:ext>
          </a:extLst>
        </xdr:cNvPr>
        <xdr:cNvSpPr txBox="1"/>
      </xdr:nvSpPr>
      <xdr:spPr>
        <a:xfrm>
          <a:off x="6351724" y="12232586"/>
          <a:ext cx="328489" cy="1573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ctr"/>
        <a:lstStyle/>
        <a:p>
          <a:pPr algn="ctr"/>
          <a:r>
            <a:rPr lang="en-US" sz="700">
              <a:solidFill>
                <a:srgbClr val="FF0000"/>
              </a:solidFill>
              <a:latin typeface="Arial" panose="020B0604020202020204" pitchFamily="34" charset="0"/>
              <a:cs typeface="Arial" panose="020B0604020202020204" pitchFamily="34" charset="0"/>
            </a:rPr>
            <a:t>COG</a:t>
          </a:r>
          <a:r>
            <a:rPr lang="en-US" sz="700" baseline="-25000">
              <a:solidFill>
                <a:srgbClr val="FF0000"/>
              </a:solidFill>
              <a:latin typeface="Arial" panose="020B0604020202020204" pitchFamily="34" charset="0"/>
              <a:cs typeface="Arial" panose="020B0604020202020204" pitchFamily="34" charset="0"/>
            </a:rPr>
            <a:t>Y</a:t>
          </a:r>
        </a:p>
      </xdr:txBody>
    </xdr:sp>
    <xdr:clientData/>
  </xdr:twoCellAnchor>
  <xdr:twoCellAnchor editAs="oneCell">
    <xdr:from>
      <xdr:col>1</xdr:col>
      <xdr:colOff>38100</xdr:colOff>
      <xdr:row>70</xdr:row>
      <xdr:rowOff>141513</xdr:rowOff>
    </xdr:from>
    <xdr:to>
      <xdr:col>13</xdr:col>
      <xdr:colOff>131911</xdr:colOff>
      <xdr:row>76</xdr:row>
      <xdr:rowOff>318</xdr:rowOff>
    </xdr:to>
    <xdr:pic>
      <xdr:nvPicPr>
        <xdr:cNvPr id="58" name="Picture 57">
          <a:extLst>
            <a:ext uri="{FF2B5EF4-FFF2-40B4-BE49-F238E27FC236}">
              <a16:creationId xmlns:a16="http://schemas.microsoft.com/office/drawing/2014/main" id="{5B546987-F41C-5835-A5BE-F528216BAE3C}"/>
            </a:ext>
          </a:extLst>
        </xdr:cNvPr>
        <xdr:cNvPicPr>
          <a:picLocks noChangeAspect="1"/>
        </xdr:cNvPicPr>
      </xdr:nvPicPr>
      <xdr:blipFill>
        <a:blip xmlns:r="http://schemas.openxmlformats.org/officeDocument/2006/relationships" r:embed="rId2"/>
        <a:stretch>
          <a:fillRect/>
        </a:stretch>
      </xdr:blipFill>
      <xdr:spPr>
        <a:xfrm>
          <a:off x="250371" y="8534399"/>
          <a:ext cx="2641069" cy="936171"/>
        </a:xfrm>
        <a:prstGeom prst="rect">
          <a:avLst/>
        </a:prstGeom>
        <a:ln>
          <a:solidFill>
            <a:sysClr val="windowText" lastClr="000000"/>
          </a:solidFill>
        </a:ln>
      </xdr:spPr>
    </xdr:pic>
    <xdr:clientData/>
  </xdr:twoCellAnchor>
  <xdr:twoCellAnchor editAs="oneCell">
    <xdr:from>
      <xdr:col>5</xdr:col>
      <xdr:colOff>24847</xdr:colOff>
      <xdr:row>191</xdr:row>
      <xdr:rowOff>1</xdr:rowOff>
    </xdr:from>
    <xdr:to>
      <xdr:col>23</xdr:col>
      <xdr:colOff>115956</xdr:colOff>
      <xdr:row>201</xdr:row>
      <xdr:rowOff>176131</xdr:rowOff>
    </xdr:to>
    <xdr:pic>
      <xdr:nvPicPr>
        <xdr:cNvPr id="59" name="Picture 58">
          <a:extLst>
            <a:ext uri="{FF2B5EF4-FFF2-40B4-BE49-F238E27FC236}">
              <a16:creationId xmlns:a16="http://schemas.microsoft.com/office/drawing/2014/main" id="{8CF7606A-2554-29F0-E970-9C2D347BFAAE}"/>
            </a:ext>
          </a:extLst>
        </xdr:cNvPr>
        <xdr:cNvPicPr>
          <a:picLocks noChangeAspect="1"/>
        </xdr:cNvPicPr>
      </xdr:nvPicPr>
      <xdr:blipFill>
        <a:blip xmlns:r="http://schemas.openxmlformats.org/officeDocument/2006/relationships" r:embed="rId3"/>
        <a:stretch>
          <a:fillRect/>
        </a:stretch>
      </xdr:blipFill>
      <xdr:spPr>
        <a:xfrm>
          <a:off x="1060173" y="34927762"/>
          <a:ext cx="3818283" cy="1998305"/>
        </a:xfrm>
        <a:prstGeom prst="rect">
          <a:avLst/>
        </a:prstGeom>
        <a:ln>
          <a:solidFill>
            <a:sysClr val="windowText" lastClr="000000"/>
          </a:solidFill>
        </a:ln>
      </xdr:spPr>
    </xdr:pic>
    <xdr:clientData/>
  </xdr:twoCellAnchor>
  <xdr:twoCellAnchor editAs="oneCell">
    <xdr:from>
      <xdr:col>3</xdr:col>
      <xdr:colOff>3880</xdr:colOff>
      <xdr:row>270</xdr:row>
      <xdr:rowOff>37066</xdr:rowOff>
    </xdr:from>
    <xdr:to>
      <xdr:col>21</xdr:col>
      <xdr:colOff>117232</xdr:colOff>
      <xdr:row>276</xdr:row>
      <xdr:rowOff>27154</xdr:rowOff>
    </xdr:to>
    <xdr:pic>
      <xdr:nvPicPr>
        <xdr:cNvPr id="60" name="Picture 59">
          <a:extLst>
            <a:ext uri="{FF2B5EF4-FFF2-40B4-BE49-F238E27FC236}">
              <a16:creationId xmlns:a16="http://schemas.microsoft.com/office/drawing/2014/main" id="{316D391F-1AE3-BA0C-05D0-C24DB2E83147}"/>
            </a:ext>
          </a:extLst>
        </xdr:cNvPr>
        <xdr:cNvPicPr>
          <a:picLocks noChangeAspect="1"/>
        </xdr:cNvPicPr>
      </xdr:nvPicPr>
      <xdr:blipFill>
        <a:blip xmlns:r="http://schemas.openxmlformats.org/officeDocument/2006/relationships" r:embed="rId4"/>
        <a:stretch>
          <a:fillRect/>
        </a:stretch>
      </xdr:blipFill>
      <xdr:spPr>
        <a:xfrm>
          <a:off x="641322" y="50219162"/>
          <a:ext cx="3938006" cy="1089127"/>
        </a:xfrm>
        <a:prstGeom prst="rect">
          <a:avLst/>
        </a:prstGeom>
        <a:ln>
          <a:solidFill>
            <a:sysClr val="windowText" lastClr="000000"/>
          </a:solidFill>
        </a:ln>
      </xdr:spPr>
    </xdr:pic>
    <xdr:clientData/>
  </xdr:twoCellAnchor>
  <xdr:twoCellAnchor editAs="oneCell">
    <xdr:from>
      <xdr:col>2</xdr:col>
      <xdr:colOff>212479</xdr:colOff>
      <xdr:row>429</xdr:row>
      <xdr:rowOff>7327</xdr:rowOff>
    </xdr:from>
    <xdr:to>
      <xdr:col>28</xdr:col>
      <xdr:colOff>7326</xdr:colOff>
      <xdr:row>434</xdr:row>
      <xdr:rowOff>117261</xdr:rowOff>
    </xdr:to>
    <xdr:pic>
      <xdr:nvPicPr>
        <xdr:cNvPr id="61" name="Picture 60">
          <a:extLst>
            <a:ext uri="{FF2B5EF4-FFF2-40B4-BE49-F238E27FC236}">
              <a16:creationId xmlns:a16="http://schemas.microsoft.com/office/drawing/2014/main" id="{1067FDC0-2A9C-1D49-93D0-3B74B58B65FE}"/>
            </a:ext>
          </a:extLst>
        </xdr:cNvPr>
        <xdr:cNvPicPr>
          <a:picLocks noChangeAspect="1"/>
        </xdr:cNvPicPr>
      </xdr:nvPicPr>
      <xdr:blipFill>
        <a:blip xmlns:r="http://schemas.openxmlformats.org/officeDocument/2006/relationships" r:embed="rId5"/>
        <a:stretch>
          <a:fillRect/>
        </a:stretch>
      </xdr:blipFill>
      <xdr:spPr>
        <a:xfrm>
          <a:off x="637441" y="57179308"/>
          <a:ext cx="5319347" cy="1025799"/>
        </a:xfrm>
        <a:prstGeom prst="rect">
          <a:avLst/>
        </a:prstGeom>
        <a:ln>
          <a:solidFill>
            <a:sysClr val="windowText" lastClr="000000"/>
          </a:solidFill>
        </a:ln>
      </xdr:spPr>
    </xdr:pic>
    <xdr:clientData/>
  </xdr:twoCellAnchor>
  <xdr:twoCellAnchor editAs="oneCell">
    <xdr:from>
      <xdr:col>4</xdr:col>
      <xdr:colOff>14653</xdr:colOff>
      <xdr:row>406</xdr:row>
      <xdr:rowOff>7327</xdr:rowOff>
    </xdr:from>
    <xdr:to>
      <xdr:col>29</xdr:col>
      <xdr:colOff>65943</xdr:colOff>
      <xdr:row>407</xdr:row>
      <xdr:rowOff>150616</xdr:rowOff>
    </xdr:to>
    <xdr:pic>
      <xdr:nvPicPr>
        <xdr:cNvPr id="62" name="Picture 61">
          <a:extLst>
            <a:ext uri="{FF2B5EF4-FFF2-40B4-BE49-F238E27FC236}">
              <a16:creationId xmlns:a16="http://schemas.microsoft.com/office/drawing/2014/main" id="{AA26F40E-2F7A-258A-BF6F-9AED0674E513}"/>
            </a:ext>
          </a:extLst>
        </xdr:cNvPr>
        <xdr:cNvPicPr>
          <a:picLocks noChangeAspect="1"/>
        </xdr:cNvPicPr>
      </xdr:nvPicPr>
      <xdr:blipFill>
        <a:blip xmlns:r="http://schemas.openxmlformats.org/officeDocument/2006/relationships" r:embed="rId6"/>
        <a:stretch>
          <a:fillRect/>
        </a:stretch>
      </xdr:blipFill>
      <xdr:spPr>
        <a:xfrm>
          <a:off x="864576" y="55164404"/>
          <a:ext cx="5363309" cy="326462"/>
        </a:xfrm>
        <a:prstGeom prst="rect">
          <a:avLst/>
        </a:prstGeom>
        <a:ln>
          <a:solidFill>
            <a:sysClr val="windowText" lastClr="000000"/>
          </a:solidFill>
        </a:ln>
      </xdr:spPr>
    </xdr:pic>
    <xdr:clientData/>
  </xdr:twoCellAnchor>
  <xdr:twoCellAnchor>
    <xdr:from>
      <xdr:col>23</xdr:col>
      <xdr:colOff>80032</xdr:colOff>
      <xdr:row>65</xdr:row>
      <xdr:rowOff>168631</xdr:rowOff>
    </xdr:from>
    <xdr:to>
      <xdr:col>23</xdr:col>
      <xdr:colOff>139193</xdr:colOff>
      <xdr:row>66</xdr:row>
      <xdr:rowOff>114766</xdr:rowOff>
    </xdr:to>
    <xdr:cxnSp macro="">
      <xdr:nvCxnSpPr>
        <xdr:cNvPr id="3" name="Straight Arrow Connector 2">
          <a:extLst>
            <a:ext uri="{FF2B5EF4-FFF2-40B4-BE49-F238E27FC236}">
              <a16:creationId xmlns:a16="http://schemas.microsoft.com/office/drawing/2014/main" id="{3C96F7D9-BDCF-CFA9-A8D3-F85F0BFC56D3}"/>
            </a:ext>
          </a:extLst>
        </xdr:cNvPr>
        <xdr:cNvCxnSpPr>
          <a:stCxn id="51" idx="2"/>
        </xdr:cNvCxnSpPr>
      </xdr:nvCxnSpPr>
      <xdr:spPr>
        <a:xfrm flipH="1">
          <a:off x="4922743" y="12140052"/>
          <a:ext cx="59161" cy="12660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85043</xdr:colOff>
      <xdr:row>66</xdr:row>
      <xdr:rowOff>104202</xdr:rowOff>
    </xdr:from>
    <xdr:to>
      <xdr:col>30</xdr:col>
      <xdr:colOff>35145</xdr:colOff>
      <xdr:row>66</xdr:row>
      <xdr:rowOff>159450</xdr:rowOff>
    </xdr:to>
    <xdr:cxnSp macro="">
      <xdr:nvCxnSpPr>
        <xdr:cNvPr id="6" name="Straight Arrow Connector 5">
          <a:extLst>
            <a:ext uri="{FF2B5EF4-FFF2-40B4-BE49-F238E27FC236}">
              <a16:creationId xmlns:a16="http://schemas.microsoft.com/office/drawing/2014/main" id="{40442B40-E903-438C-9671-34DF413FD20F}"/>
            </a:ext>
          </a:extLst>
        </xdr:cNvPr>
        <xdr:cNvCxnSpPr>
          <a:stCxn id="56" idx="1"/>
        </xdr:cNvCxnSpPr>
      </xdr:nvCxnSpPr>
      <xdr:spPr>
        <a:xfrm flipH="1" flipV="1">
          <a:off x="6191069" y="12256097"/>
          <a:ext cx="160655" cy="552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14358</xdr:colOff>
      <xdr:row>68</xdr:row>
      <xdr:rowOff>152400</xdr:rowOff>
    </xdr:from>
    <xdr:to>
      <xdr:col>25</xdr:col>
      <xdr:colOff>181731</xdr:colOff>
      <xdr:row>69</xdr:row>
      <xdr:rowOff>80992</xdr:rowOff>
    </xdr:to>
    <xdr:cxnSp macro="">
      <xdr:nvCxnSpPr>
        <xdr:cNvPr id="9" name="Straight Arrow Connector 8">
          <a:extLst>
            <a:ext uri="{FF2B5EF4-FFF2-40B4-BE49-F238E27FC236}">
              <a16:creationId xmlns:a16="http://schemas.microsoft.com/office/drawing/2014/main" id="{B19A6686-1D88-4B28-866B-ED8DE97F70CE}"/>
            </a:ext>
          </a:extLst>
        </xdr:cNvPr>
        <xdr:cNvCxnSpPr>
          <a:stCxn id="43" idx="1"/>
        </xdr:cNvCxnSpPr>
      </xdr:nvCxnSpPr>
      <xdr:spPr>
        <a:xfrm flipH="1" flipV="1">
          <a:off x="5278174" y="12665242"/>
          <a:ext cx="167373" cy="1090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50132</xdr:colOff>
      <xdr:row>67</xdr:row>
      <xdr:rowOff>105277</xdr:rowOff>
    </xdr:from>
    <xdr:to>
      <xdr:col>9</xdr:col>
      <xdr:colOff>106543</xdr:colOff>
      <xdr:row>67</xdr:row>
      <xdr:rowOff>176091</xdr:rowOff>
    </xdr:to>
    <xdr:cxnSp macro="">
      <xdr:nvCxnSpPr>
        <xdr:cNvPr id="11" name="Straight Arrow Connector 10">
          <a:extLst>
            <a:ext uri="{FF2B5EF4-FFF2-40B4-BE49-F238E27FC236}">
              <a16:creationId xmlns:a16="http://schemas.microsoft.com/office/drawing/2014/main" id="{DA5B50B9-21E1-4DED-819D-00BA1607CB5A}"/>
            </a:ext>
          </a:extLst>
        </xdr:cNvPr>
        <xdr:cNvCxnSpPr>
          <a:stCxn id="44" idx="1"/>
        </xdr:cNvCxnSpPr>
      </xdr:nvCxnSpPr>
      <xdr:spPr>
        <a:xfrm flipH="1" flipV="1">
          <a:off x="1734553" y="12437645"/>
          <a:ext cx="266964" cy="7081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154020</xdr:colOff>
      <xdr:row>68</xdr:row>
      <xdr:rowOff>146127</xdr:rowOff>
    </xdr:from>
    <xdr:to>
      <xdr:col>3</xdr:col>
      <xdr:colOff>154022</xdr:colOff>
      <xdr:row>69</xdr:row>
      <xdr:rowOff>133968</xdr:rowOff>
    </xdr:to>
    <xdr:sp macro="" textlink="">
      <xdr:nvSpPr>
        <xdr:cNvPr id="2" name="TextBox 1">
          <a:extLst>
            <a:ext uri="{FF2B5EF4-FFF2-40B4-BE49-F238E27FC236}">
              <a16:creationId xmlns:a16="http://schemas.microsoft.com/office/drawing/2014/main" id="{62D2F503-0329-43CF-8898-F18FDF112B7C}"/>
            </a:ext>
          </a:extLst>
        </xdr:cNvPr>
        <xdr:cNvSpPr txBox="1"/>
      </xdr:nvSpPr>
      <xdr:spPr>
        <a:xfrm>
          <a:off x="364573" y="12658969"/>
          <a:ext cx="421107" cy="168315"/>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ctr"/>
        <a:lstStyle/>
        <a:p>
          <a:pPr algn="ctr"/>
          <a:r>
            <a:rPr lang="en-US" sz="700">
              <a:solidFill>
                <a:srgbClr val="FF0000"/>
              </a:solidFill>
              <a:latin typeface="Arial" panose="020B0604020202020204" pitchFamily="34" charset="0"/>
              <a:cs typeface="Arial" panose="020B0604020202020204" pitchFamily="34" charset="0"/>
            </a:rPr>
            <a:t>Anchors</a:t>
          </a:r>
          <a:endParaRPr lang="en-US" sz="700" baseline="-25000">
            <a:solidFill>
              <a:srgbClr val="FF0000"/>
            </a:solidFill>
            <a:latin typeface="Arial" panose="020B0604020202020204" pitchFamily="34" charset="0"/>
            <a:cs typeface="Arial" panose="020B0604020202020204" pitchFamily="34" charset="0"/>
          </a:endParaRPr>
        </a:p>
      </xdr:txBody>
    </xdr:sp>
    <xdr:clientData/>
  </xdr:twoCellAnchor>
  <xdr:twoCellAnchor editAs="oneCell">
    <xdr:from>
      <xdr:col>3</xdr:col>
      <xdr:colOff>26276</xdr:colOff>
      <xdr:row>467</xdr:row>
      <xdr:rowOff>6571</xdr:rowOff>
    </xdr:from>
    <xdr:to>
      <xdr:col>18</xdr:col>
      <xdr:colOff>26277</xdr:colOff>
      <xdr:row>470</xdr:row>
      <xdr:rowOff>8417</xdr:rowOff>
    </xdr:to>
    <xdr:pic>
      <xdr:nvPicPr>
        <xdr:cNvPr id="4" name="Picture 3">
          <a:extLst>
            <a:ext uri="{FF2B5EF4-FFF2-40B4-BE49-F238E27FC236}">
              <a16:creationId xmlns:a16="http://schemas.microsoft.com/office/drawing/2014/main" id="{08E9A1F3-07E5-C063-BCA9-669365DE6172}"/>
            </a:ext>
          </a:extLst>
        </xdr:cNvPr>
        <xdr:cNvPicPr>
          <a:picLocks noChangeAspect="1"/>
        </xdr:cNvPicPr>
      </xdr:nvPicPr>
      <xdr:blipFill>
        <a:blip xmlns:r="http://schemas.openxmlformats.org/officeDocument/2006/relationships" r:embed="rId7"/>
        <a:stretch>
          <a:fillRect/>
        </a:stretch>
      </xdr:blipFill>
      <xdr:spPr>
        <a:xfrm>
          <a:off x="656897" y="67095416"/>
          <a:ext cx="3153104" cy="553638"/>
        </a:xfrm>
        <a:prstGeom prst="rect">
          <a:avLst/>
        </a:prstGeom>
        <a:ln>
          <a:solidFill>
            <a:sysClr val="windowText" lastClr="000000"/>
          </a:solidFill>
        </a:ln>
      </xdr:spPr>
    </xdr:pic>
    <xdr:clientData/>
  </xdr:twoCellAnchor>
  <xdr:twoCellAnchor editAs="oneCell">
    <xdr:from>
      <xdr:col>3</xdr:col>
      <xdr:colOff>13138</xdr:colOff>
      <xdr:row>463</xdr:row>
      <xdr:rowOff>6569</xdr:rowOff>
    </xdr:from>
    <xdr:to>
      <xdr:col>24</xdr:col>
      <xdr:colOff>111672</xdr:colOff>
      <xdr:row>466</xdr:row>
      <xdr:rowOff>34002</xdr:rowOff>
    </xdr:to>
    <xdr:pic>
      <xdr:nvPicPr>
        <xdr:cNvPr id="5" name="Picture 4">
          <a:extLst>
            <a:ext uri="{FF2B5EF4-FFF2-40B4-BE49-F238E27FC236}">
              <a16:creationId xmlns:a16="http://schemas.microsoft.com/office/drawing/2014/main" id="{B3EE3D73-F0BD-6A3E-CE40-3C07F5EEE5A7}"/>
            </a:ext>
          </a:extLst>
        </xdr:cNvPr>
        <xdr:cNvPicPr>
          <a:picLocks noChangeAspect="1"/>
        </xdr:cNvPicPr>
      </xdr:nvPicPr>
      <xdr:blipFill>
        <a:blip xmlns:r="http://schemas.openxmlformats.org/officeDocument/2006/relationships" r:embed="rId8"/>
        <a:stretch>
          <a:fillRect/>
        </a:stretch>
      </xdr:blipFill>
      <xdr:spPr>
        <a:xfrm>
          <a:off x="643759" y="66359690"/>
          <a:ext cx="4512879" cy="579227"/>
        </a:xfrm>
        <a:prstGeom prst="rect">
          <a:avLst/>
        </a:prstGeom>
        <a:ln>
          <a:solidFill>
            <a:sysClr val="windowText" lastClr="000000"/>
          </a:solidFill>
        </a:ln>
      </xdr:spPr>
    </xdr:pic>
    <xdr:clientData/>
  </xdr:twoCellAnchor>
  <xdr:twoCellAnchor editAs="oneCell">
    <xdr:from>
      <xdr:col>3</xdr:col>
      <xdr:colOff>13139</xdr:colOff>
      <xdr:row>288</xdr:row>
      <xdr:rowOff>13139</xdr:rowOff>
    </xdr:from>
    <xdr:to>
      <xdr:col>11</xdr:col>
      <xdr:colOff>118242</xdr:colOff>
      <xdr:row>294</xdr:row>
      <xdr:rowOff>57297</xdr:rowOff>
    </xdr:to>
    <xdr:pic>
      <xdr:nvPicPr>
        <xdr:cNvPr id="7" name="Picture 6">
          <a:extLst>
            <a:ext uri="{FF2B5EF4-FFF2-40B4-BE49-F238E27FC236}">
              <a16:creationId xmlns:a16="http://schemas.microsoft.com/office/drawing/2014/main" id="{189D96EF-8B31-610C-249B-E79C393A75BB}"/>
            </a:ext>
          </a:extLst>
        </xdr:cNvPr>
        <xdr:cNvPicPr>
          <a:picLocks noChangeAspect="1"/>
        </xdr:cNvPicPr>
      </xdr:nvPicPr>
      <xdr:blipFill>
        <a:blip xmlns:r="http://schemas.openxmlformats.org/officeDocument/2006/relationships" r:embed="rId9"/>
        <a:stretch>
          <a:fillRect/>
        </a:stretch>
      </xdr:blipFill>
      <xdr:spPr>
        <a:xfrm>
          <a:off x="643760" y="53688156"/>
          <a:ext cx="1786758" cy="1147744"/>
        </a:xfrm>
        <a:prstGeom prst="rect">
          <a:avLst/>
        </a:prstGeom>
        <a:ln>
          <a:solidFill>
            <a:sysClr val="windowText" lastClr="000000"/>
          </a:solidFill>
        </a:ln>
      </xdr:spPr>
    </xdr:pic>
    <xdr:clientData/>
  </xdr:twoCellAnchor>
  <xdr:twoCellAnchor editAs="oneCell">
    <xdr:from>
      <xdr:col>3</xdr:col>
      <xdr:colOff>21982</xdr:colOff>
      <xdr:row>324</xdr:row>
      <xdr:rowOff>29308</xdr:rowOff>
    </xdr:from>
    <xdr:to>
      <xdr:col>32</xdr:col>
      <xdr:colOff>139211</xdr:colOff>
      <xdr:row>328</xdr:row>
      <xdr:rowOff>26068</xdr:rowOff>
    </xdr:to>
    <xdr:pic>
      <xdr:nvPicPr>
        <xdr:cNvPr id="8" name="Picture 7">
          <a:extLst>
            <a:ext uri="{FF2B5EF4-FFF2-40B4-BE49-F238E27FC236}">
              <a16:creationId xmlns:a16="http://schemas.microsoft.com/office/drawing/2014/main" id="{955970BA-5F14-447C-90BF-BBBB623BA037}"/>
            </a:ext>
          </a:extLst>
        </xdr:cNvPr>
        <xdr:cNvPicPr>
          <a:picLocks noChangeAspect="1"/>
        </xdr:cNvPicPr>
      </xdr:nvPicPr>
      <xdr:blipFill>
        <a:blip xmlns:r="http://schemas.openxmlformats.org/officeDocument/2006/relationships" r:embed="rId10"/>
        <a:stretch>
          <a:fillRect/>
        </a:stretch>
      </xdr:blipFill>
      <xdr:spPr>
        <a:xfrm>
          <a:off x="659424" y="60190673"/>
          <a:ext cx="6279172" cy="729453"/>
        </a:xfrm>
        <a:prstGeom prst="rect">
          <a:avLst/>
        </a:prstGeom>
        <a:ln>
          <a:solidFill>
            <a:sysClr val="windowText" lastClr="000000"/>
          </a:solidFill>
        </a:ln>
      </xdr:spPr>
    </xdr:pic>
    <xdr:clientData/>
  </xdr:twoCellAnchor>
  <xdr:twoCellAnchor editAs="oneCell">
    <xdr:from>
      <xdr:col>3</xdr:col>
      <xdr:colOff>35878</xdr:colOff>
      <xdr:row>329</xdr:row>
      <xdr:rowOff>20466</xdr:rowOff>
    </xdr:from>
    <xdr:to>
      <xdr:col>21</xdr:col>
      <xdr:colOff>167257</xdr:colOff>
      <xdr:row>336</xdr:row>
      <xdr:rowOff>126366</xdr:rowOff>
    </xdr:to>
    <xdr:pic>
      <xdr:nvPicPr>
        <xdr:cNvPr id="10" name="Picture 9">
          <a:extLst>
            <a:ext uri="{FF2B5EF4-FFF2-40B4-BE49-F238E27FC236}">
              <a16:creationId xmlns:a16="http://schemas.microsoft.com/office/drawing/2014/main" id="{2B39BA52-72B7-B899-C9DA-A9FC79D48322}"/>
            </a:ext>
          </a:extLst>
        </xdr:cNvPr>
        <xdr:cNvPicPr>
          <a:picLocks noChangeAspect="1"/>
        </xdr:cNvPicPr>
      </xdr:nvPicPr>
      <xdr:blipFill>
        <a:blip xmlns:r="http://schemas.openxmlformats.org/officeDocument/2006/relationships" r:embed="rId11"/>
        <a:stretch>
          <a:fillRect/>
        </a:stretch>
      </xdr:blipFill>
      <xdr:spPr>
        <a:xfrm>
          <a:off x="673320" y="61097697"/>
          <a:ext cx="3956033" cy="1388111"/>
        </a:xfrm>
        <a:prstGeom prst="rect">
          <a:avLst/>
        </a:prstGeom>
        <a:ln>
          <a:solidFill>
            <a:sysClr val="windowText" lastClr="000000"/>
          </a:solidFill>
        </a:ln>
      </xdr:spPr>
    </xdr:pic>
    <xdr:clientData/>
  </xdr:twoCellAnchor>
  <xdr:twoCellAnchor editAs="oneCell">
    <xdr:from>
      <xdr:col>3</xdr:col>
      <xdr:colOff>20466</xdr:colOff>
      <xdr:row>338</xdr:row>
      <xdr:rowOff>10613</xdr:rowOff>
    </xdr:from>
    <xdr:to>
      <xdr:col>26</xdr:col>
      <xdr:colOff>46741</xdr:colOff>
      <xdr:row>345</xdr:row>
      <xdr:rowOff>166758</xdr:rowOff>
    </xdr:to>
    <xdr:pic>
      <xdr:nvPicPr>
        <xdr:cNvPr id="13" name="Picture 12">
          <a:extLst>
            <a:ext uri="{FF2B5EF4-FFF2-40B4-BE49-F238E27FC236}">
              <a16:creationId xmlns:a16="http://schemas.microsoft.com/office/drawing/2014/main" id="{D2806013-3EA1-6B9B-4157-1030EDC770D6}"/>
            </a:ext>
          </a:extLst>
        </xdr:cNvPr>
        <xdr:cNvPicPr>
          <a:picLocks noChangeAspect="1"/>
        </xdr:cNvPicPr>
      </xdr:nvPicPr>
      <xdr:blipFill>
        <a:blip xmlns:r="http://schemas.openxmlformats.org/officeDocument/2006/relationships" r:embed="rId12"/>
        <a:stretch>
          <a:fillRect/>
        </a:stretch>
      </xdr:blipFill>
      <xdr:spPr>
        <a:xfrm>
          <a:off x="657908" y="62736401"/>
          <a:ext cx="4913333" cy="1438357"/>
        </a:xfrm>
        <a:prstGeom prst="rect">
          <a:avLst/>
        </a:prstGeom>
        <a:ln>
          <a:solidFill>
            <a:sysClr val="windowText" lastClr="000000"/>
          </a:solidFill>
        </a:ln>
      </xdr:spPr>
    </xdr:pic>
    <xdr:clientData/>
  </xdr:twoCellAnchor>
  <xdr:twoCellAnchor editAs="oneCell">
    <xdr:from>
      <xdr:col>15</xdr:col>
      <xdr:colOff>11907</xdr:colOff>
      <xdr:row>70</xdr:row>
      <xdr:rowOff>142875</xdr:rowOff>
    </xdr:from>
    <xdr:to>
      <xdr:col>23</xdr:col>
      <xdr:colOff>119062</xdr:colOff>
      <xdr:row>75</xdr:row>
      <xdr:rowOff>140034</xdr:rowOff>
    </xdr:to>
    <xdr:pic>
      <xdr:nvPicPr>
        <xdr:cNvPr id="12" name="Picture 11">
          <a:extLst>
            <a:ext uri="{FF2B5EF4-FFF2-40B4-BE49-F238E27FC236}">
              <a16:creationId xmlns:a16="http://schemas.microsoft.com/office/drawing/2014/main" id="{4C29167E-D33F-7A94-2304-7A9635358320}"/>
            </a:ext>
          </a:extLst>
        </xdr:cNvPr>
        <xdr:cNvPicPr>
          <a:picLocks noChangeAspect="1"/>
        </xdr:cNvPicPr>
      </xdr:nvPicPr>
      <xdr:blipFill>
        <a:blip xmlns:r="http://schemas.openxmlformats.org/officeDocument/2006/relationships" r:embed="rId13"/>
        <a:stretch>
          <a:fillRect/>
        </a:stretch>
      </xdr:blipFill>
      <xdr:spPr>
        <a:xfrm>
          <a:off x="3137298" y="12930188"/>
          <a:ext cx="1774030" cy="890127"/>
        </a:xfrm>
        <a:prstGeom prst="rect">
          <a:avLst/>
        </a:prstGeom>
        <a:ln>
          <a:solidFill>
            <a:sysClr val="windowText" lastClr="000000"/>
          </a:solid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51288</xdr:colOff>
      <xdr:row>114</xdr:row>
      <xdr:rowOff>146539</xdr:rowOff>
    </xdr:from>
    <xdr:to>
      <xdr:col>13</xdr:col>
      <xdr:colOff>43962</xdr:colOff>
      <xdr:row>121</xdr:row>
      <xdr:rowOff>65671</xdr:rowOff>
    </xdr:to>
    <xdr:pic>
      <xdr:nvPicPr>
        <xdr:cNvPr id="3" name="Picture 2">
          <a:extLst>
            <a:ext uri="{FF2B5EF4-FFF2-40B4-BE49-F238E27FC236}">
              <a16:creationId xmlns:a16="http://schemas.microsoft.com/office/drawing/2014/main" id="{1E20B8F7-8187-4821-06EE-030B1036A829}"/>
            </a:ext>
          </a:extLst>
        </xdr:cNvPr>
        <xdr:cNvPicPr>
          <a:picLocks noChangeAspect="1"/>
        </xdr:cNvPicPr>
      </xdr:nvPicPr>
      <xdr:blipFill>
        <a:blip xmlns:r="http://schemas.openxmlformats.org/officeDocument/2006/relationships" r:embed="rId1"/>
        <a:stretch>
          <a:fillRect/>
        </a:stretch>
      </xdr:blipFill>
      <xdr:spPr>
        <a:xfrm>
          <a:off x="688730" y="20214981"/>
          <a:ext cx="2117482" cy="1047478"/>
        </a:xfrm>
        <a:prstGeom prst="rect">
          <a:avLst/>
        </a:prstGeom>
        <a:ln>
          <a:solidFill>
            <a:sysClr val="windowText" lastClr="000000"/>
          </a:solidFill>
        </a:ln>
      </xdr:spPr>
    </xdr:pic>
    <xdr:clientData/>
  </xdr:twoCellAnchor>
  <xdr:twoCellAnchor editAs="oneCell">
    <xdr:from>
      <xdr:col>3</xdr:col>
      <xdr:colOff>1</xdr:colOff>
      <xdr:row>134</xdr:row>
      <xdr:rowOff>19051</xdr:rowOff>
    </xdr:from>
    <xdr:to>
      <xdr:col>20</xdr:col>
      <xdr:colOff>95251</xdr:colOff>
      <xdr:row>145</xdr:row>
      <xdr:rowOff>145203</xdr:rowOff>
    </xdr:to>
    <xdr:pic>
      <xdr:nvPicPr>
        <xdr:cNvPr id="4" name="Picture 3">
          <a:extLst>
            <a:ext uri="{FF2B5EF4-FFF2-40B4-BE49-F238E27FC236}">
              <a16:creationId xmlns:a16="http://schemas.microsoft.com/office/drawing/2014/main" id="{6D7D551E-5845-AB07-9F43-30CDA7E41CAA}"/>
            </a:ext>
          </a:extLst>
        </xdr:cNvPr>
        <xdr:cNvPicPr>
          <a:picLocks noChangeAspect="1"/>
        </xdr:cNvPicPr>
      </xdr:nvPicPr>
      <xdr:blipFill>
        <a:blip xmlns:r="http://schemas.openxmlformats.org/officeDocument/2006/relationships" r:embed="rId2"/>
        <a:stretch>
          <a:fillRect/>
        </a:stretch>
      </xdr:blipFill>
      <xdr:spPr>
        <a:xfrm>
          <a:off x="628651" y="22621876"/>
          <a:ext cx="3657600" cy="1907326"/>
        </a:xfrm>
        <a:prstGeom prst="rect">
          <a:avLst/>
        </a:prstGeom>
      </xdr:spPr>
    </xdr:pic>
    <xdr:clientData/>
  </xdr:twoCellAnchor>
  <xdr:twoCellAnchor editAs="oneCell">
    <xdr:from>
      <xdr:col>2</xdr:col>
      <xdr:colOff>200025</xdr:colOff>
      <xdr:row>342</xdr:row>
      <xdr:rowOff>133351</xdr:rowOff>
    </xdr:from>
    <xdr:to>
      <xdr:col>21</xdr:col>
      <xdr:colOff>133350</xdr:colOff>
      <xdr:row>355</xdr:row>
      <xdr:rowOff>22785</xdr:rowOff>
    </xdr:to>
    <xdr:pic>
      <xdr:nvPicPr>
        <xdr:cNvPr id="5" name="Picture 4">
          <a:extLst>
            <a:ext uri="{FF2B5EF4-FFF2-40B4-BE49-F238E27FC236}">
              <a16:creationId xmlns:a16="http://schemas.microsoft.com/office/drawing/2014/main" id="{7B970357-306F-2ACD-4C33-1F3A6DF3AB01}"/>
            </a:ext>
          </a:extLst>
        </xdr:cNvPr>
        <xdr:cNvPicPr>
          <a:picLocks noChangeAspect="1"/>
        </xdr:cNvPicPr>
      </xdr:nvPicPr>
      <xdr:blipFill>
        <a:blip xmlns:r="http://schemas.openxmlformats.org/officeDocument/2006/relationships" r:embed="rId3"/>
        <a:stretch>
          <a:fillRect/>
        </a:stretch>
      </xdr:blipFill>
      <xdr:spPr>
        <a:xfrm>
          <a:off x="619125" y="51073051"/>
          <a:ext cx="3914775" cy="1994460"/>
        </a:xfrm>
        <a:prstGeom prst="rect">
          <a:avLst/>
        </a:prstGeom>
      </xdr:spPr>
    </xdr:pic>
    <xdr:clientData/>
  </xdr:twoCellAnchor>
  <xdr:twoCellAnchor editAs="oneCell">
    <xdr:from>
      <xdr:col>3</xdr:col>
      <xdr:colOff>9526</xdr:colOff>
      <xdr:row>380</xdr:row>
      <xdr:rowOff>9525</xdr:rowOff>
    </xdr:from>
    <xdr:to>
      <xdr:col>17</xdr:col>
      <xdr:colOff>131885</xdr:colOff>
      <xdr:row>392</xdr:row>
      <xdr:rowOff>90820</xdr:rowOff>
    </xdr:to>
    <xdr:pic>
      <xdr:nvPicPr>
        <xdr:cNvPr id="2" name="Picture 1">
          <a:extLst>
            <a:ext uri="{FF2B5EF4-FFF2-40B4-BE49-F238E27FC236}">
              <a16:creationId xmlns:a16="http://schemas.microsoft.com/office/drawing/2014/main" id="{4B60A216-AF75-E8F0-A291-FE470FAA64D7}"/>
            </a:ext>
          </a:extLst>
        </xdr:cNvPr>
        <xdr:cNvPicPr>
          <a:picLocks noChangeAspect="1"/>
        </xdr:cNvPicPr>
      </xdr:nvPicPr>
      <xdr:blipFill>
        <a:blip xmlns:r="http://schemas.openxmlformats.org/officeDocument/2006/relationships" r:embed="rId4"/>
        <a:stretch>
          <a:fillRect/>
        </a:stretch>
      </xdr:blipFill>
      <xdr:spPr>
        <a:xfrm>
          <a:off x="646968" y="65299737"/>
          <a:ext cx="3097090" cy="2015603"/>
        </a:xfrm>
        <a:prstGeom prst="rect">
          <a:avLst/>
        </a:prstGeom>
        <a:ln>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21982</xdr:colOff>
      <xdr:row>366</xdr:row>
      <xdr:rowOff>21982</xdr:rowOff>
    </xdr:from>
    <xdr:to>
      <xdr:col>28</xdr:col>
      <xdr:colOff>109904</xdr:colOff>
      <xdr:row>376</xdr:row>
      <xdr:rowOff>168535</xdr:rowOff>
    </xdr:to>
    <xdr:pic>
      <xdr:nvPicPr>
        <xdr:cNvPr id="2" name="Picture 1">
          <a:extLst>
            <a:ext uri="{FF2B5EF4-FFF2-40B4-BE49-F238E27FC236}">
              <a16:creationId xmlns:a16="http://schemas.microsoft.com/office/drawing/2014/main" id="{806B8BDF-E5C4-4F15-9C24-5A70723160F6}"/>
            </a:ext>
          </a:extLst>
        </xdr:cNvPr>
        <xdr:cNvPicPr>
          <a:picLocks noChangeAspect="1"/>
        </xdr:cNvPicPr>
      </xdr:nvPicPr>
      <xdr:blipFill>
        <a:blip xmlns:r="http://schemas.openxmlformats.org/officeDocument/2006/relationships" r:embed="rId1"/>
        <a:stretch>
          <a:fillRect/>
        </a:stretch>
      </xdr:blipFill>
      <xdr:spPr>
        <a:xfrm>
          <a:off x="650632" y="64239532"/>
          <a:ext cx="5326672" cy="2051553"/>
        </a:xfrm>
        <a:prstGeom prst="rect">
          <a:avLst/>
        </a:prstGeom>
        <a:ln>
          <a:solidFill>
            <a:sysClr val="windowText" lastClr="000000"/>
          </a:solidFill>
        </a:ln>
      </xdr:spPr>
    </xdr:pic>
    <xdr:clientData/>
  </xdr:twoCellAnchor>
  <xdr:twoCellAnchor>
    <xdr:from>
      <xdr:col>20</xdr:col>
      <xdr:colOff>19707</xdr:colOff>
      <xdr:row>1022</xdr:row>
      <xdr:rowOff>39413</xdr:rowOff>
    </xdr:from>
    <xdr:to>
      <xdr:col>20</xdr:col>
      <xdr:colOff>19707</xdr:colOff>
      <xdr:row>1782</xdr:row>
      <xdr:rowOff>65689</xdr:rowOff>
    </xdr:to>
    <xdr:cxnSp macro="">
      <xdr:nvCxnSpPr>
        <xdr:cNvPr id="4" name="Straight Arrow Connector 3">
          <a:extLst>
            <a:ext uri="{FF2B5EF4-FFF2-40B4-BE49-F238E27FC236}">
              <a16:creationId xmlns:a16="http://schemas.microsoft.com/office/drawing/2014/main" id="{E40E3F8D-FA41-4F0A-B4FC-76AEF139363A}"/>
            </a:ext>
          </a:extLst>
        </xdr:cNvPr>
        <xdr:cNvCxnSpPr/>
      </xdr:nvCxnSpPr>
      <xdr:spPr>
        <a:xfrm flipV="1">
          <a:off x="4210707" y="185567363"/>
          <a:ext cx="0" cy="137567276"/>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58615</xdr:colOff>
      <xdr:row>2986</xdr:row>
      <xdr:rowOff>73270</xdr:rowOff>
    </xdr:from>
    <xdr:to>
      <xdr:col>32</xdr:col>
      <xdr:colOff>102577</xdr:colOff>
      <xdr:row>2987</xdr:row>
      <xdr:rowOff>51289</xdr:rowOff>
    </xdr:to>
    <xdr:sp macro="" textlink="">
      <xdr:nvSpPr>
        <xdr:cNvPr id="5" name="Rectangle 4">
          <a:extLst>
            <a:ext uri="{FF2B5EF4-FFF2-40B4-BE49-F238E27FC236}">
              <a16:creationId xmlns:a16="http://schemas.microsoft.com/office/drawing/2014/main" id="{5A17A874-0E7E-422F-BADF-47E7EEC69DCD}"/>
            </a:ext>
          </a:extLst>
        </xdr:cNvPr>
        <xdr:cNvSpPr/>
      </xdr:nvSpPr>
      <xdr:spPr>
        <a:xfrm>
          <a:off x="4040065" y="541036120"/>
          <a:ext cx="2768112" cy="158994"/>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16564</xdr:colOff>
      <xdr:row>417</xdr:row>
      <xdr:rowOff>190499</xdr:rowOff>
    </xdr:from>
    <xdr:to>
      <xdr:col>24</xdr:col>
      <xdr:colOff>91109</xdr:colOff>
      <xdr:row>429</xdr:row>
      <xdr:rowOff>44514</xdr:rowOff>
    </xdr:to>
    <xdr:pic>
      <xdr:nvPicPr>
        <xdr:cNvPr id="6" name="Picture 5">
          <a:extLst>
            <a:ext uri="{FF2B5EF4-FFF2-40B4-BE49-F238E27FC236}">
              <a16:creationId xmlns:a16="http://schemas.microsoft.com/office/drawing/2014/main" id="{8C5AF90B-908F-4D47-AB98-D8802A1E7766}"/>
            </a:ext>
          </a:extLst>
        </xdr:cNvPr>
        <xdr:cNvPicPr>
          <a:picLocks noChangeAspect="1"/>
        </xdr:cNvPicPr>
      </xdr:nvPicPr>
      <xdr:blipFill>
        <a:blip xmlns:r="http://schemas.openxmlformats.org/officeDocument/2006/relationships" r:embed="rId2"/>
        <a:stretch>
          <a:fillRect/>
        </a:stretch>
      </xdr:blipFill>
      <xdr:spPr>
        <a:xfrm>
          <a:off x="854764" y="72685274"/>
          <a:ext cx="4265545" cy="2035240"/>
        </a:xfrm>
        <a:prstGeom prst="rect">
          <a:avLst/>
        </a:prstGeom>
        <a:ln>
          <a:solidFill>
            <a:sysClr val="windowText" lastClr="000000"/>
          </a:solidFill>
        </a:ln>
      </xdr:spPr>
    </xdr:pic>
    <xdr:clientData/>
  </xdr:twoCellAnchor>
  <xdr:twoCellAnchor editAs="oneCell">
    <xdr:from>
      <xdr:col>4</xdr:col>
      <xdr:colOff>19707</xdr:colOff>
      <xdr:row>190</xdr:row>
      <xdr:rowOff>29704</xdr:rowOff>
    </xdr:from>
    <xdr:to>
      <xdr:col>25</xdr:col>
      <xdr:colOff>176796</xdr:colOff>
      <xdr:row>203</xdr:row>
      <xdr:rowOff>84860</xdr:rowOff>
    </xdr:to>
    <xdr:pic>
      <xdr:nvPicPr>
        <xdr:cNvPr id="7" name="Picture 6">
          <a:extLst>
            <a:ext uri="{FF2B5EF4-FFF2-40B4-BE49-F238E27FC236}">
              <a16:creationId xmlns:a16="http://schemas.microsoft.com/office/drawing/2014/main" id="{C3415A06-7C77-4817-BCD0-5D48EDE3D61D}"/>
            </a:ext>
          </a:extLst>
        </xdr:cNvPr>
        <xdr:cNvPicPr>
          <a:picLocks noChangeAspect="1"/>
        </xdr:cNvPicPr>
      </xdr:nvPicPr>
      <xdr:blipFill>
        <a:blip xmlns:r="http://schemas.openxmlformats.org/officeDocument/2006/relationships" r:embed="rId3"/>
        <a:stretch>
          <a:fillRect/>
        </a:stretch>
      </xdr:blipFill>
      <xdr:spPr>
        <a:xfrm>
          <a:off x="847968" y="33002769"/>
          <a:ext cx="4505458" cy="2423982"/>
        </a:xfrm>
        <a:prstGeom prst="rect">
          <a:avLst/>
        </a:prstGeom>
        <a:ln>
          <a:solidFill>
            <a:sysClr val="windowText" lastClr="000000"/>
          </a:solidFill>
        </a:ln>
      </xdr:spPr>
    </xdr:pic>
    <xdr:clientData/>
  </xdr:twoCellAnchor>
  <xdr:twoCellAnchor editAs="oneCell">
    <xdr:from>
      <xdr:col>4</xdr:col>
      <xdr:colOff>19706</xdr:colOff>
      <xdr:row>207</xdr:row>
      <xdr:rowOff>13138</xdr:rowOff>
    </xdr:from>
    <xdr:to>
      <xdr:col>24</xdr:col>
      <xdr:colOff>157655</xdr:colOff>
      <xdr:row>220</xdr:row>
      <xdr:rowOff>70562</xdr:rowOff>
    </xdr:to>
    <xdr:pic>
      <xdr:nvPicPr>
        <xdr:cNvPr id="8" name="Picture 7">
          <a:extLst>
            <a:ext uri="{FF2B5EF4-FFF2-40B4-BE49-F238E27FC236}">
              <a16:creationId xmlns:a16="http://schemas.microsoft.com/office/drawing/2014/main" id="{2E08D39F-D55E-4D8D-8F40-2A9FEEFCA03C}"/>
            </a:ext>
          </a:extLst>
        </xdr:cNvPr>
        <xdr:cNvPicPr>
          <a:picLocks noChangeAspect="1"/>
        </xdr:cNvPicPr>
      </xdr:nvPicPr>
      <xdr:blipFill>
        <a:blip xmlns:r="http://schemas.openxmlformats.org/officeDocument/2006/relationships" r:embed="rId4"/>
        <a:stretch>
          <a:fillRect/>
        </a:stretch>
      </xdr:blipFill>
      <xdr:spPr>
        <a:xfrm>
          <a:off x="857906" y="35455663"/>
          <a:ext cx="4328949" cy="2410099"/>
        </a:xfrm>
        <a:prstGeom prst="rect">
          <a:avLst/>
        </a:prstGeom>
        <a:ln>
          <a:solidFill>
            <a:sysClr val="windowText" lastClr="000000"/>
          </a:solidFill>
        </a:ln>
      </xdr:spPr>
    </xdr:pic>
    <xdr:clientData/>
  </xdr:twoCellAnchor>
  <xdr:twoCellAnchor>
    <xdr:from>
      <xdr:col>15</xdr:col>
      <xdr:colOff>39502</xdr:colOff>
      <xdr:row>424</xdr:row>
      <xdr:rowOff>163104</xdr:rowOff>
    </xdr:from>
    <xdr:to>
      <xdr:col>16</xdr:col>
      <xdr:colOff>187953</xdr:colOff>
      <xdr:row>426</xdr:row>
      <xdr:rowOff>53199</xdr:rowOff>
    </xdr:to>
    <xdr:sp macro="" textlink="">
      <xdr:nvSpPr>
        <xdr:cNvPr id="9" name="Oval 8">
          <a:extLst>
            <a:ext uri="{FF2B5EF4-FFF2-40B4-BE49-F238E27FC236}">
              <a16:creationId xmlns:a16="http://schemas.microsoft.com/office/drawing/2014/main" id="{6231ACD2-C886-456F-ACE7-4924F5E2D5CF}"/>
            </a:ext>
          </a:extLst>
        </xdr:cNvPr>
        <xdr:cNvSpPr/>
      </xdr:nvSpPr>
      <xdr:spPr>
        <a:xfrm>
          <a:off x="3182752" y="73934229"/>
          <a:ext cx="358001" cy="2520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21981</xdr:colOff>
      <xdr:row>386</xdr:row>
      <xdr:rowOff>7326</xdr:rowOff>
    </xdr:from>
    <xdr:to>
      <xdr:col>22</xdr:col>
      <xdr:colOff>14653</xdr:colOff>
      <xdr:row>396</xdr:row>
      <xdr:rowOff>41169</xdr:rowOff>
    </xdr:to>
    <xdr:pic>
      <xdr:nvPicPr>
        <xdr:cNvPr id="10" name="Picture 9">
          <a:extLst>
            <a:ext uri="{FF2B5EF4-FFF2-40B4-BE49-F238E27FC236}">
              <a16:creationId xmlns:a16="http://schemas.microsoft.com/office/drawing/2014/main" id="{DE47962C-A99C-465B-A529-75D5A232163E}"/>
            </a:ext>
          </a:extLst>
        </xdr:cNvPr>
        <xdr:cNvPicPr>
          <a:picLocks noChangeAspect="1"/>
        </xdr:cNvPicPr>
      </xdr:nvPicPr>
      <xdr:blipFill>
        <a:blip xmlns:r="http://schemas.openxmlformats.org/officeDocument/2006/relationships" r:embed="rId5"/>
        <a:stretch>
          <a:fillRect/>
        </a:stretch>
      </xdr:blipFill>
      <xdr:spPr>
        <a:xfrm>
          <a:off x="650631" y="66510876"/>
          <a:ext cx="3974122" cy="1938843"/>
        </a:xfrm>
        <a:prstGeom prst="rect">
          <a:avLst/>
        </a:prstGeom>
        <a:ln>
          <a:solidFill>
            <a:sysClr val="windowText" lastClr="000000"/>
          </a:solidFill>
        </a:ln>
      </xdr:spPr>
    </xdr:pic>
    <xdr:clientData/>
  </xdr:twoCellAnchor>
  <xdr:twoCellAnchor>
    <xdr:from>
      <xdr:col>16</xdr:col>
      <xdr:colOff>103060</xdr:colOff>
      <xdr:row>392</xdr:row>
      <xdr:rowOff>90154</xdr:rowOff>
    </xdr:from>
    <xdr:to>
      <xdr:col>17</xdr:col>
      <xdr:colOff>175847</xdr:colOff>
      <xdr:row>393</xdr:row>
      <xdr:rowOff>87923</xdr:rowOff>
    </xdr:to>
    <xdr:sp macro="" textlink="">
      <xdr:nvSpPr>
        <xdr:cNvPr id="11" name="Oval 10">
          <a:extLst>
            <a:ext uri="{FF2B5EF4-FFF2-40B4-BE49-F238E27FC236}">
              <a16:creationId xmlns:a16="http://schemas.microsoft.com/office/drawing/2014/main" id="{89F0B430-B059-49FD-A257-F8CBEF6A8825}"/>
            </a:ext>
          </a:extLst>
        </xdr:cNvPr>
        <xdr:cNvSpPr/>
      </xdr:nvSpPr>
      <xdr:spPr>
        <a:xfrm>
          <a:off x="3455860" y="67736704"/>
          <a:ext cx="282337" cy="188269"/>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80596</xdr:colOff>
      <xdr:row>366</xdr:row>
      <xdr:rowOff>139849</xdr:rowOff>
    </xdr:from>
    <xdr:to>
      <xdr:col>20</xdr:col>
      <xdr:colOff>183174</xdr:colOff>
      <xdr:row>369</xdr:row>
      <xdr:rowOff>87922</xdr:rowOff>
    </xdr:to>
    <xdr:sp macro="" textlink="">
      <xdr:nvSpPr>
        <xdr:cNvPr id="12" name="Rectangle 11">
          <a:extLst>
            <a:ext uri="{FF2B5EF4-FFF2-40B4-BE49-F238E27FC236}">
              <a16:creationId xmlns:a16="http://schemas.microsoft.com/office/drawing/2014/main" id="{5F8C0689-81FE-46F8-89F3-D112C26CBC01}"/>
            </a:ext>
          </a:extLst>
        </xdr:cNvPr>
        <xdr:cNvSpPr/>
      </xdr:nvSpPr>
      <xdr:spPr>
        <a:xfrm>
          <a:off x="4062046" y="64357399"/>
          <a:ext cx="312128" cy="519573"/>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29308</xdr:colOff>
      <xdr:row>467</xdr:row>
      <xdr:rowOff>21982</xdr:rowOff>
    </xdr:from>
    <xdr:to>
      <xdr:col>32</xdr:col>
      <xdr:colOff>2534</xdr:colOff>
      <xdr:row>477</xdr:row>
      <xdr:rowOff>17764</xdr:rowOff>
    </xdr:to>
    <xdr:pic>
      <xdr:nvPicPr>
        <xdr:cNvPr id="13" name="Picture 12">
          <a:extLst>
            <a:ext uri="{FF2B5EF4-FFF2-40B4-BE49-F238E27FC236}">
              <a16:creationId xmlns:a16="http://schemas.microsoft.com/office/drawing/2014/main" id="{89D1EF58-E428-422E-9412-B401A7650324}"/>
            </a:ext>
          </a:extLst>
        </xdr:cNvPr>
        <xdr:cNvPicPr>
          <a:picLocks noChangeAspect="1"/>
        </xdr:cNvPicPr>
      </xdr:nvPicPr>
      <xdr:blipFill>
        <a:blip xmlns:r="http://schemas.openxmlformats.org/officeDocument/2006/relationships" r:embed="rId6"/>
        <a:stretch>
          <a:fillRect/>
        </a:stretch>
      </xdr:blipFill>
      <xdr:spPr>
        <a:xfrm>
          <a:off x="657958" y="83889607"/>
          <a:ext cx="6050176" cy="1805532"/>
        </a:xfrm>
        <a:prstGeom prst="rect">
          <a:avLst/>
        </a:prstGeom>
        <a:ln>
          <a:solidFill>
            <a:sysClr val="windowText" lastClr="000000"/>
          </a:solidFill>
        </a:ln>
      </xdr:spPr>
    </xdr:pic>
    <xdr:clientData/>
  </xdr:twoCellAnchor>
  <xdr:twoCellAnchor>
    <xdr:from>
      <xdr:col>19</xdr:col>
      <xdr:colOff>10198</xdr:colOff>
      <xdr:row>473</xdr:row>
      <xdr:rowOff>40140</xdr:rowOff>
    </xdr:from>
    <xdr:to>
      <xdr:col>31</xdr:col>
      <xdr:colOff>196239</xdr:colOff>
      <xdr:row>474</xdr:row>
      <xdr:rowOff>31857</xdr:rowOff>
    </xdr:to>
    <xdr:sp macro="" textlink="">
      <xdr:nvSpPr>
        <xdr:cNvPr id="14" name="Rectangle 13">
          <a:extLst>
            <a:ext uri="{FF2B5EF4-FFF2-40B4-BE49-F238E27FC236}">
              <a16:creationId xmlns:a16="http://schemas.microsoft.com/office/drawing/2014/main" id="{496640EA-99BE-4A03-B109-A64E30EF4856}"/>
            </a:ext>
          </a:extLst>
        </xdr:cNvPr>
        <xdr:cNvSpPr/>
      </xdr:nvSpPr>
      <xdr:spPr>
        <a:xfrm>
          <a:off x="3991648" y="84993615"/>
          <a:ext cx="2700641" cy="172692"/>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25526</xdr:colOff>
      <xdr:row>493</xdr:row>
      <xdr:rowOff>124275</xdr:rowOff>
    </xdr:from>
    <xdr:to>
      <xdr:col>31</xdr:col>
      <xdr:colOff>189366</xdr:colOff>
      <xdr:row>504</xdr:row>
      <xdr:rowOff>167992</xdr:rowOff>
    </xdr:to>
    <xdr:pic>
      <xdr:nvPicPr>
        <xdr:cNvPr id="15" name="Picture 14">
          <a:extLst>
            <a:ext uri="{FF2B5EF4-FFF2-40B4-BE49-F238E27FC236}">
              <a16:creationId xmlns:a16="http://schemas.microsoft.com/office/drawing/2014/main" id="{EAE00428-64E5-453C-BB03-502D7AF093F3}"/>
            </a:ext>
          </a:extLst>
        </xdr:cNvPr>
        <xdr:cNvPicPr>
          <a:picLocks noChangeAspect="1"/>
        </xdr:cNvPicPr>
      </xdr:nvPicPr>
      <xdr:blipFill>
        <a:blip xmlns:r="http://schemas.openxmlformats.org/officeDocument/2006/relationships" r:embed="rId7"/>
        <a:stretch>
          <a:fillRect/>
        </a:stretch>
      </xdr:blipFill>
      <xdr:spPr>
        <a:xfrm>
          <a:off x="863726" y="88916325"/>
          <a:ext cx="5821690" cy="2034441"/>
        </a:xfrm>
        <a:prstGeom prst="rect">
          <a:avLst/>
        </a:prstGeom>
        <a:ln>
          <a:solidFill>
            <a:sysClr val="windowText" lastClr="000000"/>
          </a:solidFill>
        </a:ln>
      </xdr:spPr>
    </xdr:pic>
    <xdr:clientData/>
  </xdr:twoCellAnchor>
  <xdr:twoCellAnchor editAs="oneCell">
    <xdr:from>
      <xdr:col>4</xdr:col>
      <xdr:colOff>17858</xdr:colOff>
      <xdr:row>517</xdr:row>
      <xdr:rowOff>11906</xdr:rowOff>
    </xdr:from>
    <xdr:to>
      <xdr:col>32</xdr:col>
      <xdr:colOff>39600</xdr:colOff>
      <xdr:row>523</xdr:row>
      <xdr:rowOff>1265</xdr:rowOff>
    </xdr:to>
    <xdr:pic>
      <xdr:nvPicPr>
        <xdr:cNvPr id="16" name="Picture 15">
          <a:extLst>
            <a:ext uri="{FF2B5EF4-FFF2-40B4-BE49-F238E27FC236}">
              <a16:creationId xmlns:a16="http://schemas.microsoft.com/office/drawing/2014/main" id="{863D5D45-0D5E-447D-8199-1977739FF000}"/>
            </a:ext>
          </a:extLst>
        </xdr:cNvPr>
        <xdr:cNvPicPr>
          <a:picLocks noChangeAspect="1"/>
        </xdr:cNvPicPr>
      </xdr:nvPicPr>
      <xdr:blipFill>
        <a:blip xmlns:r="http://schemas.openxmlformats.org/officeDocument/2006/relationships" r:embed="rId8"/>
        <a:stretch>
          <a:fillRect/>
        </a:stretch>
      </xdr:blipFill>
      <xdr:spPr>
        <a:xfrm>
          <a:off x="856058" y="93204506"/>
          <a:ext cx="5889142" cy="1075209"/>
        </a:xfrm>
        <a:prstGeom prst="rect">
          <a:avLst/>
        </a:prstGeom>
        <a:ln>
          <a:solidFill>
            <a:sysClr val="windowText" lastClr="000000"/>
          </a:solidFill>
        </a:ln>
      </xdr:spPr>
    </xdr:pic>
    <xdr:clientData/>
  </xdr:twoCellAnchor>
  <xdr:twoCellAnchor editAs="oneCell">
    <xdr:from>
      <xdr:col>4</xdr:col>
      <xdr:colOff>11906</xdr:colOff>
      <xdr:row>548</xdr:row>
      <xdr:rowOff>11907</xdr:rowOff>
    </xdr:from>
    <xdr:to>
      <xdr:col>32</xdr:col>
      <xdr:colOff>33648</xdr:colOff>
      <xdr:row>554</xdr:row>
      <xdr:rowOff>1264</xdr:rowOff>
    </xdr:to>
    <xdr:pic>
      <xdr:nvPicPr>
        <xdr:cNvPr id="17" name="Picture 16">
          <a:extLst>
            <a:ext uri="{FF2B5EF4-FFF2-40B4-BE49-F238E27FC236}">
              <a16:creationId xmlns:a16="http://schemas.microsoft.com/office/drawing/2014/main" id="{11B53134-F0D0-44B1-B09A-4DB1E8E60BBC}"/>
            </a:ext>
          </a:extLst>
        </xdr:cNvPr>
        <xdr:cNvPicPr>
          <a:picLocks noChangeAspect="1"/>
        </xdr:cNvPicPr>
      </xdr:nvPicPr>
      <xdr:blipFill>
        <a:blip xmlns:r="http://schemas.openxmlformats.org/officeDocument/2006/relationships" r:embed="rId8"/>
        <a:stretch>
          <a:fillRect/>
        </a:stretch>
      </xdr:blipFill>
      <xdr:spPr>
        <a:xfrm>
          <a:off x="850106" y="98967132"/>
          <a:ext cx="5889142" cy="1075208"/>
        </a:xfrm>
        <a:prstGeom prst="rect">
          <a:avLst/>
        </a:prstGeom>
        <a:ln>
          <a:solidFill>
            <a:sysClr val="windowText" lastClr="000000"/>
          </a:solidFill>
        </a:ln>
      </xdr:spPr>
    </xdr:pic>
    <xdr:clientData/>
  </xdr:twoCellAnchor>
  <xdr:twoCellAnchor editAs="oneCell">
    <xdr:from>
      <xdr:col>4</xdr:col>
      <xdr:colOff>11905</xdr:colOff>
      <xdr:row>564</xdr:row>
      <xdr:rowOff>89297</xdr:rowOff>
    </xdr:from>
    <xdr:to>
      <xdr:col>32</xdr:col>
      <xdr:colOff>91626</xdr:colOff>
      <xdr:row>573</xdr:row>
      <xdr:rowOff>87232</xdr:rowOff>
    </xdr:to>
    <xdr:pic>
      <xdr:nvPicPr>
        <xdr:cNvPr id="18" name="Picture 17">
          <a:extLst>
            <a:ext uri="{FF2B5EF4-FFF2-40B4-BE49-F238E27FC236}">
              <a16:creationId xmlns:a16="http://schemas.microsoft.com/office/drawing/2014/main" id="{8D60D555-1C53-4F74-9E11-55EDD75142F4}"/>
            </a:ext>
          </a:extLst>
        </xdr:cNvPr>
        <xdr:cNvPicPr>
          <a:picLocks noChangeAspect="1"/>
        </xdr:cNvPicPr>
      </xdr:nvPicPr>
      <xdr:blipFill>
        <a:blip xmlns:r="http://schemas.openxmlformats.org/officeDocument/2006/relationships" r:embed="rId9"/>
        <a:stretch>
          <a:fillRect/>
        </a:stretch>
      </xdr:blipFill>
      <xdr:spPr>
        <a:xfrm>
          <a:off x="850105" y="102340172"/>
          <a:ext cx="5947121" cy="1626710"/>
        </a:xfrm>
        <a:prstGeom prst="rect">
          <a:avLst/>
        </a:prstGeom>
        <a:ln>
          <a:solidFill>
            <a:sysClr val="windowText" lastClr="000000"/>
          </a:solidFill>
        </a:ln>
      </xdr:spPr>
    </xdr:pic>
    <xdr:clientData/>
  </xdr:twoCellAnchor>
  <xdr:oneCellAnchor>
    <xdr:from>
      <xdr:col>2</xdr:col>
      <xdr:colOff>5953</xdr:colOff>
      <xdr:row>601</xdr:row>
      <xdr:rowOff>142874</xdr:rowOff>
    </xdr:from>
    <xdr:ext cx="4571998" cy="811967"/>
    <xdr:pic>
      <xdr:nvPicPr>
        <xdr:cNvPr id="19" name="Picture 18">
          <a:extLst>
            <a:ext uri="{FF2B5EF4-FFF2-40B4-BE49-F238E27FC236}">
              <a16:creationId xmlns:a16="http://schemas.microsoft.com/office/drawing/2014/main" id="{FFFA95CA-E28D-4F26-8763-AEEB1B71B026}"/>
            </a:ext>
          </a:extLst>
        </xdr:cNvPr>
        <xdr:cNvPicPr>
          <a:picLocks noChangeAspect="1"/>
        </xdr:cNvPicPr>
      </xdr:nvPicPr>
      <xdr:blipFill>
        <a:blip xmlns:r="http://schemas.openxmlformats.org/officeDocument/2006/relationships" r:embed="rId10"/>
        <a:stretch>
          <a:fillRect/>
        </a:stretch>
      </xdr:blipFill>
      <xdr:spPr>
        <a:xfrm>
          <a:off x="425053" y="108746924"/>
          <a:ext cx="4571998" cy="811967"/>
        </a:xfrm>
        <a:prstGeom prst="rect">
          <a:avLst/>
        </a:prstGeom>
        <a:ln>
          <a:solidFill>
            <a:sysClr val="windowText" lastClr="000000"/>
          </a:solidFill>
        </a:ln>
      </xdr:spPr>
    </xdr:pic>
    <xdr:clientData/>
  </xdr:oneCellAnchor>
  <xdr:twoCellAnchor>
    <xdr:from>
      <xdr:col>1</xdr:col>
      <xdr:colOff>132009</xdr:colOff>
      <xdr:row>677</xdr:row>
      <xdr:rowOff>176934</xdr:rowOff>
    </xdr:from>
    <xdr:to>
      <xdr:col>31</xdr:col>
      <xdr:colOff>26785</xdr:colOff>
      <xdr:row>700</xdr:row>
      <xdr:rowOff>53491</xdr:rowOff>
    </xdr:to>
    <xdr:grpSp>
      <xdr:nvGrpSpPr>
        <xdr:cNvPr id="20" name="Group 112">
          <a:extLst>
            <a:ext uri="{FF2B5EF4-FFF2-40B4-BE49-F238E27FC236}">
              <a16:creationId xmlns:a16="http://schemas.microsoft.com/office/drawing/2014/main" id="{9E81E625-A00F-4D00-BF84-DD7D15D902ED}"/>
            </a:ext>
          </a:extLst>
        </xdr:cNvPr>
        <xdr:cNvGrpSpPr>
          <a:grpSpLocks/>
        </xdr:cNvGrpSpPr>
      </xdr:nvGrpSpPr>
      <xdr:grpSpPr bwMode="auto">
        <a:xfrm>
          <a:off x="344490" y="122763684"/>
          <a:ext cx="6269199" cy="4089538"/>
          <a:chOff x="136576" y="50632279"/>
          <a:chExt cx="6944967" cy="4131510"/>
        </a:xfrm>
      </xdr:grpSpPr>
      <xdr:grpSp>
        <xdr:nvGrpSpPr>
          <xdr:cNvPr id="21" name="Group 60">
            <a:extLst>
              <a:ext uri="{FF2B5EF4-FFF2-40B4-BE49-F238E27FC236}">
                <a16:creationId xmlns:a16="http://schemas.microsoft.com/office/drawing/2014/main" id="{D0C32CD2-1689-AEBC-7476-ACF5D3449906}"/>
              </a:ext>
            </a:extLst>
          </xdr:cNvPr>
          <xdr:cNvGrpSpPr>
            <a:grpSpLocks/>
          </xdr:cNvGrpSpPr>
        </xdr:nvGrpSpPr>
        <xdr:grpSpPr bwMode="auto">
          <a:xfrm>
            <a:off x="136576" y="50632279"/>
            <a:ext cx="6944967" cy="4131510"/>
            <a:chOff x="7431153" y="13623393"/>
            <a:chExt cx="7866993" cy="4830412"/>
          </a:xfrm>
        </xdr:grpSpPr>
        <xdr:pic>
          <xdr:nvPicPr>
            <xdr:cNvPr id="24" name="Picture 2">
              <a:extLst>
                <a:ext uri="{FF2B5EF4-FFF2-40B4-BE49-F238E27FC236}">
                  <a16:creationId xmlns:a16="http://schemas.microsoft.com/office/drawing/2014/main" id="{6D4D24F6-2C72-E3B9-D70E-6F346006D6A6}"/>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l="29791" t="22435" r="12865" b="13696"/>
            <a:stretch>
              <a:fillRect/>
            </a:stretch>
          </xdr:blipFill>
          <xdr:spPr bwMode="auto">
            <a:xfrm>
              <a:off x="7431153" y="13623393"/>
              <a:ext cx="7866993" cy="4830412"/>
            </a:xfrm>
            <a:prstGeom prst="rect">
              <a:avLst/>
            </a:prstGeom>
            <a:noFill/>
            <a:ln w="9525">
              <a:solidFill>
                <a:sysClr val="windowText" lastClr="000000"/>
              </a:solidFill>
              <a:miter lim="800000"/>
              <a:headEnd/>
              <a:tailEnd/>
            </a:ln>
            <a:extLst>
              <a:ext uri="{909E8E84-426E-40DD-AFC4-6F175D3DCCD1}">
                <a14:hiddenFill xmlns:a14="http://schemas.microsoft.com/office/drawing/2010/main">
                  <a:solidFill>
                    <a:srgbClr val="FFFFFF"/>
                  </a:solidFill>
                </a14:hiddenFill>
              </a:ext>
            </a:extLst>
          </xdr:spPr>
        </xdr:pic>
        <xdr:cxnSp macro="">
          <xdr:nvCxnSpPr>
            <xdr:cNvPr id="25" name="Straight Connector 24">
              <a:extLst>
                <a:ext uri="{FF2B5EF4-FFF2-40B4-BE49-F238E27FC236}">
                  <a16:creationId xmlns:a16="http://schemas.microsoft.com/office/drawing/2014/main" id="{C8D59375-33DB-8542-2974-2EBB2BE5DA29}"/>
                </a:ext>
              </a:extLst>
            </xdr:cNvPr>
            <xdr:cNvCxnSpPr/>
          </xdr:nvCxnSpPr>
          <xdr:spPr>
            <a:xfrm flipV="1">
              <a:off x="9762372" y="17027109"/>
              <a:ext cx="0" cy="231928"/>
            </a:xfrm>
            <a:prstGeom prst="line">
              <a:avLst/>
            </a:prstGeom>
            <a:ln>
              <a:solidFill>
                <a:srgbClr val="FF0000"/>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26" name="Line Callout 2 150">
              <a:extLst>
                <a:ext uri="{FF2B5EF4-FFF2-40B4-BE49-F238E27FC236}">
                  <a16:creationId xmlns:a16="http://schemas.microsoft.com/office/drawing/2014/main" id="{EA1B0741-3F29-5233-09C2-96E580FB9F7C}"/>
                </a:ext>
              </a:extLst>
            </xdr:cNvPr>
            <xdr:cNvSpPr/>
          </xdr:nvSpPr>
          <xdr:spPr>
            <a:xfrm>
              <a:off x="8707704" y="17536117"/>
              <a:ext cx="563739" cy="199518"/>
            </a:xfrm>
            <a:prstGeom prst="borderCallout2">
              <a:avLst>
                <a:gd name="adj1" fmla="val 31453"/>
                <a:gd name="adj2" fmla="val 108086"/>
                <a:gd name="adj3" fmla="val 32769"/>
                <a:gd name="adj4" fmla="val 124344"/>
                <a:gd name="adj5" fmla="val -137149"/>
                <a:gd name="adj6" fmla="val 186959"/>
              </a:avLst>
            </a:prstGeom>
            <a:solidFill>
              <a:sysClr val="window" lastClr="FFFFFF"/>
            </a:solidFill>
            <a:ln w="12700">
              <a:solidFill>
                <a:srgbClr val="FF0000"/>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a:solidFill>
                    <a:srgbClr val="FF0000"/>
                  </a:solidFill>
                  <a:latin typeface="Arial" pitchFamily="34" charset="0"/>
                  <a:cs typeface="Arial" pitchFamily="34" charset="0"/>
                </a:rPr>
                <a:t>3%</a:t>
              </a:r>
            </a:p>
          </xdr:txBody>
        </xdr:sp>
        <xdr:cxnSp macro="">
          <xdr:nvCxnSpPr>
            <xdr:cNvPr id="27" name="Straight Connector 26">
              <a:extLst>
                <a:ext uri="{FF2B5EF4-FFF2-40B4-BE49-F238E27FC236}">
                  <a16:creationId xmlns:a16="http://schemas.microsoft.com/office/drawing/2014/main" id="{8682FEED-423C-542F-4C94-34DFFE109F52}"/>
                </a:ext>
              </a:extLst>
            </xdr:cNvPr>
            <xdr:cNvCxnSpPr/>
          </xdr:nvCxnSpPr>
          <xdr:spPr>
            <a:xfrm flipV="1">
              <a:off x="10843977" y="16721593"/>
              <a:ext cx="0" cy="515038"/>
            </a:xfrm>
            <a:prstGeom prst="line">
              <a:avLst/>
            </a:prstGeom>
            <a:ln>
              <a:solidFill>
                <a:srgbClr val="FF0000"/>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28" name="Line Callout 2 152">
              <a:extLst>
                <a:ext uri="{FF2B5EF4-FFF2-40B4-BE49-F238E27FC236}">
                  <a16:creationId xmlns:a16="http://schemas.microsoft.com/office/drawing/2014/main" id="{65894573-A8CF-587F-83C1-FA64B88DDA5E}"/>
                </a:ext>
              </a:extLst>
            </xdr:cNvPr>
            <xdr:cNvSpPr/>
          </xdr:nvSpPr>
          <xdr:spPr>
            <a:xfrm>
              <a:off x="9824643" y="17540669"/>
              <a:ext cx="655842" cy="151236"/>
            </a:xfrm>
            <a:prstGeom prst="borderCallout2">
              <a:avLst>
                <a:gd name="adj1" fmla="val 31453"/>
                <a:gd name="adj2" fmla="val 100285"/>
                <a:gd name="adj3" fmla="val 32769"/>
                <a:gd name="adj4" fmla="val 124344"/>
                <a:gd name="adj5" fmla="val -175685"/>
                <a:gd name="adj6" fmla="val 155113"/>
              </a:avLst>
            </a:prstGeom>
            <a:solidFill>
              <a:sysClr val="window" lastClr="FFFFFF"/>
            </a:solidFill>
            <a:ln w="12700">
              <a:solidFill>
                <a:srgbClr val="FF0000"/>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a:solidFill>
                    <a:srgbClr val="FF0000"/>
                  </a:solidFill>
                  <a:latin typeface="Arial" pitchFamily="34" charset="0"/>
                  <a:cs typeface="Arial" pitchFamily="34" charset="0"/>
                </a:rPr>
                <a:t>28%</a:t>
              </a:r>
            </a:p>
          </xdr:txBody>
        </xdr:sp>
        <xdr:cxnSp macro="">
          <xdr:nvCxnSpPr>
            <xdr:cNvPr id="29" name="Straight Connector 28">
              <a:extLst>
                <a:ext uri="{FF2B5EF4-FFF2-40B4-BE49-F238E27FC236}">
                  <a16:creationId xmlns:a16="http://schemas.microsoft.com/office/drawing/2014/main" id="{B086D2F3-9612-2EC8-72B5-DA2CD959CC72}"/>
                </a:ext>
              </a:extLst>
            </xdr:cNvPr>
            <xdr:cNvCxnSpPr/>
          </xdr:nvCxnSpPr>
          <xdr:spPr>
            <a:xfrm>
              <a:off x="9612753" y="16753773"/>
              <a:ext cx="1288857" cy="0"/>
            </a:xfrm>
            <a:prstGeom prst="line">
              <a:avLst/>
            </a:prstGeom>
            <a:ln>
              <a:solidFill>
                <a:srgbClr val="FF0000"/>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30" name="Line Callout 2 154">
              <a:extLst>
                <a:ext uri="{FF2B5EF4-FFF2-40B4-BE49-F238E27FC236}">
                  <a16:creationId xmlns:a16="http://schemas.microsoft.com/office/drawing/2014/main" id="{54D086A4-6CAB-7E26-E3B3-1F1EA27C27F9}"/>
                </a:ext>
              </a:extLst>
            </xdr:cNvPr>
            <xdr:cNvSpPr/>
          </xdr:nvSpPr>
          <xdr:spPr>
            <a:xfrm>
              <a:off x="8582401" y="16584960"/>
              <a:ext cx="635862" cy="210018"/>
            </a:xfrm>
            <a:prstGeom prst="borderCallout2">
              <a:avLst>
                <a:gd name="adj1" fmla="val 31453"/>
                <a:gd name="adj2" fmla="val 108086"/>
                <a:gd name="adj3" fmla="val 32769"/>
                <a:gd name="adj4" fmla="val 145397"/>
                <a:gd name="adj5" fmla="val 56088"/>
                <a:gd name="adj6" fmla="val 161514"/>
              </a:avLst>
            </a:prstGeom>
            <a:solidFill>
              <a:sysClr val="window" lastClr="FFFFFF"/>
            </a:solidFill>
            <a:ln w="12700">
              <a:solidFill>
                <a:srgbClr val="FF0000"/>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a:solidFill>
                    <a:srgbClr val="FF0000"/>
                  </a:solidFill>
                  <a:latin typeface="Arial" pitchFamily="34" charset="0"/>
                  <a:cs typeface="Arial" pitchFamily="34" charset="0"/>
                </a:rPr>
                <a:t>9.1 psi</a:t>
              </a:r>
            </a:p>
          </xdr:txBody>
        </xdr:sp>
      </xdr:grpSp>
      <xdr:cxnSp macro="">
        <xdr:nvCxnSpPr>
          <xdr:cNvPr id="22" name="Straight Connector 21">
            <a:extLst>
              <a:ext uri="{FF2B5EF4-FFF2-40B4-BE49-F238E27FC236}">
                <a16:creationId xmlns:a16="http://schemas.microsoft.com/office/drawing/2014/main" id="{0A2967D4-C540-C104-A2D3-068FE4965E15}"/>
              </a:ext>
            </a:extLst>
          </xdr:cNvPr>
          <xdr:cNvCxnSpPr/>
        </xdr:nvCxnSpPr>
        <xdr:spPr bwMode="auto">
          <a:xfrm>
            <a:off x="2110490" y="53581709"/>
            <a:ext cx="112034" cy="0"/>
          </a:xfrm>
          <a:prstGeom prst="line">
            <a:avLst/>
          </a:prstGeom>
          <a:ln>
            <a:solidFill>
              <a:srgbClr val="FF0000"/>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23" name="Line Callout 2 147">
            <a:extLst>
              <a:ext uri="{FF2B5EF4-FFF2-40B4-BE49-F238E27FC236}">
                <a16:creationId xmlns:a16="http://schemas.microsoft.com/office/drawing/2014/main" id="{29B9C2AD-F9E8-3A8E-EB64-4606978DE55A}"/>
              </a:ext>
            </a:extLst>
          </xdr:cNvPr>
          <xdr:cNvSpPr/>
        </xdr:nvSpPr>
        <xdr:spPr bwMode="auto">
          <a:xfrm>
            <a:off x="1090705" y="53496062"/>
            <a:ext cx="629387" cy="161668"/>
          </a:xfrm>
          <a:prstGeom prst="borderCallout2">
            <a:avLst>
              <a:gd name="adj1" fmla="val 31453"/>
              <a:gd name="adj2" fmla="val 108086"/>
              <a:gd name="adj3" fmla="val 32769"/>
              <a:gd name="adj4" fmla="val 145397"/>
              <a:gd name="adj5" fmla="val 55766"/>
              <a:gd name="adj6" fmla="val 161228"/>
            </a:avLst>
          </a:prstGeom>
          <a:solidFill>
            <a:sysClr val="window" lastClr="FFFFFF"/>
          </a:solidFill>
          <a:ln w="12700">
            <a:solidFill>
              <a:srgbClr val="FF0000"/>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a:solidFill>
                  <a:srgbClr val="FF0000"/>
                </a:solidFill>
                <a:latin typeface="Arial" pitchFamily="34" charset="0"/>
                <a:cs typeface="Arial" pitchFamily="34" charset="0"/>
              </a:rPr>
              <a:t>3.1 psi</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190499</xdr:colOff>
      <xdr:row>190</xdr:row>
      <xdr:rowOff>124557</xdr:rowOff>
    </xdr:from>
    <xdr:to>
      <xdr:col>20</xdr:col>
      <xdr:colOff>161191</xdr:colOff>
      <xdr:row>203</xdr:row>
      <xdr:rowOff>19556</xdr:rowOff>
    </xdr:to>
    <xdr:pic>
      <xdr:nvPicPr>
        <xdr:cNvPr id="108" name="Picture 107">
          <a:extLst>
            <a:ext uri="{FF2B5EF4-FFF2-40B4-BE49-F238E27FC236}">
              <a16:creationId xmlns:a16="http://schemas.microsoft.com/office/drawing/2014/main" id="{97894396-6308-2E43-1772-A32D5EF19E5A}"/>
            </a:ext>
          </a:extLst>
        </xdr:cNvPr>
        <xdr:cNvPicPr>
          <a:picLocks noChangeAspect="1"/>
        </xdr:cNvPicPr>
      </xdr:nvPicPr>
      <xdr:blipFill>
        <a:blip xmlns:r="http://schemas.openxmlformats.org/officeDocument/2006/relationships" r:embed="rId1"/>
        <a:stretch>
          <a:fillRect/>
        </a:stretch>
      </xdr:blipFill>
      <xdr:spPr>
        <a:xfrm>
          <a:off x="615461" y="35506269"/>
          <a:ext cx="3795345" cy="2276249"/>
        </a:xfrm>
        <a:prstGeom prst="rect">
          <a:avLst/>
        </a:prstGeom>
      </xdr:spPr>
    </xdr:pic>
    <xdr:clientData/>
  </xdr:twoCellAnchor>
  <xdr:twoCellAnchor>
    <xdr:from>
      <xdr:col>20</xdr:col>
      <xdr:colOff>19707</xdr:colOff>
      <xdr:row>1139</xdr:row>
      <xdr:rowOff>39413</xdr:rowOff>
    </xdr:from>
    <xdr:to>
      <xdr:col>20</xdr:col>
      <xdr:colOff>19707</xdr:colOff>
      <xdr:row>1898</xdr:row>
      <xdr:rowOff>65689</xdr:rowOff>
    </xdr:to>
    <xdr:cxnSp macro="">
      <xdr:nvCxnSpPr>
        <xdr:cNvPr id="30" name="Straight Arrow Connector 29">
          <a:extLst>
            <a:ext uri="{FF2B5EF4-FFF2-40B4-BE49-F238E27FC236}">
              <a16:creationId xmlns:a16="http://schemas.microsoft.com/office/drawing/2014/main" id="{622B99EF-3E10-CD95-067E-0EBDA13D60F9}"/>
            </a:ext>
          </a:extLst>
        </xdr:cNvPr>
        <xdr:cNvCxnSpPr/>
      </xdr:nvCxnSpPr>
      <xdr:spPr>
        <a:xfrm flipV="1">
          <a:off x="4223845" y="145594551"/>
          <a:ext cx="0" cy="341586"/>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58615</xdr:colOff>
      <xdr:row>3102</xdr:row>
      <xdr:rowOff>73270</xdr:rowOff>
    </xdr:from>
    <xdr:to>
      <xdr:col>32</xdr:col>
      <xdr:colOff>102577</xdr:colOff>
      <xdr:row>3103</xdr:row>
      <xdr:rowOff>51289</xdr:rowOff>
    </xdr:to>
    <xdr:sp macro="" textlink="">
      <xdr:nvSpPr>
        <xdr:cNvPr id="4" name="Rectangle 3">
          <a:extLst>
            <a:ext uri="{FF2B5EF4-FFF2-40B4-BE49-F238E27FC236}">
              <a16:creationId xmlns:a16="http://schemas.microsoft.com/office/drawing/2014/main" id="{6D068542-4746-75F3-CD76-BA9AEB5C11ED}"/>
            </a:ext>
          </a:extLst>
        </xdr:cNvPr>
        <xdr:cNvSpPr/>
      </xdr:nvSpPr>
      <xdr:spPr>
        <a:xfrm>
          <a:off x="4095750" y="74807885"/>
          <a:ext cx="2806212" cy="161192"/>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29308</xdr:colOff>
      <xdr:row>120</xdr:row>
      <xdr:rowOff>73272</xdr:rowOff>
    </xdr:from>
    <xdr:to>
      <xdr:col>20</xdr:col>
      <xdr:colOff>87925</xdr:colOff>
      <xdr:row>126</xdr:row>
      <xdr:rowOff>47395</xdr:rowOff>
    </xdr:to>
    <xdr:pic>
      <xdr:nvPicPr>
        <xdr:cNvPr id="80" name="Picture 79">
          <a:extLst>
            <a:ext uri="{FF2B5EF4-FFF2-40B4-BE49-F238E27FC236}">
              <a16:creationId xmlns:a16="http://schemas.microsoft.com/office/drawing/2014/main" id="{A3E091A4-3D01-4303-86AF-970E9908A157}"/>
            </a:ext>
          </a:extLst>
        </xdr:cNvPr>
        <xdr:cNvPicPr>
          <a:picLocks noChangeAspect="1"/>
        </xdr:cNvPicPr>
      </xdr:nvPicPr>
      <xdr:blipFill>
        <a:blip xmlns:r="http://schemas.openxmlformats.org/officeDocument/2006/relationships" r:embed="rId2"/>
        <a:stretch>
          <a:fillRect/>
        </a:stretch>
      </xdr:blipFill>
      <xdr:spPr>
        <a:xfrm>
          <a:off x="1077058" y="139471647"/>
          <a:ext cx="3201867" cy="945673"/>
        </a:xfrm>
        <a:prstGeom prst="rect">
          <a:avLst/>
        </a:prstGeom>
        <a:ln>
          <a:solidFill>
            <a:sysClr val="windowText" lastClr="000000"/>
          </a:solidFill>
        </a:ln>
      </xdr:spPr>
    </xdr:pic>
    <xdr:clientData/>
  </xdr:twoCellAnchor>
  <xdr:twoCellAnchor>
    <xdr:from>
      <xdr:col>5</xdr:col>
      <xdr:colOff>33603</xdr:colOff>
      <xdr:row>149</xdr:row>
      <xdr:rowOff>121274</xdr:rowOff>
    </xdr:from>
    <xdr:to>
      <xdr:col>17</xdr:col>
      <xdr:colOff>117231</xdr:colOff>
      <xdr:row>151</xdr:row>
      <xdr:rowOff>142129</xdr:rowOff>
    </xdr:to>
    <xdr:pic>
      <xdr:nvPicPr>
        <xdr:cNvPr id="81" name="Picture 842">
          <a:extLst>
            <a:ext uri="{FF2B5EF4-FFF2-40B4-BE49-F238E27FC236}">
              <a16:creationId xmlns:a16="http://schemas.microsoft.com/office/drawing/2014/main" id="{AE74FD1C-8DC7-49FC-9C5D-C98D106B4C2B}"/>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81353" y="144939374"/>
          <a:ext cx="2598228" cy="38280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18949</xdr:colOff>
      <xdr:row>162</xdr:row>
      <xdr:rowOff>11371</xdr:rowOff>
    </xdr:from>
    <xdr:to>
      <xdr:col>16</xdr:col>
      <xdr:colOff>102577</xdr:colOff>
      <xdr:row>164</xdr:row>
      <xdr:rowOff>32226</xdr:rowOff>
    </xdr:to>
    <xdr:pic>
      <xdr:nvPicPr>
        <xdr:cNvPr id="82" name="Picture 842">
          <a:extLst>
            <a:ext uri="{FF2B5EF4-FFF2-40B4-BE49-F238E27FC236}">
              <a16:creationId xmlns:a16="http://schemas.microsoft.com/office/drawing/2014/main" id="{49181BA5-884C-4592-B641-B58D6E4AB33F}"/>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57149" y="147239296"/>
          <a:ext cx="2598228" cy="38280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7327</xdr:colOff>
      <xdr:row>326</xdr:row>
      <xdr:rowOff>174369</xdr:rowOff>
    </xdr:from>
    <xdr:to>
      <xdr:col>26</xdr:col>
      <xdr:colOff>139211</xdr:colOff>
      <xdr:row>338</xdr:row>
      <xdr:rowOff>19476</xdr:rowOff>
    </xdr:to>
    <xdr:pic>
      <xdr:nvPicPr>
        <xdr:cNvPr id="83" name="Picture 82">
          <a:extLst>
            <a:ext uri="{FF2B5EF4-FFF2-40B4-BE49-F238E27FC236}">
              <a16:creationId xmlns:a16="http://schemas.microsoft.com/office/drawing/2014/main" id="{0FEE0806-F234-4E5F-92C4-657E67AEE63B}"/>
            </a:ext>
          </a:extLst>
        </xdr:cNvPr>
        <xdr:cNvPicPr>
          <a:picLocks noChangeAspect="1"/>
        </xdr:cNvPicPr>
      </xdr:nvPicPr>
      <xdr:blipFill>
        <a:blip xmlns:r="http://schemas.openxmlformats.org/officeDocument/2006/relationships" r:embed="rId4"/>
        <a:stretch>
          <a:fillRect/>
        </a:stretch>
      </xdr:blipFill>
      <xdr:spPr>
        <a:xfrm>
          <a:off x="426427" y="177434619"/>
          <a:ext cx="5161084" cy="1797732"/>
        </a:xfrm>
        <a:prstGeom prst="rect">
          <a:avLst/>
        </a:prstGeom>
        <a:ln>
          <a:solidFill>
            <a:sysClr val="windowText" lastClr="000000"/>
          </a:solidFill>
        </a:ln>
      </xdr:spPr>
    </xdr:pic>
    <xdr:clientData/>
  </xdr:twoCellAnchor>
  <xdr:twoCellAnchor editAs="oneCell">
    <xdr:from>
      <xdr:col>5</xdr:col>
      <xdr:colOff>7327</xdr:colOff>
      <xdr:row>556</xdr:row>
      <xdr:rowOff>21982</xdr:rowOff>
    </xdr:from>
    <xdr:to>
      <xdr:col>20</xdr:col>
      <xdr:colOff>188636</xdr:colOff>
      <xdr:row>557</xdr:row>
      <xdr:rowOff>146539</xdr:rowOff>
    </xdr:to>
    <xdr:pic>
      <xdr:nvPicPr>
        <xdr:cNvPr id="84" name="Picture 83">
          <a:extLst>
            <a:ext uri="{FF2B5EF4-FFF2-40B4-BE49-F238E27FC236}">
              <a16:creationId xmlns:a16="http://schemas.microsoft.com/office/drawing/2014/main" id="{1619134A-9240-4867-94C5-EA31BB3C268B}"/>
            </a:ext>
          </a:extLst>
        </xdr:cNvPr>
        <xdr:cNvPicPr>
          <a:picLocks noChangeAspect="1"/>
        </xdr:cNvPicPr>
      </xdr:nvPicPr>
      <xdr:blipFill>
        <a:blip xmlns:r="http://schemas.openxmlformats.org/officeDocument/2006/relationships" r:embed="rId5"/>
        <a:stretch>
          <a:fillRect/>
        </a:stretch>
      </xdr:blipFill>
      <xdr:spPr>
        <a:xfrm>
          <a:off x="1069731" y="103661309"/>
          <a:ext cx="3368520" cy="307730"/>
        </a:xfrm>
        <a:prstGeom prst="rect">
          <a:avLst/>
        </a:prstGeom>
        <a:ln>
          <a:solidFill>
            <a:sysClr val="windowText" lastClr="000000"/>
          </a:solidFill>
        </a:ln>
      </xdr:spPr>
    </xdr:pic>
    <xdr:clientData/>
  </xdr:twoCellAnchor>
  <xdr:twoCellAnchor editAs="oneCell">
    <xdr:from>
      <xdr:col>5</xdr:col>
      <xdr:colOff>7327</xdr:colOff>
      <xdr:row>558</xdr:row>
      <xdr:rowOff>95250</xdr:rowOff>
    </xdr:from>
    <xdr:to>
      <xdr:col>26</xdr:col>
      <xdr:colOff>65942</xdr:colOff>
      <xdr:row>560</xdr:row>
      <xdr:rowOff>102163</xdr:rowOff>
    </xdr:to>
    <xdr:pic>
      <xdr:nvPicPr>
        <xdr:cNvPr id="85" name="Picture 84">
          <a:extLst>
            <a:ext uri="{FF2B5EF4-FFF2-40B4-BE49-F238E27FC236}">
              <a16:creationId xmlns:a16="http://schemas.microsoft.com/office/drawing/2014/main" id="{628109A4-7CEA-4068-8BDD-563064C22EF2}"/>
            </a:ext>
          </a:extLst>
        </xdr:cNvPr>
        <xdr:cNvPicPr>
          <a:picLocks noChangeAspect="1"/>
        </xdr:cNvPicPr>
      </xdr:nvPicPr>
      <xdr:blipFill>
        <a:blip xmlns:r="http://schemas.openxmlformats.org/officeDocument/2006/relationships" r:embed="rId6"/>
        <a:stretch>
          <a:fillRect/>
        </a:stretch>
      </xdr:blipFill>
      <xdr:spPr>
        <a:xfrm>
          <a:off x="1069731" y="104100923"/>
          <a:ext cx="4520711" cy="373259"/>
        </a:xfrm>
        <a:prstGeom prst="rect">
          <a:avLst/>
        </a:prstGeom>
        <a:ln>
          <a:solidFill>
            <a:sysClr val="windowText" lastClr="000000"/>
          </a:solidFill>
        </a:ln>
      </xdr:spPr>
    </xdr:pic>
    <xdr:clientData/>
  </xdr:twoCellAnchor>
  <xdr:twoCellAnchor>
    <xdr:from>
      <xdr:col>17</xdr:col>
      <xdr:colOff>204254</xdr:colOff>
      <xdr:row>198</xdr:row>
      <xdr:rowOff>65689</xdr:rowOff>
    </xdr:from>
    <xdr:to>
      <xdr:col>17</xdr:col>
      <xdr:colOff>204254</xdr:colOff>
      <xdr:row>200</xdr:row>
      <xdr:rowOff>39413</xdr:rowOff>
    </xdr:to>
    <xdr:cxnSp macro="">
      <xdr:nvCxnSpPr>
        <xdr:cNvPr id="87" name="Straight Arrow Connector 86">
          <a:extLst>
            <a:ext uri="{FF2B5EF4-FFF2-40B4-BE49-F238E27FC236}">
              <a16:creationId xmlns:a16="http://schemas.microsoft.com/office/drawing/2014/main" id="{496D165D-91AA-42A7-9492-E52C07C62F61}"/>
            </a:ext>
          </a:extLst>
        </xdr:cNvPr>
        <xdr:cNvCxnSpPr/>
      </xdr:nvCxnSpPr>
      <xdr:spPr>
        <a:xfrm flipV="1">
          <a:off x="3746363" y="36385705"/>
          <a:ext cx="0" cy="330911"/>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140412</xdr:colOff>
      <xdr:row>197</xdr:row>
      <xdr:rowOff>63842</xdr:rowOff>
    </xdr:from>
    <xdr:to>
      <xdr:col>18</xdr:col>
      <xdr:colOff>133843</xdr:colOff>
      <xdr:row>199</xdr:row>
      <xdr:rowOff>37567</xdr:rowOff>
    </xdr:to>
    <xdr:sp macro="" textlink="">
      <xdr:nvSpPr>
        <xdr:cNvPr id="89" name="TextBox 88">
          <a:extLst>
            <a:ext uri="{FF2B5EF4-FFF2-40B4-BE49-F238E27FC236}">
              <a16:creationId xmlns:a16="http://schemas.microsoft.com/office/drawing/2014/main" id="{BFA39EC9-9444-41CE-BBF8-31D21561E42F}"/>
            </a:ext>
          </a:extLst>
        </xdr:cNvPr>
        <xdr:cNvSpPr txBox="1"/>
      </xdr:nvSpPr>
      <xdr:spPr>
        <a:xfrm>
          <a:off x="3474162" y="36205264"/>
          <a:ext cx="410150" cy="330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rgbClr val="FF0000"/>
              </a:solidFill>
              <a:latin typeface="Arial" panose="020B0604020202020204" pitchFamily="34" charset="0"/>
              <a:cs typeface="Arial" panose="020B0604020202020204" pitchFamily="34" charset="0"/>
            </a:rPr>
            <a:t>C</a:t>
          </a:r>
          <a:r>
            <a:rPr lang="en-US" sz="1000" b="1" baseline="-25000">
              <a:solidFill>
                <a:srgbClr val="FF0000"/>
              </a:solidFill>
              <a:latin typeface="Arial" panose="020B0604020202020204" pitchFamily="34" charset="0"/>
              <a:cs typeface="Arial" panose="020B0604020202020204" pitchFamily="34" charset="0"/>
            </a:rPr>
            <a:t>f</a:t>
          </a:r>
        </a:p>
      </xdr:txBody>
    </xdr:sp>
    <xdr:clientData/>
  </xdr:twoCellAnchor>
  <xdr:twoCellAnchor>
    <xdr:from>
      <xdr:col>3</xdr:col>
      <xdr:colOff>79443</xdr:colOff>
      <xdr:row>192</xdr:row>
      <xdr:rowOff>156014</xdr:rowOff>
    </xdr:from>
    <xdr:to>
      <xdr:col>20</xdr:col>
      <xdr:colOff>53578</xdr:colOff>
      <xdr:row>194</xdr:row>
      <xdr:rowOff>56247</xdr:rowOff>
    </xdr:to>
    <xdr:sp macro="" textlink="">
      <xdr:nvSpPr>
        <xdr:cNvPr id="91" name="Rectangle 90">
          <a:extLst>
            <a:ext uri="{FF2B5EF4-FFF2-40B4-BE49-F238E27FC236}">
              <a16:creationId xmlns:a16="http://schemas.microsoft.com/office/drawing/2014/main" id="{28330BE2-2077-465B-81A3-3035C4FB09DF}"/>
            </a:ext>
          </a:extLst>
        </xdr:cNvPr>
        <xdr:cNvSpPr/>
      </xdr:nvSpPr>
      <xdr:spPr>
        <a:xfrm>
          <a:off x="704521" y="35404467"/>
          <a:ext cx="3516245" cy="257421"/>
        </a:xfrm>
        <a:prstGeom prst="rect">
          <a:avLst/>
        </a:prstGeom>
        <a:solidFill>
          <a:srgbClr val="FF0000">
            <a:alpha val="20000"/>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45778</xdr:colOff>
      <xdr:row>192</xdr:row>
      <xdr:rowOff>157245</xdr:rowOff>
    </xdr:from>
    <xdr:to>
      <xdr:col>15</xdr:col>
      <xdr:colOff>39209</xdr:colOff>
      <xdr:row>194</xdr:row>
      <xdr:rowOff>130969</xdr:rowOff>
    </xdr:to>
    <xdr:sp macro="" textlink="">
      <xdr:nvSpPr>
        <xdr:cNvPr id="92" name="TextBox 91">
          <a:extLst>
            <a:ext uri="{FF2B5EF4-FFF2-40B4-BE49-F238E27FC236}">
              <a16:creationId xmlns:a16="http://schemas.microsoft.com/office/drawing/2014/main" id="{19CF0111-111D-4028-8612-0B62864DC9E0}"/>
            </a:ext>
          </a:extLst>
        </xdr:cNvPr>
        <xdr:cNvSpPr txBox="1"/>
      </xdr:nvSpPr>
      <xdr:spPr>
        <a:xfrm>
          <a:off x="2754450" y="35405698"/>
          <a:ext cx="410150" cy="330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rgbClr val="FF0000"/>
              </a:solidFill>
              <a:latin typeface="Arial" panose="020B0604020202020204" pitchFamily="34" charset="0"/>
              <a:cs typeface="Arial" panose="020B0604020202020204" pitchFamily="34" charset="0"/>
            </a:rPr>
            <a:t>w</a:t>
          </a:r>
          <a:endParaRPr lang="en-US" sz="1000" b="1" baseline="-25000">
            <a:solidFill>
              <a:srgbClr val="FF0000"/>
            </a:solidFill>
            <a:latin typeface="Arial" panose="020B0604020202020204" pitchFamily="34" charset="0"/>
            <a:cs typeface="Arial" panose="020B0604020202020204" pitchFamily="34" charset="0"/>
          </a:endParaRPr>
        </a:p>
      </xdr:txBody>
    </xdr:sp>
    <xdr:clientData/>
  </xdr:twoCellAnchor>
  <xdr:twoCellAnchor>
    <xdr:from>
      <xdr:col>11</xdr:col>
      <xdr:colOff>88271</xdr:colOff>
      <xdr:row>196</xdr:row>
      <xdr:rowOff>100177</xdr:rowOff>
    </xdr:from>
    <xdr:to>
      <xdr:col>12</xdr:col>
      <xdr:colOff>17859</xdr:colOff>
      <xdr:row>197</xdr:row>
      <xdr:rowOff>54194</xdr:rowOff>
    </xdr:to>
    <xdr:sp macro="" textlink="">
      <xdr:nvSpPr>
        <xdr:cNvPr id="95" name="Oval 94">
          <a:extLst>
            <a:ext uri="{FF2B5EF4-FFF2-40B4-BE49-F238E27FC236}">
              <a16:creationId xmlns:a16="http://schemas.microsoft.com/office/drawing/2014/main" id="{D4A2CA06-6554-44E7-A421-C4264F357259}"/>
            </a:ext>
          </a:extLst>
        </xdr:cNvPr>
        <xdr:cNvSpPr/>
      </xdr:nvSpPr>
      <xdr:spPr>
        <a:xfrm>
          <a:off x="2380224" y="36063005"/>
          <a:ext cx="137948" cy="132611"/>
        </a:xfrm>
        <a:prstGeom prst="ellipse">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14653</xdr:colOff>
      <xdr:row>19</xdr:row>
      <xdr:rowOff>14654</xdr:rowOff>
    </xdr:from>
    <xdr:to>
      <xdr:col>19</xdr:col>
      <xdr:colOff>153865</xdr:colOff>
      <xdr:row>32</xdr:row>
      <xdr:rowOff>154473</xdr:rowOff>
    </xdr:to>
    <xdr:pic>
      <xdr:nvPicPr>
        <xdr:cNvPr id="107" name="Picture 106">
          <a:extLst>
            <a:ext uri="{FF2B5EF4-FFF2-40B4-BE49-F238E27FC236}">
              <a16:creationId xmlns:a16="http://schemas.microsoft.com/office/drawing/2014/main" id="{8A650FB2-68FF-7B3C-D7F1-5F967B9673E5}"/>
            </a:ext>
          </a:extLst>
        </xdr:cNvPr>
        <xdr:cNvPicPr>
          <a:picLocks noChangeAspect="1"/>
        </xdr:cNvPicPr>
      </xdr:nvPicPr>
      <xdr:blipFill>
        <a:blip xmlns:r="http://schemas.openxmlformats.org/officeDocument/2006/relationships" r:embed="rId7"/>
        <a:stretch>
          <a:fillRect/>
        </a:stretch>
      </xdr:blipFill>
      <xdr:spPr>
        <a:xfrm>
          <a:off x="439615" y="3487616"/>
          <a:ext cx="3751385" cy="2521069"/>
        </a:xfrm>
        <a:prstGeom prst="rect">
          <a:avLst/>
        </a:prstGeom>
        <a:ln>
          <a:solidFill>
            <a:sysClr val="windowText" lastClr="000000"/>
          </a:solidFill>
        </a:ln>
      </xdr:spPr>
    </xdr:pic>
    <xdr:clientData/>
  </xdr:twoCellAnchor>
  <xdr:twoCellAnchor>
    <xdr:from>
      <xdr:col>11</xdr:col>
      <xdr:colOff>173052</xdr:colOff>
      <xdr:row>195</xdr:row>
      <xdr:rowOff>2053</xdr:rowOff>
    </xdr:from>
    <xdr:to>
      <xdr:col>20</xdr:col>
      <xdr:colOff>41974</xdr:colOff>
      <xdr:row>195</xdr:row>
      <xdr:rowOff>2053</xdr:rowOff>
    </xdr:to>
    <xdr:cxnSp macro="">
      <xdr:nvCxnSpPr>
        <xdr:cNvPr id="109" name="Straight Arrow Connector 108">
          <a:extLst>
            <a:ext uri="{FF2B5EF4-FFF2-40B4-BE49-F238E27FC236}">
              <a16:creationId xmlns:a16="http://schemas.microsoft.com/office/drawing/2014/main" id="{FCA117DC-D7CA-0E66-BF66-B747295ED9A2}"/>
            </a:ext>
          </a:extLst>
        </xdr:cNvPr>
        <xdr:cNvCxnSpPr/>
      </xdr:nvCxnSpPr>
      <xdr:spPr>
        <a:xfrm>
          <a:off x="2481654" y="36035612"/>
          <a:ext cx="1757778" cy="0"/>
        </a:xfrm>
        <a:prstGeom prst="straightConnector1">
          <a:avLst/>
        </a:prstGeom>
        <a:ln>
          <a:solidFill>
            <a:sysClr val="windowText" lastClr="0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160530</xdr:colOff>
      <xdr:row>194</xdr:row>
      <xdr:rowOff>156835</xdr:rowOff>
    </xdr:from>
    <xdr:to>
      <xdr:col>18</xdr:col>
      <xdr:colOff>88271</xdr:colOff>
      <xdr:row>196</xdr:row>
      <xdr:rowOff>57068</xdr:rowOff>
    </xdr:to>
    <xdr:sp macro="" textlink="">
      <xdr:nvSpPr>
        <xdr:cNvPr id="110" name="TextBox 109">
          <a:extLst>
            <a:ext uri="{FF2B5EF4-FFF2-40B4-BE49-F238E27FC236}">
              <a16:creationId xmlns:a16="http://schemas.microsoft.com/office/drawing/2014/main" id="{1DC9463B-6B6B-96B2-A836-269F40366ADD}"/>
            </a:ext>
          </a:extLst>
        </xdr:cNvPr>
        <xdr:cNvSpPr txBox="1"/>
      </xdr:nvSpPr>
      <xdr:spPr>
        <a:xfrm>
          <a:off x="3077561" y="35762476"/>
          <a:ext cx="761179" cy="257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ysClr val="windowText" lastClr="000000"/>
              </a:solidFill>
              <a:latin typeface="Arial" panose="020B0604020202020204" pitchFamily="34" charset="0"/>
              <a:cs typeface="Arial" panose="020B0604020202020204" pitchFamily="34" charset="0"/>
            </a:rPr>
            <a:t>b = L / 2</a:t>
          </a:r>
          <a:endParaRPr lang="en-US" sz="1000" b="0" baseline="-25000">
            <a:solidFill>
              <a:sysClr val="windowText" lastClr="000000"/>
            </a:solidFill>
            <a:latin typeface="Arial" panose="020B0604020202020204" pitchFamily="34" charset="0"/>
            <a:cs typeface="Arial" panose="020B0604020202020204" pitchFamily="34" charset="0"/>
          </a:endParaRPr>
        </a:p>
      </xdr:txBody>
    </xdr:sp>
    <xdr:clientData/>
  </xdr:twoCellAnchor>
  <xdr:twoCellAnchor editAs="oneCell">
    <xdr:from>
      <xdr:col>2</xdr:col>
      <xdr:colOff>14655</xdr:colOff>
      <xdr:row>285</xdr:row>
      <xdr:rowOff>58616</xdr:rowOff>
    </xdr:from>
    <xdr:to>
      <xdr:col>19</xdr:col>
      <xdr:colOff>146540</xdr:colOff>
      <xdr:row>297</xdr:row>
      <xdr:rowOff>104002</xdr:rowOff>
    </xdr:to>
    <xdr:pic>
      <xdr:nvPicPr>
        <xdr:cNvPr id="113" name="Picture 112">
          <a:extLst>
            <a:ext uri="{FF2B5EF4-FFF2-40B4-BE49-F238E27FC236}">
              <a16:creationId xmlns:a16="http://schemas.microsoft.com/office/drawing/2014/main" id="{9B3F49C4-5C19-E5AF-8BD9-C8D77C24C003}"/>
            </a:ext>
          </a:extLst>
        </xdr:cNvPr>
        <xdr:cNvPicPr>
          <a:picLocks noChangeAspect="1"/>
        </xdr:cNvPicPr>
      </xdr:nvPicPr>
      <xdr:blipFill>
        <a:blip xmlns:r="http://schemas.openxmlformats.org/officeDocument/2006/relationships" r:embed="rId8"/>
        <a:stretch>
          <a:fillRect/>
        </a:stretch>
      </xdr:blipFill>
      <xdr:spPr>
        <a:xfrm>
          <a:off x="439617" y="52995635"/>
          <a:ext cx="3744058" cy="2243463"/>
        </a:xfrm>
        <a:prstGeom prst="rect">
          <a:avLst/>
        </a:prstGeom>
      </xdr:spPr>
    </xdr:pic>
    <xdr:clientData/>
  </xdr:twoCellAnchor>
  <xdr:twoCellAnchor editAs="oneCell">
    <xdr:from>
      <xdr:col>4</xdr:col>
      <xdr:colOff>11289</xdr:colOff>
      <xdr:row>354</xdr:row>
      <xdr:rowOff>126154</xdr:rowOff>
    </xdr:from>
    <xdr:to>
      <xdr:col>17</xdr:col>
      <xdr:colOff>11947</xdr:colOff>
      <xdr:row>362</xdr:row>
      <xdr:rowOff>144518</xdr:rowOff>
    </xdr:to>
    <xdr:pic>
      <xdr:nvPicPr>
        <xdr:cNvPr id="114" name="Picture 113">
          <a:extLst>
            <a:ext uri="{FF2B5EF4-FFF2-40B4-BE49-F238E27FC236}">
              <a16:creationId xmlns:a16="http://schemas.microsoft.com/office/drawing/2014/main" id="{03C270F9-ED9C-6EB4-847A-6CC27D6DCDEE}"/>
            </a:ext>
          </a:extLst>
        </xdr:cNvPr>
        <xdr:cNvPicPr>
          <a:picLocks noChangeAspect="1"/>
        </xdr:cNvPicPr>
      </xdr:nvPicPr>
      <xdr:blipFill>
        <a:blip xmlns:r="http://schemas.openxmlformats.org/officeDocument/2006/relationships" r:embed="rId9"/>
        <a:stretch>
          <a:fillRect/>
        </a:stretch>
      </xdr:blipFill>
      <xdr:spPr>
        <a:xfrm>
          <a:off x="852117" y="65973464"/>
          <a:ext cx="2733347" cy="1542364"/>
        </a:xfrm>
        <a:prstGeom prst="rect">
          <a:avLst/>
        </a:prstGeom>
        <a:ln>
          <a:solidFill>
            <a:sysClr val="windowText" lastClr="000000"/>
          </a:solidFill>
        </a:ln>
      </xdr:spPr>
    </xdr:pic>
    <xdr:clientData/>
  </xdr:twoCellAnchor>
  <xdr:twoCellAnchor editAs="oneCell">
    <xdr:from>
      <xdr:col>16</xdr:col>
      <xdr:colOff>197828</xdr:colOff>
      <xdr:row>822</xdr:row>
      <xdr:rowOff>29309</xdr:rowOff>
    </xdr:from>
    <xdr:to>
      <xdr:col>32</xdr:col>
      <xdr:colOff>124558</xdr:colOff>
      <xdr:row>827</xdr:row>
      <xdr:rowOff>166053</xdr:rowOff>
    </xdr:to>
    <xdr:pic>
      <xdr:nvPicPr>
        <xdr:cNvPr id="2" name="Picture 1">
          <a:extLst>
            <a:ext uri="{FF2B5EF4-FFF2-40B4-BE49-F238E27FC236}">
              <a16:creationId xmlns:a16="http://schemas.microsoft.com/office/drawing/2014/main" id="{DFBCC04E-C9E1-65CF-3FF2-742C3795C5DC}"/>
            </a:ext>
          </a:extLst>
        </xdr:cNvPr>
        <xdr:cNvPicPr>
          <a:picLocks noChangeAspect="1"/>
        </xdr:cNvPicPr>
      </xdr:nvPicPr>
      <xdr:blipFill>
        <a:blip xmlns:r="http://schemas.openxmlformats.org/officeDocument/2006/relationships" r:embed="rId10"/>
        <a:stretch>
          <a:fillRect/>
        </a:stretch>
      </xdr:blipFill>
      <xdr:spPr>
        <a:xfrm>
          <a:off x="3597520" y="123334097"/>
          <a:ext cx="3326423" cy="1081918"/>
        </a:xfrm>
        <a:prstGeom prst="rect">
          <a:avLst/>
        </a:prstGeom>
        <a:ln>
          <a:solidFill>
            <a:sysClr val="windowText" lastClr="000000"/>
          </a:solidFill>
        </a:ln>
      </xdr:spPr>
    </xdr:pic>
    <xdr:clientData/>
  </xdr:twoCellAnchor>
  <xdr:twoCellAnchor editAs="oneCell">
    <xdr:from>
      <xdr:col>4</xdr:col>
      <xdr:colOff>45984</xdr:colOff>
      <xdr:row>538</xdr:row>
      <xdr:rowOff>19707</xdr:rowOff>
    </xdr:from>
    <xdr:to>
      <xdr:col>26</xdr:col>
      <xdr:colOff>31133</xdr:colOff>
      <xdr:row>547</xdr:row>
      <xdr:rowOff>72258</xdr:rowOff>
    </xdr:to>
    <xdr:pic>
      <xdr:nvPicPr>
        <xdr:cNvPr id="5" name="Picture 4">
          <a:extLst>
            <a:ext uri="{FF2B5EF4-FFF2-40B4-BE49-F238E27FC236}">
              <a16:creationId xmlns:a16="http://schemas.microsoft.com/office/drawing/2014/main" id="{2315CCB2-4F11-33FB-B712-F0585547027C}"/>
            </a:ext>
          </a:extLst>
        </xdr:cNvPr>
        <xdr:cNvPicPr>
          <a:picLocks noChangeAspect="1"/>
        </xdr:cNvPicPr>
      </xdr:nvPicPr>
      <xdr:blipFill>
        <a:blip xmlns:r="http://schemas.openxmlformats.org/officeDocument/2006/relationships" r:embed="rId11"/>
        <a:stretch>
          <a:fillRect/>
        </a:stretch>
      </xdr:blipFill>
      <xdr:spPr>
        <a:xfrm>
          <a:off x="886812" y="100557724"/>
          <a:ext cx="4609700" cy="1707931"/>
        </a:xfrm>
        <a:prstGeom prst="rect">
          <a:avLst/>
        </a:prstGeom>
        <a:ln>
          <a:solidFill>
            <a:sysClr val="windowText" lastClr="000000"/>
          </a:solidFill>
        </a:ln>
      </xdr:spPr>
    </xdr:pic>
    <xdr:clientData/>
  </xdr:twoCellAnchor>
  <xdr:twoCellAnchor editAs="oneCell">
    <xdr:from>
      <xdr:col>25</xdr:col>
      <xdr:colOff>7328</xdr:colOff>
      <xdr:row>503</xdr:row>
      <xdr:rowOff>183174</xdr:rowOff>
    </xdr:from>
    <xdr:to>
      <xdr:col>32</xdr:col>
      <xdr:colOff>7327</xdr:colOff>
      <xdr:row>507</xdr:row>
      <xdr:rowOff>67386</xdr:rowOff>
    </xdr:to>
    <xdr:pic>
      <xdr:nvPicPr>
        <xdr:cNvPr id="3" name="Picture 2">
          <a:extLst>
            <a:ext uri="{FF2B5EF4-FFF2-40B4-BE49-F238E27FC236}">
              <a16:creationId xmlns:a16="http://schemas.microsoft.com/office/drawing/2014/main" id="{C7301CFD-74C9-C185-654A-6B8F3970ABD8}"/>
            </a:ext>
          </a:extLst>
        </xdr:cNvPr>
        <xdr:cNvPicPr>
          <a:picLocks noChangeAspect="1"/>
        </xdr:cNvPicPr>
      </xdr:nvPicPr>
      <xdr:blipFill>
        <a:blip xmlns:r="http://schemas.openxmlformats.org/officeDocument/2006/relationships" r:embed="rId12"/>
        <a:stretch>
          <a:fillRect/>
        </a:stretch>
      </xdr:blipFill>
      <xdr:spPr>
        <a:xfrm>
          <a:off x="5319347" y="93916501"/>
          <a:ext cx="1487365" cy="653539"/>
        </a:xfrm>
        <a:prstGeom prst="rect">
          <a:avLst/>
        </a:prstGeom>
      </xdr:spPr>
    </xdr:pic>
    <xdr:clientData/>
  </xdr:twoCellAnchor>
  <xdr:twoCellAnchor editAs="oneCell">
    <xdr:from>
      <xdr:col>4</xdr:col>
      <xdr:colOff>10767</xdr:colOff>
      <xdr:row>594</xdr:row>
      <xdr:rowOff>92352</xdr:rowOff>
    </xdr:from>
    <xdr:to>
      <xdr:col>24</xdr:col>
      <xdr:colOff>86967</xdr:colOff>
      <xdr:row>606</xdr:row>
      <xdr:rowOff>1922</xdr:rowOff>
    </xdr:to>
    <xdr:pic>
      <xdr:nvPicPr>
        <xdr:cNvPr id="8" name="Picture 7">
          <a:extLst>
            <a:ext uri="{FF2B5EF4-FFF2-40B4-BE49-F238E27FC236}">
              <a16:creationId xmlns:a16="http://schemas.microsoft.com/office/drawing/2014/main" id="{433A4328-8A8C-420B-B193-A14398ED4201}"/>
            </a:ext>
          </a:extLst>
        </xdr:cNvPr>
        <xdr:cNvPicPr>
          <a:picLocks noChangeAspect="1"/>
        </xdr:cNvPicPr>
      </xdr:nvPicPr>
      <xdr:blipFill>
        <a:blip xmlns:r="http://schemas.openxmlformats.org/officeDocument/2006/relationships" r:embed="rId13"/>
        <a:stretch>
          <a:fillRect/>
        </a:stretch>
      </xdr:blipFill>
      <xdr:spPr>
        <a:xfrm>
          <a:off x="848967" y="264192027"/>
          <a:ext cx="4267200" cy="2077188"/>
        </a:xfrm>
        <a:prstGeom prst="rect">
          <a:avLst/>
        </a:prstGeom>
        <a:ln>
          <a:solidFill>
            <a:sysClr val="windowText" lastClr="000000"/>
          </a:solidFill>
        </a:ln>
      </xdr:spPr>
    </xdr:pic>
    <xdr:clientData/>
  </xdr:twoCellAnchor>
  <xdr:twoCellAnchor editAs="oneCell">
    <xdr:from>
      <xdr:col>4</xdr:col>
      <xdr:colOff>24847</xdr:colOff>
      <xdr:row>637</xdr:row>
      <xdr:rowOff>24848</xdr:rowOff>
    </xdr:from>
    <xdr:to>
      <xdr:col>23</xdr:col>
      <xdr:colOff>107674</xdr:colOff>
      <xdr:row>658</xdr:row>
      <xdr:rowOff>173450</xdr:rowOff>
    </xdr:to>
    <xdr:pic>
      <xdr:nvPicPr>
        <xdr:cNvPr id="9" name="Picture 8">
          <a:extLst>
            <a:ext uri="{FF2B5EF4-FFF2-40B4-BE49-F238E27FC236}">
              <a16:creationId xmlns:a16="http://schemas.microsoft.com/office/drawing/2014/main" id="{2BED6E5F-F6FC-4C29-A0E7-7EF055D101C0}"/>
            </a:ext>
          </a:extLst>
        </xdr:cNvPr>
        <xdr:cNvPicPr>
          <a:picLocks noChangeAspect="1"/>
        </xdr:cNvPicPr>
      </xdr:nvPicPr>
      <xdr:blipFill>
        <a:blip xmlns:r="http://schemas.openxmlformats.org/officeDocument/2006/relationships" r:embed="rId14"/>
        <a:stretch>
          <a:fillRect/>
        </a:stretch>
      </xdr:blipFill>
      <xdr:spPr>
        <a:xfrm>
          <a:off x="863047" y="267782123"/>
          <a:ext cx="4064277" cy="3949077"/>
        </a:xfrm>
        <a:prstGeom prst="rect">
          <a:avLst/>
        </a:prstGeom>
        <a:ln>
          <a:solidFill>
            <a:sysClr val="windowText" lastClr="000000"/>
          </a:solidFill>
        </a:ln>
      </xdr:spPr>
    </xdr:pic>
    <xdr:clientData/>
  </xdr:twoCellAnchor>
  <xdr:twoCellAnchor editAs="oneCell">
    <xdr:from>
      <xdr:col>3</xdr:col>
      <xdr:colOff>207064</xdr:colOff>
      <xdr:row>686</xdr:row>
      <xdr:rowOff>24847</xdr:rowOff>
    </xdr:from>
    <xdr:to>
      <xdr:col>21</xdr:col>
      <xdr:colOff>20938</xdr:colOff>
      <xdr:row>697</xdr:row>
      <xdr:rowOff>182216</xdr:rowOff>
    </xdr:to>
    <xdr:pic>
      <xdr:nvPicPr>
        <xdr:cNvPr id="11" name="Picture 10">
          <a:extLst>
            <a:ext uri="{FF2B5EF4-FFF2-40B4-BE49-F238E27FC236}">
              <a16:creationId xmlns:a16="http://schemas.microsoft.com/office/drawing/2014/main" id="{EB5F7AFF-3DF9-0407-00D6-E05D7359B99F}"/>
            </a:ext>
          </a:extLst>
        </xdr:cNvPr>
        <xdr:cNvPicPr>
          <a:picLocks noChangeAspect="1"/>
        </xdr:cNvPicPr>
      </xdr:nvPicPr>
      <xdr:blipFill>
        <a:blip xmlns:r="http://schemas.openxmlformats.org/officeDocument/2006/relationships" r:embed="rId15"/>
        <a:stretch>
          <a:fillRect/>
        </a:stretch>
      </xdr:blipFill>
      <xdr:spPr>
        <a:xfrm>
          <a:off x="828260" y="127477630"/>
          <a:ext cx="3541048" cy="2252869"/>
        </a:xfrm>
        <a:prstGeom prst="rect">
          <a:avLst/>
        </a:prstGeom>
        <a:ln>
          <a:solidFill>
            <a:sysClr val="windowText" lastClr="000000"/>
          </a:solid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24848</xdr:colOff>
      <xdr:row>77</xdr:row>
      <xdr:rowOff>24848</xdr:rowOff>
    </xdr:from>
    <xdr:to>
      <xdr:col>16</xdr:col>
      <xdr:colOff>29964</xdr:colOff>
      <xdr:row>89</xdr:row>
      <xdr:rowOff>99391</xdr:rowOff>
    </xdr:to>
    <xdr:pic>
      <xdr:nvPicPr>
        <xdr:cNvPr id="5" name="Picture 4">
          <a:extLst>
            <a:ext uri="{FF2B5EF4-FFF2-40B4-BE49-F238E27FC236}">
              <a16:creationId xmlns:a16="http://schemas.microsoft.com/office/drawing/2014/main" id="{9AB6CED3-DD5A-E851-326B-789C5196DD11}"/>
            </a:ext>
          </a:extLst>
        </xdr:cNvPr>
        <xdr:cNvPicPr>
          <a:picLocks noChangeAspect="1"/>
        </xdr:cNvPicPr>
      </xdr:nvPicPr>
      <xdr:blipFill>
        <a:blip xmlns:r="http://schemas.openxmlformats.org/officeDocument/2006/relationships" r:embed="rId1"/>
        <a:stretch>
          <a:fillRect/>
        </a:stretch>
      </xdr:blipFill>
      <xdr:spPr>
        <a:xfrm>
          <a:off x="438978" y="14072152"/>
          <a:ext cx="2904029" cy="2261152"/>
        </a:xfrm>
        <a:prstGeom prst="rect">
          <a:avLst/>
        </a:prstGeom>
        <a:ln>
          <a:solidFill>
            <a:sysClr val="windowText" lastClr="000000"/>
          </a:solidFill>
        </a:ln>
      </xdr:spPr>
    </xdr:pic>
    <xdr:clientData/>
  </xdr:twoCellAnchor>
  <xdr:twoCellAnchor editAs="oneCell">
    <xdr:from>
      <xdr:col>2</xdr:col>
      <xdr:colOff>1</xdr:colOff>
      <xdr:row>59</xdr:row>
      <xdr:rowOff>8284</xdr:rowOff>
    </xdr:from>
    <xdr:to>
      <xdr:col>17</xdr:col>
      <xdr:colOff>74544</xdr:colOff>
      <xdr:row>71</xdr:row>
      <xdr:rowOff>156313</xdr:rowOff>
    </xdr:to>
    <xdr:pic>
      <xdr:nvPicPr>
        <xdr:cNvPr id="4" name="Picture 3">
          <a:extLst>
            <a:ext uri="{FF2B5EF4-FFF2-40B4-BE49-F238E27FC236}">
              <a16:creationId xmlns:a16="http://schemas.microsoft.com/office/drawing/2014/main" id="{442CB464-E62B-FEE6-8B6E-B6E5084A8A34}"/>
            </a:ext>
          </a:extLst>
        </xdr:cNvPr>
        <xdr:cNvPicPr>
          <a:picLocks noChangeAspect="1"/>
        </xdr:cNvPicPr>
      </xdr:nvPicPr>
      <xdr:blipFill>
        <a:blip xmlns:r="http://schemas.openxmlformats.org/officeDocument/2006/relationships" r:embed="rId2"/>
        <a:stretch>
          <a:fillRect/>
        </a:stretch>
      </xdr:blipFill>
      <xdr:spPr>
        <a:xfrm>
          <a:off x="414131" y="10775675"/>
          <a:ext cx="3180522" cy="2334638"/>
        </a:xfrm>
        <a:prstGeom prst="rect">
          <a:avLst/>
        </a:prstGeom>
        <a:ln>
          <a:solidFill>
            <a:sysClr val="windowText" lastClr="000000"/>
          </a:solidFill>
        </a:ln>
      </xdr:spPr>
    </xdr:pic>
    <xdr:clientData/>
  </xdr:twoCellAnchor>
  <xdr:twoCellAnchor editAs="oneCell">
    <xdr:from>
      <xdr:col>1</xdr:col>
      <xdr:colOff>8286</xdr:colOff>
      <xdr:row>45</xdr:row>
      <xdr:rowOff>57976</xdr:rowOff>
    </xdr:from>
    <xdr:to>
      <xdr:col>31</xdr:col>
      <xdr:colOff>8285</xdr:colOff>
      <xdr:row>49</xdr:row>
      <xdr:rowOff>156939</xdr:rowOff>
    </xdr:to>
    <xdr:pic>
      <xdr:nvPicPr>
        <xdr:cNvPr id="22" name="Picture 21">
          <a:extLst>
            <a:ext uri="{FF2B5EF4-FFF2-40B4-BE49-F238E27FC236}">
              <a16:creationId xmlns:a16="http://schemas.microsoft.com/office/drawing/2014/main" id="{C7D9B05B-41EB-C74E-9500-613214DEE240}"/>
            </a:ext>
          </a:extLst>
        </xdr:cNvPr>
        <xdr:cNvPicPr>
          <a:picLocks noChangeAspect="1"/>
        </xdr:cNvPicPr>
      </xdr:nvPicPr>
      <xdr:blipFill>
        <a:blip xmlns:r="http://schemas.openxmlformats.org/officeDocument/2006/relationships" r:embed="rId3"/>
        <a:stretch>
          <a:fillRect/>
        </a:stretch>
      </xdr:blipFill>
      <xdr:spPr>
        <a:xfrm>
          <a:off x="215351" y="7901606"/>
          <a:ext cx="6211956" cy="827833"/>
        </a:xfrm>
        <a:prstGeom prst="rect">
          <a:avLst/>
        </a:prstGeom>
        <a:ln>
          <a:solidFill>
            <a:sysClr val="windowText" lastClr="000000"/>
          </a:solidFill>
        </a:ln>
      </xdr:spPr>
    </xdr:pic>
    <xdr:clientData/>
  </xdr:twoCellAnchor>
  <xdr:twoCellAnchor editAs="oneCell">
    <xdr:from>
      <xdr:col>1</xdr:col>
      <xdr:colOff>16566</xdr:colOff>
      <xdr:row>7</xdr:row>
      <xdr:rowOff>57977</xdr:rowOff>
    </xdr:from>
    <xdr:to>
      <xdr:col>30</xdr:col>
      <xdr:colOff>107673</xdr:colOff>
      <xdr:row>18</xdr:row>
      <xdr:rowOff>54202</xdr:rowOff>
    </xdr:to>
    <xdr:pic>
      <xdr:nvPicPr>
        <xdr:cNvPr id="23" name="Picture 22">
          <a:extLst>
            <a:ext uri="{FF2B5EF4-FFF2-40B4-BE49-F238E27FC236}">
              <a16:creationId xmlns:a16="http://schemas.microsoft.com/office/drawing/2014/main" id="{83AA5E7B-0452-D220-CDF0-B9F95773134B}"/>
            </a:ext>
          </a:extLst>
        </xdr:cNvPr>
        <xdr:cNvPicPr>
          <a:picLocks noChangeAspect="1"/>
        </xdr:cNvPicPr>
      </xdr:nvPicPr>
      <xdr:blipFill>
        <a:blip xmlns:r="http://schemas.openxmlformats.org/officeDocument/2006/relationships" r:embed="rId4"/>
        <a:stretch>
          <a:fillRect/>
        </a:stretch>
      </xdr:blipFill>
      <xdr:spPr>
        <a:xfrm>
          <a:off x="223631" y="977347"/>
          <a:ext cx="6095999" cy="2000617"/>
        </a:xfrm>
        <a:prstGeom prst="rect">
          <a:avLst/>
        </a:prstGeom>
        <a:ln>
          <a:solidFill>
            <a:sysClr val="windowText" lastClr="000000"/>
          </a:solidFill>
        </a:ln>
      </xdr:spPr>
    </xdr:pic>
    <xdr:clientData/>
  </xdr:twoCellAnchor>
  <xdr:twoCellAnchor editAs="oneCell">
    <xdr:from>
      <xdr:col>1</xdr:col>
      <xdr:colOff>8284</xdr:colOff>
      <xdr:row>19</xdr:row>
      <xdr:rowOff>8283</xdr:rowOff>
    </xdr:from>
    <xdr:to>
      <xdr:col>25</xdr:col>
      <xdr:colOff>99393</xdr:colOff>
      <xdr:row>44</xdr:row>
      <xdr:rowOff>112328</xdr:rowOff>
    </xdr:to>
    <xdr:pic>
      <xdr:nvPicPr>
        <xdr:cNvPr id="24" name="Picture 23">
          <a:extLst>
            <a:ext uri="{FF2B5EF4-FFF2-40B4-BE49-F238E27FC236}">
              <a16:creationId xmlns:a16="http://schemas.microsoft.com/office/drawing/2014/main" id="{1AB83EF9-9644-EC49-3930-D17404E3A588}"/>
            </a:ext>
          </a:extLst>
        </xdr:cNvPr>
        <xdr:cNvPicPr>
          <a:picLocks noChangeAspect="1"/>
        </xdr:cNvPicPr>
      </xdr:nvPicPr>
      <xdr:blipFill>
        <a:blip xmlns:r="http://schemas.openxmlformats.org/officeDocument/2006/relationships" r:embed="rId5"/>
        <a:stretch>
          <a:fillRect/>
        </a:stretch>
      </xdr:blipFill>
      <xdr:spPr>
        <a:xfrm>
          <a:off x="215349" y="3114261"/>
          <a:ext cx="5060674" cy="4659480"/>
        </a:xfrm>
        <a:prstGeom prst="rect">
          <a:avLst/>
        </a:prstGeom>
        <a:ln>
          <a:solidFill>
            <a:sysClr val="windowText" lastClr="000000"/>
          </a:solidFill>
        </a:ln>
      </xdr:spPr>
    </xdr:pic>
    <xdr:clientData/>
  </xdr:twoCellAnchor>
  <xdr:twoCellAnchor editAs="oneCell">
    <xdr:from>
      <xdr:col>3</xdr:col>
      <xdr:colOff>24847</xdr:colOff>
      <xdr:row>126</xdr:row>
      <xdr:rowOff>74544</xdr:rowOff>
    </xdr:from>
    <xdr:to>
      <xdr:col>30</xdr:col>
      <xdr:colOff>124239</xdr:colOff>
      <xdr:row>138</xdr:row>
      <xdr:rowOff>159818</xdr:rowOff>
    </xdr:to>
    <xdr:pic>
      <xdr:nvPicPr>
        <xdr:cNvPr id="44" name="Picture 43">
          <a:extLst>
            <a:ext uri="{FF2B5EF4-FFF2-40B4-BE49-F238E27FC236}">
              <a16:creationId xmlns:a16="http://schemas.microsoft.com/office/drawing/2014/main" id="{1CAE8093-A73D-C4EE-B604-9AA0A0245325}"/>
            </a:ext>
          </a:extLst>
        </xdr:cNvPr>
        <xdr:cNvPicPr>
          <a:picLocks noChangeAspect="1"/>
        </xdr:cNvPicPr>
      </xdr:nvPicPr>
      <xdr:blipFill>
        <a:blip xmlns:r="http://schemas.openxmlformats.org/officeDocument/2006/relationships" r:embed="rId6"/>
        <a:stretch>
          <a:fillRect/>
        </a:stretch>
      </xdr:blipFill>
      <xdr:spPr>
        <a:xfrm>
          <a:off x="646043" y="22835153"/>
          <a:ext cx="5690153" cy="2073100"/>
        </a:xfrm>
        <a:prstGeom prst="rect">
          <a:avLst/>
        </a:prstGeom>
        <a:ln>
          <a:solidFill>
            <a:sysClr val="windowText" lastClr="000000"/>
          </a:solidFill>
        </a:ln>
      </xdr:spPr>
    </xdr:pic>
    <xdr:clientData/>
  </xdr:twoCellAnchor>
  <xdr:twoCellAnchor editAs="oneCell">
    <xdr:from>
      <xdr:col>4</xdr:col>
      <xdr:colOff>16566</xdr:colOff>
      <xdr:row>144</xdr:row>
      <xdr:rowOff>33130</xdr:rowOff>
    </xdr:from>
    <xdr:to>
      <xdr:col>24</xdr:col>
      <xdr:colOff>27763</xdr:colOff>
      <xdr:row>153</xdr:row>
      <xdr:rowOff>33129</xdr:rowOff>
    </xdr:to>
    <xdr:pic>
      <xdr:nvPicPr>
        <xdr:cNvPr id="45" name="Picture 44">
          <a:extLst>
            <a:ext uri="{FF2B5EF4-FFF2-40B4-BE49-F238E27FC236}">
              <a16:creationId xmlns:a16="http://schemas.microsoft.com/office/drawing/2014/main" id="{FCF13A11-86AC-3A68-3C0F-9ECEAC4C07C8}"/>
            </a:ext>
          </a:extLst>
        </xdr:cNvPr>
        <xdr:cNvPicPr>
          <a:picLocks noChangeAspect="1"/>
        </xdr:cNvPicPr>
      </xdr:nvPicPr>
      <xdr:blipFill>
        <a:blip xmlns:r="http://schemas.openxmlformats.org/officeDocument/2006/relationships" r:embed="rId7"/>
        <a:stretch>
          <a:fillRect/>
        </a:stretch>
      </xdr:blipFill>
      <xdr:spPr>
        <a:xfrm>
          <a:off x="844827" y="25775478"/>
          <a:ext cx="4152501" cy="1490869"/>
        </a:xfrm>
        <a:prstGeom prst="rect">
          <a:avLst/>
        </a:prstGeom>
        <a:ln>
          <a:solidFill>
            <a:sysClr val="windowText" lastClr="000000"/>
          </a:solidFill>
        </a:ln>
      </xdr:spPr>
    </xdr:pic>
    <xdr:clientData/>
  </xdr:twoCellAnchor>
  <xdr:twoCellAnchor>
    <xdr:from>
      <xdr:col>9</xdr:col>
      <xdr:colOff>8283</xdr:colOff>
      <xdr:row>84</xdr:row>
      <xdr:rowOff>41413</xdr:rowOff>
    </xdr:from>
    <xdr:to>
      <xdr:col>13</xdr:col>
      <xdr:colOff>41413</xdr:colOff>
      <xdr:row>85</xdr:row>
      <xdr:rowOff>99391</xdr:rowOff>
    </xdr:to>
    <xdr:cxnSp macro="">
      <xdr:nvCxnSpPr>
        <xdr:cNvPr id="50" name="Straight Arrow Connector 49">
          <a:extLst>
            <a:ext uri="{FF2B5EF4-FFF2-40B4-BE49-F238E27FC236}">
              <a16:creationId xmlns:a16="http://schemas.microsoft.com/office/drawing/2014/main" id="{6AA3230C-28F2-D45E-6EE7-7BDCF54003EC}"/>
            </a:ext>
          </a:extLst>
        </xdr:cNvPr>
        <xdr:cNvCxnSpPr/>
      </xdr:nvCxnSpPr>
      <xdr:spPr>
        <a:xfrm flipH="1" flipV="1">
          <a:off x="1871870" y="15364239"/>
          <a:ext cx="861391" cy="24019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8284</xdr:colOff>
      <xdr:row>281</xdr:row>
      <xdr:rowOff>0</xdr:rowOff>
    </xdr:from>
    <xdr:to>
      <xdr:col>17</xdr:col>
      <xdr:colOff>173935</xdr:colOff>
      <xdr:row>293</xdr:row>
      <xdr:rowOff>142997</xdr:rowOff>
    </xdr:to>
    <xdr:pic>
      <xdr:nvPicPr>
        <xdr:cNvPr id="2" name="Picture 1">
          <a:extLst>
            <a:ext uri="{FF2B5EF4-FFF2-40B4-BE49-F238E27FC236}">
              <a16:creationId xmlns:a16="http://schemas.microsoft.com/office/drawing/2014/main" id="{91D4B077-5E98-8E17-0F21-BA53E37B51E0}"/>
            </a:ext>
          </a:extLst>
        </xdr:cNvPr>
        <xdr:cNvPicPr>
          <a:picLocks noChangeAspect="1"/>
        </xdr:cNvPicPr>
      </xdr:nvPicPr>
      <xdr:blipFill>
        <a:blip xmlns:r="http://schemas.openxmlformats.org/officeDocument/2006/relationships" r:embed="rId8"/>
        <a:stretch>
          <a:fillRect/>
        </a:stretch>
      </xdr:blipFill>
      <xdr:spPr>
        <a:xfrm>
          <a:off x="422414" y="50258870"/>
          <a:ext cx="3271630" cy="2329605"/>
        </a:xfrm>
        <a:prstGeom prst="rect">
          <a:avLst/>
        </a:prstGeom>
        <a:ln>
          <a:solidFill>
            <a:sysClr val="windowText" lastClr="000000"/>
          </a:solidFill>
        </a:ln>
      </xdr:spPr>
    </xdr:pic>
    <xdr:clientData/>
  </xdr:twoCellAnchor>
  <xdr:twoCellAnchor editAs="oneCell">
    <xdr:from>
      <xdr:col>2</xdr:col>
      <xdr:colOff>16566</xdr:colOff>
      <xdr:row>94</xdr:row>
      <xdr:rowOff>16566</xdr:rowOff>
    </xdr:from>
    <xdr:to>
      <xdr:col>23</xdr:col>
      <xdr:colOff>99392</xdr:colOff>
      <xdr:row>105</xdr:row>
      <xdr:rowOff>172016</xdr:rowOff>
    </xdr:to>
    <xdr:pic>
      <xdr:nvPicPr>
        <xdr:cNvPr id="6" name="Picture 5">
          <a:extLst>
            <a:ext uri="{FF2B5EF4-FFF2-40B4-BE49-F238E27FC236}">
              <a16:creationId xmlns:a16="http://schemas.microsoft.com/office/drawing/2014/main" id="{0CEFBA4F-37FE-A190-D768-1FC92A639388}"/>
            </a:ext>
          </a:extLst>
        </xdr:cNvPr>
        <xdr:cNvPicPr>
          <a:picLocks noChangeAspect="1"/>
        </xdr:cNvPicPr>
      </xdr:nvPicPr>
      <xdr:blipFill>
        <a:blip xmlns:r="http://schemas.openxmlformats.org/officeDocument/2006/relationships" r:embed="rId9"/>
        <a:stretch>
          <a:fillRect/>
        </a:stretch>
      </xdr:blipFill>
      <xdr:spPr>
        <a:xfrm>
          <a:off x="430696" y="17161566"/>
          <a:ext cx="4431196" cy="2159841"/>
        </a:xfrm>
        <a:prstGeom prst="rect">
          <a:avLst/>
        </a:prstGeom>
        <a:ln>
          <a:solidFill>
            <a:sysClr val="windowText" lastClr="000000"/>
          </a:solidFill>
        </a:ln>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7.v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11.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12.v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C1544-7855-464D-B447-B12D1215B6D0}">
  <sheetPr>
    <tabColor rgb="FFCCFFCC"/>
    <pageSetUpPr fitToPage="1"/>
  </sheetPr>
  <dimension ref="A1:AI118"/>
  <sheetViews>
    <sheetView tabSelected="1" view="pageBreakPreview" topLeftCell="A6" zoomScale="130" zoomScaleNormal="100" zoomScaleSheetLayoutView="130" workbookViewId="0">
      <selection activeCell="AK17" sqref="AK17"/>
    </sheetView>
  </sheetViews>
  <sheetFormatPr defaultRowHeight="14.25" x14ac:dyDescent="0.2"/>
  <cols>
    <col min="1" max="33" width="3.140625" style="1" customWidth="1"/>
    <col min="34" max="16384" width="9.140625" style="1"/>
  </cols>
  <sheetData>
    <row r="1" spans="1:35" x14ac:dyDescent="0.2">
      <c r="AI1" s="1" t="s">
        <v>94</v>
      </c>
    </row>
    <row r="3" spans="1:35" x14ac:dyDescent="0.2">
      <c r="AI3" s="1" t="s">
        <v>72</v>
      </c>
    </row>
    <row r="5" spans="1:35" ht="26.25" x14ac:dyDescent="0.2">
      <c r="A5" s="201" t="s">
        <v>151</v>
      </c>
      <c r="B5" s="201"/>
      <c r="C5" s="201"/>
      <c r="D5" s="201"/>
      <c r="E5" s="201"/>
      <c r="F5" s="201"/>
      <c r="G5" s="201"/>
      <c r="H5" s="201"/>
      <c r="I5" s="201"/>
      <c r="J5" s="201"/>
      <c r="K5" s="201"/>
      <c r="L5" s="201"/>
      <c r="M5" s="201"/>
      <c r="N5" s="201"/>
      <c r="O5" s="201"/>
      <c r="P5" s="201"/>
      <c r="Q5" s="201"/>
      <c r="R5" s="201"/>
      <c r="S5" s="201"/>
      <c r="T5" s="201"/>
      <c r="U5" s="201"/>
      <c r="V5" s="201"/>
      <c r="W5" s="201"/>
      <c r="X5" s="201"/>
      <c r="Y5" s="201"/>
      <c r="Z5" s="201"/>
      <c r="AA5" s="201"/>
      <c r="AB5" s="201"/>
      <c r="AC5" s="201"/>
      <c r="AD5" s="201"/>
      <c r="AE5" s="201"/>
      <c r="AF5" s="201"/>
      <c r="AG5" s="201"/>
      <c r="AI5" s="1" t="s">
        <v>3</v>
      </c>
    </row>
    <row r="9" spans="1:35" ht="57.75" customHeight="1" x14ac:dyDescent="0.2">
      <c r="A9" s="202" t="s">
        <v>1387</v>
      </c>
      <c r="B9" s="202"/>
      <c r="C9" s="202"/>
      <c r="D9" s="202"/>
      <c r="E9" s="202"/>
      <c r="F9" s="202"/>
      <c r="G9" s="202"/>
      <c r="H9" s="202"/>
      <c r="I9" s="202"/>
      <c r="J9" s="202"/>
      <c r="K9" s="202"/>
      <c r="L9" s="202"/>
      <c r="M9" s="202"/>
      <c r="N9" s="202"/>
      <c r="O9" s="202"/>
      <c r="P9" s="202"/>
      <c r="Q9" s="202"/>
      <c r="R9" s="202"/>
      <c r="S9" s="202"/>
      <c r="T9" s="202"/>
      <c r="U9" s="202"/>
      <c r="V9" s="202"/>
      <c r="W9" s="202"/>
      <c r="X9" s="202"/>
      <c r="Y9" s="202"/>
      <c r="Z9" s="202"/>
      <c r="AA9" s="202"/>
      <c r="AB9" s="202"/>
      <c r="AC9" s="202"/>
      <c r="AD9" s="202"/>
      <c r="AE9" s="202"/>
      <c r="AF9" s="202"/>
      <c r="AG9" s="202"/>
      <c r="AI9" s="1" t="s">
        <v>4</v>
      </c>
    </row>
    <row r="12" spans="1:35" ht="26.25" x14ac:dyDescent="0.2">
      <c r="A12" s="203" t="s">
        <v>1034</v>
      </c>
      <c r="B12" s="203"/>
      <c r="C12" s="203"/>
      <c r="D12" s="203"/>
      <c r="E12" s="203"/>
      <c r="F12" s="203"/>
      <c r="G12" s="203"/>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c r="AG12" s="203"/>
      <c r="AI12" s="1" t="s">
        <v>4</v>
      </c>
    </row>
    <row r="16" spans="1:35" x14ac:dyDescent="0.2">
      <c r="F16" s="204"/>
      <c r="G16" s="205"/>
      <c r="H16" s="205"/>
      <c r="I16" s="205"/>
      <c r="J16" s="205"/>
      <c r="K16" s="205"/>
      <c r="L16" s="205"/>
      <c r="M16" s="205"/>
      <c r="N16" s="205"/>
      <c r="O16" s="205"/>
      <c r="P16" s="206"/>
      <c r="Q16" s="204"/>
      <c r="R16" s="205"/>
      <c r="S16" s="205"/>
      <c r="T16" s="205"/>
      <c r="U16" s="205"/>
      <c r="V16" s="205"/>
      <c r="W16" s="205"/>
      <c r="X16" s="205"/>
      <c r="Y16" s="205"/>
      <c r="Z16" s="205"/>
      <c r="AA16" s="206"/>
      <c r="AI16" s="1" t="s">
        <v>5</v>
      </c>
    </row>
    <row r="17" spans="1:35" x14ac:dyDescent="0.2">
      <c r="F17" s="207"/>
      <c r="G17" s="200"/>
      <c r="H17" s="200"/>
      <c r="I17" s="200"/>
      <c r="J17" s="200"/>
      <c r="K17" s="200"/>
      <c r="L17" s="200"/>
      <c r="M17" s="200"/>
      <c r="N17" s="200"/>
      <c r="O17" s="200"/>
      <c r="P17" s="208"/>
      <c r="Q17" s="207"/>
      <c r="R17" s="200"/>
      <c r="S17" s="200"/>
      <c r="T17" s="200"/>
      <c r="U17" s="200"/>
      <c r="V17" s="200"/>
      <c r="W17" s="200"/>
      <c r="X17" s="200"/>
      <c r="Y17" s="200"/>
      <c r="Z17" s="200"/>
      <c r="AA17" s="208"/>
    </row>
    <row r="18" spans="1:35" x14ac:dyDescent="0.2">
      <c r="F18" s="207"/>
      <c r="G18" s="200"/>
      <c r="H18" s="200"/>
      <c r="I18" s="200"/>
      <c r="J18" s="200"/>
      <c r="K18" s="200"/>
      <c r="L18" s="200"/>
      <c r="M18" s="200"/>
      <c r="N18" s="200"/>
      <c r="O18" s="200"/>
      <c r="P18" s="208"/>
      <c r="Q18" s="207"/>
      <c r="R18" s="200"/>
      <c r="S18" s="200"/>
      <c r="T18" s="200"/>
      <c r="U18" s="200"/>
      <c r="V18" s="200"/>
      <c r="W18" s="200"/>
      <c r="X18" s="200"/>
      <c r="Y18" s="200"/>
      <c r="Z18" s="200"/>
      <c r="AA18" s="208"/>
    </row>
    <row r="19" spans="1:35" x14ac:dyDescent="0.2">
      <c r="F19" s="207"/>
      <c r="G19" s="200"/>
      <c r="H19" s="200"/>
      <c r="I19" s="200"/>
      <c r="J19" s="200"/>
      <c r="K19" s="200"/>
      <c r="L19" s="200"/>
      <c r="M19" s="200"/>
      <c r="N19" s="200"/>
      <c r="O19" s="200"/>
      <c r="P19" s="208"/>
      <c r="Q19" s="207"/>
      <c r="R19" s="200"/>
      <c r="S19" s="200"/>
      <c r="T19" s="200"/>
      <c r="U19" s="200"/>
      <c r="V19" s="200"/>
      <c r="W19" s="200"/>
      <c r="X19" s="200"/>
      <c r="Y19" s="200"/>
      <c r="Z19" s="200"/>
      <c r="AA19" s="208"/>
    </row>
    <row r="20" spans="1:35" x14ac:dyDescent="0.2">
      <c r="F20" s="207"/>
      <c r="G20" s="200"/>
      <c r="H20" s="200"/>
      <c r="I20" s="200"/>
      <c r="J20" s="200"/>
      <c r="K20" s="200"/>
      <c r="L20" s="200"/>
      <c r="M20" s="200"/>
      <c r="N20" s="200"/>
      <c r="O20" s="200"/>
      <c r="P20" s="208"/>
      <c r="Q20" s="207"/>
      <c r="R20" s="200"/>
      <c r="S20" s="200"/>
      <c r="T20" s="200"/>
      <c r="U20" s="200"/>
      <c r="V20" s="200"/>
      <c r="W20" s="200"/>
      <c r="X20" s="200"/>
      <c r="Y20" s="200"/>
      <c r="Z20" s="200"/>
      <c r="AA20" s="208"/>
    </row>
    <row r="21" spans="1:35" x14ac:dyDescent="0.2">
      <c r="F21" s="207"/>
      <c r="G21" s="200"/>
      <c r="H21" s="200"/>
      <c r="I21" s="200"/>
      <c r="J21" s="200"/>
      <c r="K21" s="200"/>
      <c r="L21" s="200"/>
      <c r="M21" s="200"/>
      <c r="N21" s="200"/>
      <c r="O21" s="200"/>
      <c r="P21" s="208"/>
      <c r="Q21" s="207"/>
      <c r="R21" s="200"/>
      <c r="S21" s="200"/>
      <c r="T21" s="200"/>
      <c r="U21" s="200"/>
      <c r="V21" s="200"/>
      <c r="W21" s="200"/>
      <c r="X21" s="200"/>
      <c r="Y21" s="200"/>
      <c r="Z21" s="200"/>
      <c r="AA21" s="208"/>
    </row>
    <row r="22" spans="1:35" x14ac:dyDescent="0.2">
      <c r="F22" s="207"/>
      <c r="G22" s="200"/>
      <c r="H22" s="200"/>
      <c r="I22" s="200"/>
      <c r="J22" s="200"/>
      <c r="K22" s="200"/>
      <c r="L22" s="200"/>
      <c r="M22" s="200"/>
      <c r="N22" s="200"/>
      <c r="O22" s="200"/>
      <c r="P22" s="208"/>
      <c r="Q22" s="207"/>
      <c r="R22" s="200"/>
      <c r="S22" s="200"/>
      <c r="T22" s="200"/>
      <c r="U22" s="200"/>
      <c r="V22" s="200"/>
      <c r="W22" s="200"/>
      <c r="X22" s="200"/>
      <c r="Y22" s="200"/>
      <c r="Z22" s="200"/>
      <c r="AA22" s="208"/>
    </row>
    <row r="23" spans="1:35" x14ac:dyDescent="0.2">
      <c r="F23" s="207"/>
      <c r="G23" s="200"/>
      <c r="H23" s="200"/>
      <c r="I23" s="200"/>
      <c r="J23" s="200"/>
      <c r="K23" s="200"/>
      <c r="L23" s="200"/>
      <c r="M23" s="200"/>
      <c r="N23" s="200"/>
      <c r="O23" s="200"/>
      <c r="P23" s="208"/>
      <c r="Q23" s="207"/>
      <c r="R23" s="200"/>
      <c r="S23" s="200"/>
      <c r="T23" s="200"/>
      <c r="U23" s="200"/>
      <c r="V23" s="200"/>
      <c r="W23" s="200"/>
      <c r="X23" s="200"/>
      <c r="Y23" s="200"/>
      <c r="Z23" s="200"/>
      <c r="AA23" s="208"/>
    </row>
    <row r="24" spans="1:35" x14ac:dyDescent="0.2">
      <c r="F24" s="207"/>
      <c r="G24" s="200"/>
      <c r="H24" s="200"/>
      <c r="I24" s="200"/>
      <c r="J24" s="200"/>
      <c r="K24" s="200"/>
      <c r="L24" s="200"/>
      <c r="M24" s="200"/>
      <c r="N24" s="200"/>
      <c r="O24" s="200"/>
      <c r="P24" s="208"/>
      <c r="Q24" s="207"/>
      <c r="R24" s="200"/>
      <c r="S24" s="200"/>
      <c r="T24" s="200"/>
      <c r="U24" s="200"/>
      <c r="V24" s="200"/>
      <c r="W24" s="200"/>
      <c r="X24" s="200"/>
      <c r="Y24" s="200"/>
      <c r="Z24" s="200"/>
      <c r="AA24" s="208"/>
    </row>
    <row r="25" spans="1:35" x14ac:dyDescent="0.2">
      <c r="F25" s="209" t="s">
        <v>1</v>
      </c>
      <c r="G25" s="164"/>
      <c r="H25" s="164"/>
      <c r="I25" s="164"/>
      <c r="J25" s="164"/>
      <c r="K25" s="164"/>
      <c r="L25" s="164"/>
      <c r="M25" s="164"/>
      <c r="N25" s="164"/>
      <c r="O25" s="164"/>
      <c r="P25" s="210"/>
      <c r="Q25" s="209" t="s">
        <v>2</v>
      </c>
      <c r="R25" s="164"/>
      <c r="S25" s="164"/>
      <c r="T25" s="164"/>
      <c r="U25" s="164"/>
      <c r="V25" s="164"/>
      <c r="W25" s="164"/>
      <c r="X25" s="164"/>
      <c r="Y25" s="164"/>
      <c r="Z25" s="164"/>
      <c r="AA25" s="210"/>
    </row>
    <row r="28" spans="1:35" x14ac:dyDescent="0.2">
      <c r="A28" s="200" t="s">
        <v>1453</v>
      </c>
      <c r="B28" s="200"/>
      <c r="C28" s="200"/>
      <c r="D28" s="200"/>
      <c r="E28" s="200"/>
      <c r="F28" s="200"/>
      <c r="G28" s="200"/>
      <c r="H28" s="200"/>
      <c r="I28" s="200"/>
      <c r="J28" s="200"/>
      <c r="K28" s="200"/>
      <c r="L28" s="200"/>
      <c r="M28" s="200"/>
      <c r="N28" s="200"/>
      <c r="O28" s="200"/>
      <c r="P28" s="200"/>
      <c r="Q28" s="200"/>
      <c r="R28" s="200"/>
      <c r="S28" s="200"/>
      <c r="T28" s="200"/>
      <c r="U28" s="200"/>
      <c r="V28" s="200"/>
      <c r="W28" s="200"/>
      <c r="X28" s="200"/>
      <c r="Y28" s="200"/>
      <c r="Z28" s="200"/>
      <c r="AA28" s="200"/>
      <c r="AB28" s="200"/>
      <c r="AC28" s="200"/>
      <c r="AD28" s="200"/>
      <c r="AE28" s="200"/>
      <c r="AF28" s="200"/>
      <c r="AG28" s="200"/>
      <c r="AI28" s="1" t="s">
        <v>6</v>
      </c>
    </row>
    <row r="29" spans="1:35" ht="15" thickBot="1" x14ac:dyDescent="0.25"/>
    <row r="30" spans="1:35" ht="15.75" thickBot="1" x14ac:dyDescent="0.3">
      <c r="B30" s="165" t="s">
        <v>7</v>
      </c>
      <c r="C30" s="167"/>
      <c r="D30" s="165" t="s">
        <v>9</v>
      </c>
      <c r="E30" s="166"/>
      <c r="F30" s="166"/>
      <c r="G30" s="166"/>
      <c r="H30" s="166"/>
      <c r="I30" s="166"/>
      <c r="J30" s="166"/>
      <c r="K30" s="166"/>
      <c r="L30" s="167"/>
      <c r="M30" s="165" t="s">
        <v>12</v>
      </c>
      <c r="N30" s="166"/>
      <c r="O30" s="166"/>
      <c r="P30" s="167"/>
      <c r="Q30" s="165" t="s">
        <v>14</v>
      </c>
      <c r="R30" s="166"/>
      <c r="S30" s="166"/>
      <c r="T30" s="166"/>
      <c r="U30" s="166"/>
      <c r="V30" s="167"/>
      <c r="W30" s="116" t="s">
        <v>16</v>
      </c>
      <c r="X30" s="117"/>
      <c r="Y30" s="117"/>
      <c r="Z30" s="117"/>
      <c r="AA30" s="118"/>
      <c r="AB30" s="116" t="s">
        <v>17</v>
      </c>
      <c r="AC30" s="117"/>
      <c r="AD30" s="117"/>
      <c r="AE30" s="117"/>
      <c r="AF30" s="118"/>
      <c r="AI30" s="1" t="s">
        <v>18</v>
      </c>
    </row>
    <row r="31" spans="1:35" ht="15" x14ac:dyDescent="0.25">
      <c r="B31" s="198" t="s">
        <v>8</v>
      </c>
      <c r="C31" s="199"/>
      <c r="D31" s="198" t="s">
        <v>10</v>
      </c>
      <c r="E31" s="129"/>
      <c r="F31" s="129"/>
      <c r="G31" s="129"/>
      <c r="H31" s="129"/>
      <c r="I31" s="129"/>
      <c r="J31" s="129"/>
      <c r="K31" s="129"/>
      <c r="L31" s="199"/>
      <c r="M31" s="198" t="s">
        <v>13</v>
      </c>
      <c r="N31" s="129"/>
      <c r="O31" s="129"/>
      <c r="P31" s="199"/>
      <c r="Q31" s="198" t="s">
        <v>15</v>
      </c>
      <c r="R31" s="129"/>
      <c r="S31" s="129"/>
      <c r="T31" s="129"/>
      <c r="U31" s="129"/>
      <c r="V31" s="199"/>
      <c r="W31" s="165" t="s">
        <v>14</v>
      </c>
      <c r="X31" s="166"/>
      <c r="Y31" s="166"/>
      <c r="Z31" s="166"/>
      <c r="AA31" s="167"/>
      <c r="AB31" s="165" t="s">
        <v>14</v>
      </c>
      <c r="AC31" s="166"/>
      <c r="AD31" s="166"/>
      <c r="AE31" s="166"/>
      <c r="AF31" s="167"/>
    </row>
    <row r="32" spans="1:35" ht="15" x14ac:dyDescent="0.25">
      <c r="B32" s="198"/>
      <c r="C32" s="199"/>
      <c r="D32" s="198" t="s">
        <v>11</v>
      </c>
      <c r="E32" s="129"/>
      <c r="F32" s="129"/>
      <c r="G32" s="129"/>
      <c r="H32" s="129"/>
      <c r="I32" s="129"/>
      <c r="J32" s="129"/>
      <c r="K32" s="129"/>
      <c r="L32" s="199"/>
      <c r="M32" s="198"/>
      <c r="N32" s="129"/>
      <c r="O32" s="129"/>
      <c r="P32" s="199"/>
      <c r="Q32" s="198"/>
      <c r="R32" s="129"/>
      <c r="S32" s="129"/>
      <c r="T32" s="129"/>
      <c r="U32" s="129"/>
      <c r="V32" s="199"/>
      <c r="W32" s="198" t="s">
        <v>19</v>
      </c>
      <c r="X32" s="129"/>
      <c r="Y32" s="129"/>
      <c r="Z32" s="129"/>
      <c r="AA32" s="199"/>
      <c r="AB32" s="198" t="s">
        <v>20</v>
      </c>
      <c r="AC32" s="129"/>
      <c r="AD32" s="129"/>
      <c r="AE32" s="129"/>
      <c r="AF32" s="199"/>
    </row>
    <row r="33" spans="2:32" ht="15.75" customHeight="1" thickBot="1" x14ac:dyDescent="0.3">
      <c r="B33" s="195"/>
      <c r="C33" s="196"/>
      <c r="D33" s="195"/>
      <c r="E33" s="197"/>
      <c r="F33" s="197"/>
      <c r="G33" s="197"/>
      <c r="H33" s="197"/>
      <c r="I33" s="197"/>
      <c r="J33" s="197"/>
      <c r="K33" s="197"/>
      <c r="L33" s="196"/>
      <c r="M33" s="195"/>
      <c r="N33" s="197"/>
      <c r="O33" s="197"/>
      <c r="P33" s="196"/>
      <c r="Q33" s="195"/>
      <c r="R33" s="197"/>
      <c r="S33" s="197"/>
      <c r="T33" s="197"/>
      <c r="U33" s="197"/>
      <c r="V33" s="196"/>
      <c r="W33" s="148" t="s">
        <v>16</v>
      </c>
      <c r="X33" s="149"/>
      <c r="Y33" s="149"/>
      <c r="Z33" s="149"/>
      <c r="AA33" s="150"/>
      <c r="AB33" s="148" t="s">
        <v>21</v>
      </c>
      <c r="AC33" s="149"/>
      <c r="AD33" s="149"/>
      <c r="AE33" s="149"/>
      <c r="AF33" s="150"/>
    </row>
    <row r="34" spans="2:32" ht="15" customHeight="1" x14ac:dyDescent="0.2">
      <c r="B34" s="189">
        <v>0</v>
      </c>
      <c r="C34" s="190"/>
      <c r="D34" s="189" t="s">
        <v>1454</v>
      </c>
      <c r="E34" s="191"/>
      <c r="F34" s="191"/>
      <c r="G34" s="191"/>
      <c r="H34" s="191"/>
      <c r="I34" s="191"/>
      <c r="J34" s="191"/>
      <c r="K34" s="191"/>
      <c r="L34" s="190"/>
      <c r="M34" s="192">
        <v>46155</v>
      </c>
      <c r="N34" s="193"/>
      <c r="O34" s="193"/>
      <c r="P34" s="194"/>
      <c r="Q34" s="189" t="s">
        <v>212</v>
      </c>
      <c r="R34" s="191"/>
      <c r="S34" s="191"/>
      <c r="T34" s="191"/>
      <c r="U34" s="191"/>
      <c r="V34" s="190"/>
      <c r="W34" s="189" t="s">
        <v>814</v>
      </c>
      <c r="X34" s="191"/>
      <c r="Y34" s="191"/>
      <c r="Z34" s="191"/>
      <c r="AA34" s="190"/>
      <c r="AB34" s="189" t="s">
        <v>211</v>
      </c>
      <c r="AC34" s="191"/>
      <c r="AD34" s="191"/>
      <c r="AE34" s="191"/>
      <c r="AF34" s="190"/>
    </row>
    <row r="35" spans="2:32" ht="15" customHeight="1" x14ac:dyDescent="0.2">
      <c r="B35" s="183">
        <v>1</v>
      </c>
      <c r="C35" s="184"/>
      <c r="D35" s="183" t="s">
        <v>1454</v>
      </c>
      <c r="E35" s="185"/>
      <c r="F35" s="185"/>
      <c r="G35" s="185"/>
      <c r="H35" s="185"/>
      <c r="I35" s="185"/>
      <c r="J35" s="185"/>
      <c r="K35" s="185"/>
      <c r="L35" s="184"/>
      <c r="M35" s="186">
        <v>46169</v>
      </c>
      <c r="N35" s="187"/>
      <c r="O35" s="187"/>
      <c r="P35" s="188"/>
      <c r="Q35" s="183" t="s">
        <v>212</v>
      </c>
      <c r="R35" s="185"/>
      <c r="S35" s="185"/>
      <c r="T35" s="185"/>
      <c r="U35" s="185"/>
      <c r="V35" s="184"/>
      <c r="W35" s="183" t="s">
        <v>814</v>
      </c>
      <c r="X35" s="185"/>
      <c r="Y35" s="185"/>
      <c r="Z35" s="185"/>
      <c r="AA35" s="184"/>
      <c r="AB35" s="183" t="s">
        <v>211</v>
      </c>
      <c r="AC35" s="185"/>
      <c r="AD35" s="185"/>
      <c r="AE35" s="185"/>
      <c r="AF35" s="184"/>
    </row>
    <row r="36" spans="2:32" ht="15" customHeight="1" x14ac:dyDescent="0.2">
      <c r="B36" s="177"/>
      <c r="C36" s="178"/>
      <c r="D36" s="177"/>
      <c r="E36" s="179"/>
      <c r="F36" s="179"/>
      <c r="G36" s="179"/>
      <c r="H36" s="179"/>
      <c r="I36" s="179"/>
      <c r="J36" s="179"/>
      <c r="K36" s="179"/>
      <c r="L36" s="178"/>
      <c r="M36" s="180"/>
      <c r="N36" s="181"/>
      <c r="O36" s="181"/>
      <c r="P36" s="182"/>
      <c r="Q36" s="177"/>
      <c r="R36" s="179"/>
      <c r="S36" s="179"/>
      <c r="T36" s="179"/>
      <c r="U36" s="179"/>
      <c r="V36" s="178"/>
      <c r="W36" s="177"/>
      <c r="X36" s="179"/>
      <c r="Y36" s="179"/>
      <c r="Z36" s="179"/>
      <c r="AA36" s="178"/>
      <c r="AB36" s="177"/>
      <c r="AC36" s="179"/>
      <c r="AD36" s="179"/>
      <c r="AE36" s="179"/>
      <c r="AF36" s="178"/>
    </row>
    <row r="37" spans="2:32" ht="15" customHeight="1" x14ac:dyDescent="0.2">
      <c r="B37" s="177"/>
      <c r="C37" s="178"/>
      <c r="D37" s="177"/>
      <c r="E37" s="179"/>
      <c r="F37" s="179"/>
      <c r="G37" s="179"/>
      <c r="H37" s="179"/>
      <c r="I37" s="179"/>
      <c r="J37" s="179"/>
      <c r="K37" s="179"/>
      <c r="L37" s="178"/>
      <c r="M37" s="180"/>
      <c r="N37" s="181"/>
      <c r="O37" s="181"/>
      <c r="P37" s="182"/>
      <c r="Q37" s="177"/>
      <c r="R37" s="179"/>
      <c r="S37" s="179"/>
      <c r="T37" s="179"/>
      <c r="U37" s="179"/>
      <c r="V37" s="178"/>
      <c r="W37" s="177"/>
      <c r="X37" s="179"/>
      <c r="Y37" s="179"/>
      <c r="Z37" s="179"/>
      <c r="AA37" s="178"/>
      <c r="AB37" s="177"/>
      <c r="AC37" s="179"/>
      <c r="AD37" s="179"/>
      <c r="AE37" s="179"/>
      <c r="AF37" s="178"/>
    </row>
    <row r="38" spans="2:32" ht="15.75" customHeight="1" thickBot="1" x14ac:dyDescent="0.25">
      <c r="B38" s="171"/>
      <c r="C38" s="172"/>
      <c r="D38" s="171"/>
      <c r="E38" s="173"/>
      <c r="F38" s="173"/>
      <c r="G38" s="173"/>
      <c r="H38" s="173"/>
      <c r="I38" s="173"/>
      <c r="J38" s="173"/>
      <c r="K38" s="173"/>
      <c r="L38" s="172"/>
      <c r="M38" s="174"/>
      <c r="N38" s="175"/>
      <c r="O38" s="175"/>
      <c r="P38" s="176"/>
      <c r="Q38" s="171"/>
      <c r="R38" s="173"/>
      <c r="S38" s="173"/>
      <c r="T38" s="173"/>
      <c r="U38" s="173"/>
      <c r="V38" s="172"/>
      <c r="W38" s="171"/>
      <c r="X38" s="173"/>
      <c r="Y38" s="173"/>
      <c r="Z38" s="173"/>
      <c r="AA38" s="172"/>
      <c r="AB38" s="171"/>
      <c r="AC38" s="173"/>
      <c r="AD38" s="173"/>
      <c r="AE38" s="173"/>
      <c r="AF38" s="172"/>
    </row>
    <row r="40" spans="2:32" ht="15" x14ac:dyDescent="0.25">
      <c r="B40" s="4" t="s">
        <v>22</v>
      </c>
    </row>
    <row r="41" spans="2:32" x14ac:dyDescent="0.2">
      <c r="B41" s="1" t="s">
        <v>23</v>
      </c>
    </row>
    <row r="43" spans="2:32" ht="15" x14ac:dyDescent="0.25">
      <c r="J43" s="4" t="s">
        <v>24</v>
      </c>
      <c r="P43" s="4" t="s">
        <v>25</v>
      </c>
    </row>
    <row r="45" spans="2:32" x14ac:dyDescent="0.2">
      <c r="B45" s="1" t="s">
        <v>52</v>
      </c>
      <c r="S45" s="163"/>
      <c r="T45" s="163"/>
      <c r="U45" s="163"/>
      <c r="V45" s="163"/>
    </row>
    <row r="47" spans="2:32" x14ac:dyDescent="0.2">
      <c r="B47" s="1" t="s">
        <v>26</v>
      </c>
      <c r="G47" s="164"/>
      <c r="H47" s="164"/>
      <c r="I47" s="164"/>
      <c r="J47" s="164"/>
      <c r="K47" s="164"/>
      <c r="L47" s="164"/>
      <c r="N47" s="1" t="s">
        <v>27</v>
      </c>
      <c r="P47" s="163"/>
      <c r="Q47" s="163"/>
      <c r="R47" s="163"/>
      <c r="S47" s="163"/>
      <c r="U47" s="1" t="s">
        <v>28</v>
      </c>
      <c r="Y47" s="164"/>
      <c r="Z47" s="164"/>
      <c r="AA47" s="164"/>
      <c r="AB47" s="164"/>
      <c r="AC47" s="164"/>
      <c r="AD47" s="164"/>
      <c r="AE47" s="164"/>
    </row>
    <row r="50" spans="2:35" ht="15" x14ac:dyDescent="0.25">
      <c r="B50" s="4" t="s">
        <v>29</v>
      </c>
    </row>
    <row r="52" spans="2:35" x14ac:dyDescent="0.2">
      <c r="B52" s="1" t="s">
        <v>30</v>
      </c>
    </row>
    <row r="53" spans="2:35" ht="15" thickBot="1" x14ac:dyDescent="0.25"/>
    <row r="54" spans="2:35" ht="15" x14ac:dyDescent="0.25">
      <c r="B54" s="165" t="s">
        <v>8</v>
      </c>
      <c r="C54" s="166"/>
      <c r="D54" s="165" t="s">
        <v>15</v>
      </c>
      <c r="E54" s="166"/>
      <c r="F54" s="166"/>
      <c r="G54" s="166"/>
      <c r="H54" s="167"/>
      <c r="I54" s="165" t="s">
        <v>16</v>
      </c>
      <c r="J54" s="166"/>
      <c r="K54" s="166"/>
      <c r="L54" s="166"/>
      <c r="M54" s="167"/>
      <c r="N54" s="165" t="s">
        <v>9</v>
      </c>
      <c r="O54" s="166"/>
      <c r="P54" s="166"/>
      <c r="Q54" s="167"/>
      <c r="R54" s="168" t="s">
        <v>32</v>
      </c>
      <c r="S54" s="169"/>
      <c r="T54" s="169"/>
      <c r="U54" s="169"/>
      <c r="V54" s="169"/>
      <c r="W54" s="169"/>
      <c r="X54" s="169"/>
      <c r="Y54" s="169"/>
      <c r="Z54" s="169"/>
      <c r="AA54" s="169"/>
      <c r="AB54" s="169"/>
      <c r="AC54" s="169"/>
      <c r="AD54" s="169"/>
      <c r="AE54" s="169"/>
      <c r="AF54" s="170"/>
    </row>
    <row r="55" spans="2:35" ht="15.75" thickBot="1" x14ac:dyDescent="0.3">
      <c r="B55" s="148" t="s">
        <v>25</v>
      </c>
      <c r="C55" s="149"/>
      <c r="D55" s="148" t="s">
        <v>31</v>
      </c>
      <c r="E55" s="149"/>
      <c r="F55" s="149"/>
      <c r="G55" s="149"/>
      <c r="H55" s="150"/>
      <c r="I55" s="148" t="s">
        <v>31</v>
      </c>
      <c r="J55" s="149"/>
      <c r="K55" s="149"/>
      <c r="L55" s="149"/>
      <c r="M55" s="150"/>
      <c r="N55" s="148" t="s">
        <v>12</v>
      </c>
      <c r="O55" s="149"/>
      <c r="P55" s="149"/>
      <c r="Q55" s="150"/>
      <c r="R55" s="151"/>
      <c r="S55" s="152"/>
      <c r="T55" s="152"/>
      <c r="U55" s="152"/>
      <c r="V55" s="152"/>
      <c r="W55" s="152"/>
      <c r="X55" s="152"/>
      <c r="Y55" s="152"/>
      <c r="Z55" s="152"/>
      <c r="AA55" s="152"/>
      <c r="AB55" s="152"/>
      <c r="AC55" s="152"/>
      <c r="AD55" s="152"/>
      <c r="AE55" s="152"/>
      <c r="AF55" s="153"/>
    </row>
    <row r="56" spans="2:35" x14ac:dyDescent="0.2">
      <c r="B56" s="154">
        <f>B34</f>
        <v>0</v>
      </c>
      <c r="C56" s="155"/>
      <c r="D56" s="154" t="s">
        <v>213</v>
      </c>
      <c r="E56" s="156"/>
      <c r="F56" s="156"/>
      <c r="G56" s="156"/>
      <c r="H56" s="155"/>
      <c r="I56" s="154" t="s">
        <v>815</v>
      </c>
      <c r="J56" s="156"/>
      <c r="K56" s="156"/>
      <c r="L56" s="156"/>
      <c r="M56" s="155"/>
      <c r="N56" s="157">
        <f>M34</f>
        <v>46155</v>
      </c>
      <c r="O56" s="158"/>
      <c r="P56" s="158"/>
      <c r="Q56" s="159"/>
      <c r="R56" s="160" t="s">
        <v>1454</v>
      </c>
      <c r="S56" s="161"/>
      <c r="T56" s="161"/>
      <c r="U56" s="161"/>
      <c r="V56" s="161"/>
      <c r="W56" s="161"/>
      <c r="X56" s="161"/>
      <c r="Y56" s="161"/>
      <c r="Z56" s="161"/>
      <c r="AA56" s="161"/>
      <c r="AB56" s="161"/>
      <c r="AC56" s="161"/>
      <c r="AD56" s="161"/>
      <c r="AE56" s="161"/>
      <c r="AF56" s="162"/>
      <c r="AI56" s="1" t="s">
        <v>60</v>
      </c>
    </row>
    <row r="57" spans="2:35" x14ac:dyDescent="0.2">
      <c r="B57" s="139">
        <v>1</v>
      </c>
      <c r="C57" s="140"/>
      <c r="D57" s="139" t="s">
        <v>213</v>
      </c>
      <c r="E57" s="141"/>
      <c r="F57" s="141"/>
      <c r="G57" s="141"/>
      <c r="H57" s="140"/>
      <c r="I57" s="139" t="s">
        <v>815</v>
      </c>
      <c r="J57" s="141"/>
      <c r="K57" s="141"/>
      <c r="L57" s="141"/>
      <c r="M57" s="140"/>
      <c r="N57" s="142">
        <v>46169</v>
      </c>
      <c r="O57" s="143"/>
      <c r="P57" s="143"/>
      <c r="Q57" s="144"/>
      <c r="R57" s="145" t="s">
        <v>1454</v>
      </c>
      <c r="S57" s="146"/>
      <c r="T57" s="146"/>
      <c r="U57" s="146"/>
      <c r="V57" s="146"/>
      <c r="W57" s="146"/>
      <c r="X57" s="146"/>
      <c r="Y57" s="146"/>
      <c r="Z57" s="146"/>
      <c r="AA57" s="146"/>
      <c r="AB57" s="146"/>
      <c r="AC57" s="146"/>
      <c r="AD57" s="146"/>
      <c r="AE57" s="146"/>
      <c r="AF57" s="147"/>
    </row>
    <row r="58" spans="2:35" x14ac:dyDescent="0.2">
      <c r="B58" s="130"/>
      <c r="C58" s="131"/>
      <c r="D58" s="130"/>
      <c r="E58" s="132"/>
      <c r="F58" s="132"/>
      <c r="G58" s="132"/>
      <c r="H58" s="131"/>
      <c r="I58" s="130"/>
      <c r="J58" s="132"/>
      <c r="K58" s="132"/>
      <c r="L58" s="132"/>
      <c r="M58" s="131"/>
      <c r="N58" s="133"/>
      <c r="O58" s="134"/>
      <c r="P58" s="134"/>
      <c r="Q58" s="135"/>
      <c r="R58" s="136"/>
      <c r="S58" s="137"/>
      <c r="T58" s="137"/>
      <c r="U58" s="137"/>
      <c r="V58" s="137"/>
      <c r="W58" s="137"/>
      <c r="X58" s="137"/>
      <c r="Y58" s="137"/>
      <c r="Z58" s="137"/>
      <c r="AA58" s="137"/>
      <c r="AB58" s="137"/>
      <c r="AC58" s="137"/>
      <c r="AD58" s="137"/>
      <c r="AE58" s="137"/>
      <c r="AF58" s="138"/>
      <c r="AI58" s="5" t="s">
        <v>38</v>
      </c>
    </row>
    <row r="59" spans="2:35" x14ac:dyDescent="0.2">
      <c r="B59" s="130"/>
      <c r="C59" s="131"/>
      <c r="D59" s="130"/>
      <c r="E59" s="132"/>
      <c r="F59" s="132"/>
      <c r="G59" s="132"/>
      <c r="H59" s="131"/>
      <c r="I59" s="130"/>
      <c r="J59" s="132"/>
      <c r="K59" s="132"/>
      <c r="L59" s="132"/>
      <c r="M59" s="131"/>
      <c r="N59" s="133"/>
      <c r="O59" s="134"/>
      <c r="P59" s="134"/>
      <c r="Q59" s="135"/>
      <c r="R59" s="136"/>
      <c r="S59" s="137"/>
      <c r="T59" s="137"/>
      <c r="U59" s="137"/>
      <c r="V59" s="137"/>
      <c r="W59" s="137"/>
      <c r="X59" s="137"/>
      <c r="Y59" s="137"/>
      <c r="Z59" s="137"/>
      <c r="AA59" s="137"/>
      <c r="AB59" s="137"/>
      <c r="AC59" s="137"/>
      <c r="AD59" s="137"/>
      <c r="AE59" s="137"/>
      <c r="AF59" s="138"/>
    </row>
    <row r="60" spans="2:35" x14ac:dyDescent="0.2">
      <c r="B60" s="130"/>
      <c r="C60" s="131"/>
      <c r="D60" s="130"/>
      <c r="E60" s="132"/>
      <c r="F60" s="132"/>
      <c r="G60" s="132"/>
      <c r="H60" s="131"/>
      <c r="I60" s="130"/>
      <c r="J60" s="132"/>
      <c r="K60" s="132"/>
      <c r="L60" s="132"/>
      <c r="M60" s="131"/>
      <c r="N60" s="133"/>
      <c r="O60" s="134"/>
      <c r="P60" s="134"/>
      <c r="Q60" s="135"/>
      <c r="R60" s="136"/>
      <c r="S60" s="137"/>
      <c r="T60" s="137"/>
      <c r="U60" s="137"/>
      <c r="V60" s="137"/>
      <c r="W60" s="137"/>
      <c r="X60" s="137"/>
      <c r="Y60" s="137"/>
      <c r="Z60" s="137"/>
      <c r="AA60" s="137"/>
      <c r="AB60" s="137"/>
      <c r="AC60" s="137"/>
      <c r="AD60" s="137"/>
      <c r="AE60" s="137"/>
      <c r="AF60" s="138"/>
    </row>
    <row r="61" spans="2:35" x14ac:dyDescent="0.2">
      <c r="B61" s="130"/>
      <c r="C61" s="131"/>
      <c r="D61" s="130"/>
      <c r="E61" s="132"/>
      <c r="F61" s="132"/>
      <c r="G61" s="132"/>
      <c r="H61" s="131"/>
      <c r="I61" s="130"/>
      <c r="J61" s="132"/>
      <c r="K61" s="132"/>
      <c r="L61" s="132"/>
      <c r="M61" s="131"/>
      <c r="N61" s="133"/>
      <c r="O61" s="134"/>
      <c r="P61" s="134"/>
      <c r="Q61" s="135"/>
      <c r="R61" s="136"/>
      <c r="S61" s="137"/>
      <c r="T61" s="137"/>
      <c r="U61" s="137"/>
      <c r="V61" s="137"/>
      <c r="W61" s="137"/>
      <c r="X61" s="137"/>
      <c r="Y61" s="137"/>
      <c r="Z61" s="137"/>
      <c r="AA61" s="137"/>
      <c r="AB61" s="137"/>
      <c r="AC61" s="137"/>
      <c r="AD61" s="137"/>
      <c r="AE61" s="137"/>
      <c r="AF61" s="138"/>
    </row>
    <row r="62" spans="2:35" x14ac:dyDescent="0.2">
      <c r="B62" s="130"/>
      <c r="C62" s="131"/>
      <c r="D62" s="130"/>
      <c r="E62" s="132"/>
      <c r="F62" s="132"/>
      <c r="G62" s="132"/>
      <c r="H62" s="131"/>
      <c r="I62" s="130"/>
      <c r="J62" s="132"/>
      <c r="K62" s="132"/>
      <c r="L62" s="132"/>
      <c r="M62" s="131"/>
      <c r="N62" s="133"/>
      <c r="O62" s="134"/>
      <c r="P62" s="134"/>
      <c r="Q62" s="135"/>
      <c r="R62" s="136"/>
      <c r="S62" s="137"/>
      <c r="T62" s="137"/>
      <c r="U62" s="137"/>
      <c r="V62" s="137"/>
      <c r="W62" s="137"/>
      <c r="X62" s="137"/>
      <c r="Y62" s="137"/>
      <c r="Z62" s="137"/>
      <c r="AA62" s="137"/>
      <c r="AB62" s="137"/>
      <c r="AC62" s="137"/>
      <c r="AD62" s="137"/>
      <c r="AE62" s="137"/>
      <c r="AF62" s="138"/>
    </row>
    <row r="63" spans="2:35" ht="15.75" customHeight="1" thickBot="1" x14ac:dyDescent="0.25">
      <c r="B63" s="120"/>
      <c r="C63" s="121"/>
      <c r="D63" s="120"/>
      <c r="E63" s="122"/>
      <c r="F63" s="122"/>
      <c r="G63" s="122"/>
      <c r="H63" s="121"/>
      <c r="I63" s="120"/>
      <c r="J63" s="122"/>
      <c r="K63" s="122"/>
      <c r="L63" s="122"/>
      <c r="M63" s="121"/>
      <c r="N63" s="123"/>
      <c r="O63" s="124"/>
      <c r="P63" s="124"/>
      <c r="Q63" s="125"/>
      <c r="R63" s="126"/>
      <c r="S63" s="127"/>
      <c r="T63" s="127"/>
      <c r="U63" s="127"/>
      <c r="V63" s="127"/>
      <c r="W63" s="127"/>
      <c r="X63" s="127"/>
      <c r="Y63" s="127"/>
      <c r="Z63" s="127"/>
      <c r="AA63" s="127"/>
      <c r="AB63" s="127"/>
      <c r="AC63" s="127"/>
      <c r="AD63" s="127"/>
      <c r="AE63" s="127"/>
      <c r="AF63" s="128"/>
    </row>
    <row r="68" spans="2:35" ht="15" x14ac:dyDescent="0.25">
      <c r="B68" s="129" t="s">
        <v>49</v>
      </c>
      <c r="C68" s="129"/>
      <c r="D68" s="129"/>
      <c r="E68" s="129"/>
      <c r="F68" s="129"/>
      <c r="G68" s="129"/>
      <c r="H68" s="129"/>
      <c r="I68" s="129"/>
      <c r="J68" s="129"/>
      <c r="K68" s="129"/>
      <c r="L68" s="129"/>
      <c r="M68" s="129"/>
      <c r="N68" s="129"/>
      <c r="O68" s="129"/>
      <c r="P68" s="129"/>
      <c r="Q68" s="129"/>
      <c r="R68" s="129"/>
      <c r="S68" s="129"/>
      <c r="T68" s="129"/>
      <c r="U68" s="129"/>
      <c r="V68" s="129"/>
      <c r="W68" s="129"/>
      <c r="X68" s="129"/>
      <c r="Y68" s="129"/>
      <c r="Z68" s="129"/>
      <c r="AA68" s="129"/>
      <c r="AB68" s="129"/>
      <c r="AC68" s="129"/>
      <c r="AD68" s="129"/>
      <c r="AE68" s="129"/>
      <c r="AF68" s="129"/>
    </row>
    <row r="70" spans="2:35" ht="15" x14ac:dyDescent="0.25">
      <c r="B70" s="6">
        <v>1</v>
      </c>
      <c r="C70" s="6"/>
      <c r="D70" s="6" t="s">
        <v>34</v>
      </c>
      <c r="E70" s="6"/>
      <c r="F70" s="6"/>
      <c r="G70" s="6"/>
      <c r="H70" s="6"/>
      <c r="I70" s="6"/>
      <c r="J70" s="6"/>
      <c r="K70" s="6"/>
      <c r="L70" s="6"/>
      <c r="M70" s="6"/>
      <c r="N70" s="6"/>
      <c r="O70" s="6"/>
      <c r="P70" s="6"/>
      <c r="Q70" s="6"/>
      <c r="R70" s="6"/>
      <c r="S70" s="6"/>
      <c r="T70" s="6"/>
      <c r="U70" s="6"/>
      <c r="V70" s="6"/>
      <c r="W70" s="6"/>
      <c r="X70" s="6"/>
      <c r="Y70" s="6"/>
      <c r="Z70" s="6"/>
      <c r="AA70" s="6"/>
      <c r="AB70" s="6"/>
      <c r="AC70" s="6">
        <v>4</v>
      </c>
      <c r="AD70" s="4"/>
      <c r="AE70" s="4"/>
      <c r="AF70" s="4"/>
      <c r="AI70" s="1" t="s">
        <v>51</v>
      </c>
    </row>
    <row r="71" spans="2:35" ht="15" x14ac:dyDescent="0.25">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row>
    <row r="72" spans="2:35" ht="15" x14ac:dyDescent="0.25">
      <c r="B72" s="6">
        <v>2</v>
      </c>
      <c r="C72" s="6"/>
      <c r="D72" s="6" t="s">
        <v>35</v>
      </c>
      <c r="E72" s="6"/>
      <c r="F72" s="6"/>
      <c r="G72" s="6"/>
      <c r="H72" s="6"/>
      <c r="I72" s="6"/>
      <c r="J72" s="6"/>
      <c r="K72" s="6"/>
      <c r="L72" s="6"/>
      <c r="M72" s="6"/>
      <c r="N72" s="6"/>
      <c r="O72" s="6"/>
      <c r="P72" s="6"/>
      <c r="Q72" s="6"/>
      <c r="R72" s="6"/>
      <c r="S72" s="6"/>
      <c r="T72" s="6"/>
      <c r="U72" s="6"/>
      <c r="V72" s="6"/>
      <c r="W72" s="6"/>
      <c r="X72" s="6"/>
      <c r="Y72" s="6"/>
      <c r="Z72" s="6"/>
      <c r="AA72" s="6"/>
      <c r="AB72" s="6"/>
      <c r="AC72" s="6">
        <v>5</v>
      </c>
      <c r="AD72" s="4"/>
      <c r="AE72" s="4"/>
      <c r="AF72" s="4"/>
    </row>
    <row r="73" spans="2:35" ht="15" x14ac:dyDescent="0.25">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row>
    <row r="74" spans="2:35" ht="15" x14ac:dyDescent="0.25">
      <c r="B74" s="6">
        <v>3</v>
      </c>
      <c r="C74" s="6"/>
      <c r="D74" s="6" t="s">
        <v>1686</v>
      </c>
      <c r="E74" s="6"/>
      <c r="F74" s="6"/>
      <c r="G74" s="6"/>
      <c r="H74" s="6"/>
      <c r="I74" s="6"/>
      <c r="J74" s="6"/>
      <c r="K74" s="6"/>
      <c r="L74" s="6"/>
      <c r="M74" s="6"/>
      <c r="N74" s="6"/>
      <c r="O74" s="6"/>
      <c r="P74" s="6"/>
      <c r="Q74" s="6"/>
      <c r="R74" s="6"/>
      <c r="S74" s="6"/>
      <c r="T74" s="6"/>
      <c r="U74" s="6"/>
      <c r="V74" s="6"/>
      <c r="W74" s="6"/>
      <c r="X74" s="6"/>
      <c r="Y74" s="6"/>
      <c r="Z74" s="6"/>
      <c r="AA74" s="6"/>
      <c r="AB74" s="6"/>
      <c r="AC74" s="6">
        <v>6</v>
      </c>
      <c r="AD74" s="4"/>
      <c r="AE74" s="4"/>
      <c r="AF74" s="4"/>
    </row>
    <row r="75" spans="2:35" ht="15" x14ac:dyDescent="0.25">
      <c r="B75" s="4"/>
      <c r="C75" s="4"/>
      <c r="D75" s="119">
        <v>3.1</v>
      </c>
      <c r="E75" s="119"/>
      <c r="F75" s="6" t="s">
        <v>1693</v>
      </c>
      <c r="G75" s="6"/>
      <c r="H75" s="6"/>
      <c r="I75" s="6"/>
      <c r="J75" s="6"/>
      <c r="K75" s="6"/>
      <c r="L75" s="6"/>
      <c r="M75" s="6"/>
      <c r="N75" s="6"/>
      <c r="O75" s="6"/>
      <c r="P75" s="6"/>
      <c r="Q75" s="6"/>
      <c r="R75" s="6"/>
      <c r="S75" s="6"/>
      <c r="T75" s="6"/>
      <c r="U75" s="6"/>
      <c r="V75" s="6"/>
      <c r="W75" s="6"/>
      <c r="X75" s="6"/>
      <c r="Y75" s="6"/>
      <c r="Z75" s="6"/>
      <c r="AA75" s="6"/>
      <c r="AB75" s="6"/>
      <c r="AC75" s="6">
        <v>6</v>
      </c>
      <c r="AD75" s="4"/>
      <c r="AE75" s="4"/>
      <c r="AF75" s="4"/>
    </row>
    <row r="76" spans="2:35" ht="15" x14ac:dyDescent="0.25">
      <c r="B76" s="4"/>
      <c r="C76" s="4"/>
      <c r="D76" s="119">
        <v>3.2</v>
      </c>
      <c r="E76" s="119"/>
      <c r="F76" s="6" t="s">
        <v>1694</v>
      </c>
      <c r="G76" s="6"/>
      <c r="H76" s="6"/>
      <c r="I76" s="6"/>
      <c r="J76" s="6"/>
      <c r="K76" s="6"/>
      <c r="L76" s="6"/>
      <c r="M76" s="6"/>
      <c r="N76" s="6"/>
      <c r="O76" s="6"/>
      <c r="P76" s="6"/>
      <c r="Q76" s="6"/>
      <c r="R76" s="6"/>
      <c r="S76" s="6"/>
      <c r="T76" s="6"/>
      <c r="U76" s="6"/>
      <c r="V76" s="6"/>
      <c r="W76" s="6"/>
      <c r="X76" s="6"/>
      <c r="Y76" s="6"/>
      <c r="Z76" s="6"/>
      <c r="AA76" s="6"/>
      <c r="AB76" s="6"/>
      <c r="AC76" s="6">
        <v>7</v>
      </c>
      <c r="AD76" s="4"/>
      <c r="AE76" s="4"/>
      <c r="AF76" s="4"/>
    </row>
    <row r="77" spans="2:35" ht="15" x14ac:dyDescent="0.25">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row>
    <row r="78" spans="2:35" ht="15" x14ac:dyDescent="0.25">
      <c r="B78" s="6">
        <v>4</v>
      </c>
      <c r="C78" s="6"/>
      <c r="D78" s="6" t="s">
        <v>1695</v>
      </c>
      <c r="E78" s="6"/>
      <c r="F78" s="6"/>
      <c r="G78" s="6"/>
      <c r="H78" s="6"/>
      <c r="I78" s="6"/>
      <c r="J78" s="6"/>
      <c r="K78" s="6"/>
      <c r="L78" s="6"/>
      <c r="M78" s="6"/>
      <c r="N78" s="6"/>
      <c r="O78" s="6"/>
      <c r="P78" s="6"/>
      <c r="Q78" s="6"/>
      <c r="R78" s="6"/>
      <c r="S78" s="6"/>
      <c r="T78" s="6"/>
      <c r="U78" s="6"/>
      <c r="V78" s="6"/>
      <c r="W78" s="6"/>
      <c r="X78" s="6"/>
      <c r="Y78" s="6"/>
      <c r="Z78" s="6"/>
      <c r="AA78" s="6"/>
      <c r="AB78" s="6"/>
      <c r="AC78" s="6">
        <v>24</v>
      </c>
      <c r="AD78" s="4"/>
      <c r="AE78" s="4"/>
      <c r="AF78" s="4"/>
    </row>
    <row r="79" spans="2:35" ht="15" x14ac:dyDescent="0.25">
      <c r="B79" s="4"/>
      <c r="C79"/>
      <c r="D79"/>
      <c r="E79"/>
      <c r="F79"/>
      <c r="G79"/>
      <c r="H79"/>
      <c r="I79"/>
      <c r="J79"/>
      <c r="K79"/>
      <c r="L79"/>
      <c r="M79"/>
      <c r="N79"/>
      <c r="O79"/>
      <c r="P79"/>
      <c r="Q79"/>
      <c r="R79"/>
      <c r="S79"/>
      <c r="T79"/>
      <c r="U79"/>
      <c r="V79"/>
      <c r="W79"/>
      <c r="X79"/>
      <c r="Y79"/>
      <c r="Z79"/>
      <c r="AA79"/>
      <c r="AB79"/>
      <c r="AC79"/>
      <c r="AD79"/>
      <c r="AE79" s="4"/>
      <c r="AF79" s="4"/>
    </row>
    <row r="80" spans="2:35" ht="15" x14ac:dyDescent="0.25">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row>
    <row r="81" spans="2:32" ht="15" x14ac:dyDescent="0.25">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row>
    <row r="82" spans="2:32" ht="15" x14ac:dyDescent="0.25">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row>
    <row r="83" spans="2:32" ht="15" x14ac:dyDescent="0.25">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row>
    <row r="84" spans="2:32" ht="15" x14ac:dyDescent="0.25">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row>
    <row r="85" spans="2:32" ht="15" x14ac:dyDescent="0.25">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row>
    <row r="86" spans="2:32" ht="15" x14ac:dyDescent="0.25">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row>
    <row r="87" spans="2:32" ht="15" x14ac:dyDescent="0.25">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row>
    <row r="88" spans="2:32" ht="15" x14ac:dyDescent="0.25">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row>
    <row r="89" spans="2:32" ht="15" x14ac:dyDescent="0.25">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row>
    <row r="90" spans="2:32" ht="15" x14ac:dyDescent="0.25">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row>
    <row r="91" spans="2:32" ht="15" x14ac:dyDescent="0.25">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row>
    <row r="92" spans="2:32" ht="15" x14ac:dyDescent="0.25">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row>
    <row r="93" spans="2:32" ht="15" x14ac:dyDescent="0.25">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row>
    <row r="94" spans="2:32" ht="15" x14ac:dyDescent="0.25">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row>
    <row r="95" spans="2:32" ht="15" x14ac:dyDescent="0.25">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row>
    <row r="96" spans="2:32" ht="15" x14ac:dyDescent="0.25">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row>
    <row r="97" spans="2:32" ht="15" x14ac:dyDescent="0.25">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row>
    <row r="98" spans="2:32" ht="15" x14ac:dyDescent="0.25">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row>
    <row r="99" spans="2:32" ht="15" x14ac:dyDescent="0.25">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row>
    <row r="100" spans="2:32" ht="15" x14ac:dyDescent="0.25">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row>
    <row r="101" spans="2:32" ht="15" x14ac:dyDescent="0.25">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row>
    <row r="102" spans="2:32" ht="15" x14ac:dyDescent="0.25">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row>
    <row r="103" spans="2:32" ht="15" x14ac:dyDescent="0.25">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row>
    <row r="104" spans="2:32" ht="15" x14ac:dyDescent="0.25">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row>
    <row r="105" spans="2:32" ht="15" x14ac:dyDescent="0.25">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row>
    <row r="106" spans="2:32" ht="15" x14ac:dyDescent="0.25">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row>
    <row r="107" spans="2:32" ht="15" x14ac:dyDescent="0.25">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row>
    <row r="108" spans="2:32" ht="15" x14ac:dyDescent="0.25">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row>
    <row r="109" spans="2:32" ht="15" x14ac:dyDescent="0.25">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row>
    <row r="110" spans="2:32" ht="15" x14ac:dyDescent="0.25">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row>
    <row r="111" spans="2:32" ht="15" x14ac:dyDescent="0.25">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row>
    <row r="112" spans="2:32" ht="15" x14ac:dyDescent="0.25">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row>
    <row r="113" spans="2:32" ht="15" x14ac:dyDescent="0.25">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row>
    <row r="114" spans="2:32" ht="15" x14ac:dyDescent="0.25">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row>
    <row r="115" spans="2:32" ht="15" x14ac:dyDescent="0.25">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row>
    <row r="116" spans="2:32" ht="15" x14ac:dyDescent="0.25">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row>
    <row r="117" spans="2:32" ht="15" x14ac:dyDescent="0.25">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row>
    <row r="118" spans="2:32" ht="15" x14ac:dyDescent="0.25">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row>
  </sheetData>
  <mergeCells count="119">
    <mergeCell ref="A28:AG28"/>
    <mergeCell ref="B30:C30"/>
    <mergeCell ref="D30:L30"/>
    <mergeCell ref="M30:P30"/>
    <mergeCell ref="Q30:V30"/>
    <mergeCell ref="W30:AA30"/>
    <mergeCell ref="AB30:AF30"/>
    <mergeCell ref="A5:AG5"/>
    <mergeCell ref="A9:AG9"/>
    <mergeCell ref="A12:AG12"/>
    <mergeCell ref="F16:P24"/>
    <mergeCell ref="Q16:AA24"/>
    <mergeCell ref="F25:P25"/>
    <mergeCell ref="Q25:AA25"/>
    <mergeCell ref="B32:C32"/>
    <mergeCell ref="D32:L32"/>
    <mergeCell ref="M32:P32"/>
    <mergeCell ref="Q32:V32"/>
    <mergeCell ref="W32:AA32"/>
    <mergeCell ref="AB32:AF32"/>
    <mergeCell ref="B31:C31"/>
    <mergeCell ref="D31:L31"/>
    <mergeCell ref="M31:P31"/>
    <mergeCell ref="Q31:V31"/>
    <mergeCell ref="W31:AA31"/>
    <mergeCell ref="AB31:AF31"/>
    <mergeCell ref="B34:C34"/>
    <mergeCell ref="D34:L34"/>
    <mergeCell ref="M34:P34"/>
    <mergeCell ref="Q34:V34"/>
    <mergeCell ref="W34:AA34"/>
    <mergeCell ref="AB34:AF34"/>
    <mergeCell ref="B33:C33"/>
    <mergeCell ref="D33:L33"/>
    <mergeCell ref="M33:P33"/>
    <mergeCell ref="Q33:V33"/>
    <mergeCell ref="W33:AA33"/>
    <mergeCell ref="AB33:AF33"/>
    <mergeCell ref="B36:C36"/>
    <mergeCell ref="D36:L36"/>
    <mergeCell ref="M36:P36"/>
    <mergeCell ref="Q36:V36"/>
    <mergeCell ref="W36:AA36"/>
    <mergeCell ref="AB36:AF36"/>
    <mergeCell ref="B35:C35"/>
    <mergeCell ref="D35:L35"/>
    <mergeCell ref="M35:P35"/>
    <mergeCell ref="Q35:V35"/>
    <mergeCell ref="W35:AA35"/>
    <mergeCell ref="AB35:AF35"/>
    <mergeCell ref="B38:C38"/>
    <mergeCell ref="D38:L38"/>
    <mergeCell ref="M38:P38"/>
    <mergeCell ref="Q38:V38"/>
    <mergeCell ref="W38:AA38"/>
    <mergeCell ref="AB38:AF38"/>
    <mergeCell ref="B37:C37"/>
    <mergeCell ref="D37:L37"/>
    <mergeCell ref="M37:P37"/>
    <mergeCell ref="Q37:V37"/>
    <mergeCell ref="W37:AA37"/>
    <mergeCell ref="AB37:AF37"/>
    <mergeCell ref="S45:V45"/>
    <mergeCell ref="G47:L47"/>
    <mergeCell ref="P47:S47"/>
    <mergeCell ref="Y47:AE47"/>
    <mergeCell ref="B54:C54"/>
    <mergeCell ref="D54:H54"/>
    <mergeCell ref="I54:M54"/>
    <mergeCell ref="N54:Q54"/>
    <mergeCell ref="R54:AF54"/>
    <mergeCell ref="B55:C55"/>
    <mergeCell ref="D55:H55"/>
    <mergeCell ref="I55:M55"/>
    <mergeCell ref="N55:Q55"/>
    <mergeCell ref="R55:AF55"/>
    <mergeCell ref="B56:C56"/>
    <mergeCell ref="D56:H56"/>
    <mergeCell ref="I56:M56"/>
    <mergeCell ref="N56:Q56"/>
    <mergeCell ref="R56:AF56"/>
    <mergeCell ref="B57:C57"/>
    <mergeCell ref="D57:H57"/>
    <mergeCell ref="I57:M57"/>
    <mergeCell ref="N57:Q57"/>
    <mergeCell ref="R57:AF57"/>
    <mergeCell ref="B58:C58"/>
    <mergeCell ref="D58:H58"/>
    <mergeCell ref="I58:M58"/>
    <mergeCell ref="N58:Q58"/>
    <mergeCell ref="R58:AF58"/>
    <mergeCell ref="B59:C59"/>
    <mergeCell ref="D59:H59"/>
    <mergeCell ref="I59:M59"/>
    <mergeCell ref="N59:Q59"/>
    <mergeCell ref="R59:AF59"/>
    <mergeCell ref="B60:C60"/>
    <mergeCell ref="D60:H60"/>
    <mergeCell ref="I60:M60"/>
    <mergeCell ref="N60:Q60"/>
    <mergeCell ref="R60:AF60"/>
    <mergeCell ref="B63:C63"/>
    <mergeCell ref="D63:H63"/>
    <mergeCell ref="I63:M63"/>
    <mergeCell ref="N63:Q63"/>
    <mergeCell ref="R63:AF63"/>
    <mergeCell ref="B68:AF68"/>
    <mergeCell ref="B61:C61"/>
    <mergeCell ref="D61:H61"/>
    <mergeCell ref="I61:M61"/>
    <mergeCell ref="N61:Q61"/>
    <mergeCell ref="R61:AF61"/>
    <mergeCell ref="B62:C62"/>
    <mergeCell ref="D62:H62"/>
    <mergeCell ref="I62:M62"/>
    <mergeCell ref="N62:Q62"/>
    <mergeCell ref="R62:AF62"/>
    <mergeCell ref="D75:E75"/>
    <mergeCell ref="D76:E76"/>
  </mergeCells>
  <pageMargins left="0.7" right="0.7" top="1.25" bottom="0.75" header="0.3" footer="0.3"/>
  <pageSetup scale="87" fitToHeight="0" orientation="portrait" horizontalDpi="1200" verticalDpi="1200" r:id="rId1"/>
  <headerFooter>
    <oddHeader>&amp;L&amp;G
Client: Keyera
Project No: F3KY&amp;C&amp;G&amp;RDesigned By: CW
Checked By: JS
Date: 27-MAY-2026
Revision: 1</oddHeader>
    <oddFooter>&amp;LContractor Document No:  F3KY-215-CAL-047</oddFooter>
  </headerFooter>
  <rowBreaks count="1" manualBreakCount="1">
    <brk id="66" max="3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6385" r:id="rId5" name="Check Box 1">
              <controlPr defaultSize="0" autoFill="0" autoLine="0" autoPict="0">
                <anchor moveWithCells="1">
                  <from>
                    <xdr:col>7</xdr:col>
                    <xdr:colOff>200025</xdr:colOff>
                    <xdr:row>41</xdr:row>
                    <xdr:rowOff>171450</xdr:rowOff>
                  </from>
                  <to>
                    <xdr:col>9</xdr:col>
                    <xdr:colOff>85725</xdr:colOff>
                    <xdr:row>43</xdr:row>
                    <xdr:rowOff>19050</xdr:rowOff>
                  </to>
                </anchor>
              </controlPr>
            </control>
          </mc:Choice>
        </mc:AlternateContent>
        <mc:AlternateContent xmlns:mc="http://schemas.openxmlformats.org/markup-compatibility/2006">
          <mc:Choice Requires="x14">
            <control shapeId="16386" r:id="rId6" name="Check Box 2">
              <controlPr defaultSize="0" autoFill="0" autoLine="0" autoPict="0">
                <anchor moveWithCells="1">
                  <from>
                    <xdr:col>14</xdr:col>
                    <xdr:colOff>0</xdr:colOff>
                    <xdr:row>41</xdr:row>
                    <xdr:rowOff>161925</xdr:rowOff>
                  </from>
                  <to>
                    <xdr:col>15</xdr:col>
                    <xdr:colOff>95250</xdr:colOff>
                    <xdr:row>43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A3D36-2722-46B8-B31B-35074080D9B9}">
  <sheetPr>
    <tabColor rgb="FFCCFFCC"/>
    <pageSetUpPr fitToPage="1"/>
  </sheetPr>
  <dimension ref="B1:AI12"/>
  <sheetViews>
    <sheetView view="pageBreakPreview" topLeftCell="A2" zoomScale="130" zoomScaleNormal="100" zoomScaleSheetLayoutView="130" workbookViewId="0">
      <selection activeCell="Q50" sqref="Q50"/>
    </sheetView>
  </sheetViews>
  <sheetFormatPr defaultRowHeight="14.25" x14ac:dyDescent="0.2"/>
  <cols>
    <col min="1" max="33" width="3.140625" style="1" customWidth="1"/>
    <col min="34" max="16384" width="9.140625" style="1"/>
  </cols>
  <sheetData>
    <row r="1" spans="2:35" x14ac:dyDescent="0.2">
      <c r="AI1" s="1" t="s">
        <v>0</v>
      </c>
    </row>
    <row r="2" spans="2:35" ht="15" x14ac:dyDescent="0.25">
      <c r="B2" s="4" t="s">
        <v>152</v>
      </c>
    </row>
    <row r="4" spans="2:35" ht="15" x14ac:dyDescent="0.25">
      <c r="B4" s="4"/>
      <c r="C4" s="230" t="s">
        <v>69</v>
      </c>
      <c r="D4" s="230"/>
      <c r="E4" s="230"/>
      <c r="F4" s="230"/>
      <c r="G4" s="230"/>
      <c r="H4" s="230"/>
      <c r="I4" s="230"/>
      <c r="J4" s="230"/>
      <c r="K4" s="230"/>
      <c r="L4" s="230"/>
      <c r="M4" s="230"/>
      <c r="N4" s="230"/>
      <c r="O4" s="230"/>
      <c r="P4" s="230"/>
      <c r="Q4" s="230"/>
      <c r="R4" s="230"/>
      <c r="S4" s="230"/>
      <c r="T4" s="230"/>
      <c r="U4" s="230"/>
      <c r="V4" s="230"/>
      <c r="W4" s="230"/>
      <c r="X4" s="230"/>
      <c r="Y4" s="230"/>
      <c r="Z4" s="230"/>
      <c r="AA4" s="230"/>
      <c r="AB4" s="230"/>
      <c r="AC4" s="230"/>
      <c r="AD4" s="230"/>
      <c r="AE4" s="230"/>
      <c r="AF4" s="230"/>
    </row>
    <row r="5" spans="2:35" x14ac:dyDescent="0.2">
      <c r="C5" s="230"/>
      <c r="D5" s="230"/>
      <c r="E5" s="230"/>
      <c r="F5" s="230"/>
      <c r="G5" s="230"/>
      <c r="H5" s="230"/>
      <c r="I5" s="230"/>
      <c r="J5" s="230"/>
      <c r="K5" s="230"/>
      <c r="L5" s="230"/>
      <c r="M5" s="230"/>
      <c r="N5" s="230"/>
      <c r="O5" s="230"/>
      <c r="P5" s="230"/>
      <c r="Q5" s="230"/>
      <c r="R5" s="230"/>
      <c r="S5" s="230"/>
      <c r="T5" s="230"/>
      <c r="U5" s="230"/>
      <c r="V5" s="230"/>
      <c r="W5" s="230"/>
      <c r="X5" s="230"/>
      <c r="Y5" s="230"/>
      <c r="Z5" s="230"/>
      <c r="AA5" s="230"/>
      <c r="AB5" s="230"/>
      <c r="AC5" s="230"/>
      <c r="AD5" s="230"/>
      <c r="AE5" s="230"/>
      <c r="AF5" s="230"/>
    </row>
    <row r="6" spans="2:35" ht="15" thickBot="1" x14ac:dyDescent="0.25"/>
    <row r="7" spans="2:35" ht="15" customHeight="1" x14ac:dyDescent="0.25">
      <c r="B7" s="165" t="s">
        <v>53</v>
      </c>
      <c r="C7" s="167"/>
      <c r="D7" s="168" t="s">
        <v>55</v>
      </c>
      <c r="E7" s="169"/>
      <c r="F7" s="169"/>
      <c r="G7" s="169"/>
      <c r="H7" s="169"/>
      <c r="I7" s="169"/>
      <c r="J7" s="170"/>
      <c r="K7" s="168" t="s">
        <v>56</v>
      </c>
      <c r="L7" s="169"/>
      <c r="M7" s="169"/>
      <c r="N7" s="169"/>
      <c r="O7" s="169"/>
      <c r="P7" s="169"/>
      <c r="Q7" s="169"/>
      <c r="R7" s="170"/>
      <c r="S7" s="168" t="s">
        <v>57</v>
      </c>
      <c r="T7" s="169"/>
      <c r="U7" s="169"/>
      <c r="V7" s="169"/>
      <c r="W7" s="169"/>
      <c r="X7" s="169"/>
      <c r="Y7" s="170"/>
      <c r="Z7" s="168" t="s">
        <v>58</v>
      </c>
      <c r="AA7" s="169"/>
      <c r="AB7" s="169"/>
      <c r="AC7" s="169"/>
      <c r="AD7" s="169"/>
      <c r="AE7" s="169"/>
      <c r="AF7" s="170"/>
    </row>
    <row r="8" spans="2:35" ht="15" customHeight="1" x14ac:dyDescent="0.25">
      <c r="B8" s="221" t="s">
        <v>54</v>
      </c>
      <c r="C8" s="222"/>
      <c r="D8" s="225"/>
      <c r="E8" s="200"/>
      <c r="F8" s="200"/>
      <c r="G8" s="200"/>
      <c r="H8" s="200"/>
      <c r="I8" s="200"/>
      <c r="J8" s="226"/>
      <c r="K8" s="225"/>
      <c r="L8" s="200"/>
      <c r="M8" s="200"/>
      <c r="N8" s="200"/>
      <c r="O8" s="200"/>
      <c r="P8" s="200"/>
      <c r="Q8" s="200"/>
      <c r="R8" s="226"/>
      <c r="S8" s="225"/>
      <c r="T8" s="200"/>
      <c r="U8" s="200"/>
      <c r="V8" s="200"/>
      <c r="W8" s="200"/>
      <c r="X8" s="200"/>
      <c r="Y8" s="226"/>
      <c r="Z8" s="227" t="s">
        <v>59</v>
      </c>
      <c r="AA8" s="228"/>
      <c r="AB8" s="228"/>
      <c r="AC8" s="228"/>
      <c r="AD8" s="228"/>
      <c r="AE8" s="228"/>
      <c r="AF8" s="229"/>
    </row>
    <row r="9" spans="2:35" ht="30" customHeight="1" thickBot="1" x14ac:dyDescent="0.25">
      <c r="B9" s="223"/>
      <c r="C9" s="224"/>
      <c r="D9" s="195"/>
      <c r="E9" s="197"/>
      <c r="F9" s="197"/>
      <c r="G9" s="197"/>
      <c r="H9" s="197"/>
      <c r="I9" s="197"/>
      <c r="J9" s="196"/>
      <c r="K9" s="195"/>
      <c r="L9" s="197"/>
      <c r="M9" s="197"/>
      <c r="N9" s="197"/>
      <c r="O9" s="197"/>
      <c r="P9" s="197"/>
      <c r="Q9" s="197"/>
      <c r="R9" s="196"/>
      <c r="S9" s="195"/>
      <c r="T9" s="197"/>
      <c r="U9" s="197"/>
      <c r="V9" s="197"/>
      <c r="W9" s="197"/>
      <c r="X9" s="197"/>
      <c r="Y9" s="196"/>
      <c r="Z9" s="195"/>
      <c r="AA9" s="197"/>
      <c r="AB9" s="197"/>
      <c r="AC9" s="197"/>
      <c r="AD9" s="197"/>
      <c r="AE9" s="197"/>
      <c r="AF9" s="196"/>
    </row>
    <row r="10" spans="2:35" ht="213.75" customHeight="1" x14ac:dyDescent="0.2">
      <c r="B10" s="213">
        <v>1</v>
      </c>
      <c r="C10" s="214"/>
      <c r="D10" s="215" t="s">
        <v>1627</v>
      </c>
      <c r="E10" s="216"/>
      <c r="F10" s="216"/>
      <c r="G10" s="216"/>
      <c r="H10" s="216"/>
      <c r="I10" s="216"/>
      <c r="J10" s="217"/>
      <c r="K10" s="215" t="s">
        <v>1628</v>
      </c>
      <c r="L10" s="216"/>
      <c r="M10" s="216"/>
      <c r="N10" s="216"/>
      <c r="O10" s="216"/>
      <c r="P10" s="216"/>
      <c r="Q10" s="216"/>
      <c r="R10" s="217"/>
      <c r="S10" s="215" t="s">
        <v>1629</v>
      </c>
      <c r="T10" s="216"/>
      <c r="U10" s="216"/>
      <c r="V10" s="216"/>
      <c r="W10" s="216"/>
      <c r="X10" s="216"/>
      <c r="Y10" s="217"/>
      <c r="Z10" s="218" t="s">
        <v>1682</v>
      </c>
      <c r="AA10" s="216"/>
      <c r="AB10" s="216"/>
      <c r="AC10" s="216"/>
      <c r="AD10" s="216"/>
      <c r="AE10" s="216"/>
      <c r="AF10" s="217"/>
      <c r="AI10" s="5"/>
    </row>
    <row r="11" spans="2:35" x14ac:dyDescent="0.2">
      <c r="B11" s="219"/>
      <c r="C11" s="220"/>
      <c r="D11" s="136"/>
      <c r="E11" s="137"/>
      <c r="F11" s="137"/>
      <c r="G11" s="137"/>
      <c r="H11" s="137"/>
      <c r="I11" s="137"/>
      <c r="J11" s="138"/>
      <c r="K11" s="136"/>
      <c r="L11" s="137"/>
      <c r="M11" s="137"/>
      <c r="N11" s="137"/>
      <c r="O11" s="137"/>
      <c r="P11" s="137"/>
      <c r="Q11" s="137"/>
      <c r="R11" s="138"/>
      <c r="S11" s="136"/>
      <c r="T11" s="137"/>
      <c r="U11" s="137"/>
      <c r="V11" s="137"/>
      <c r="W11" s="137"/>
      <c r="X11" s="137"/>
      <c r="Y11" s="138"/>
      <c r="Z11" s="136"/>
      <c r="AA11" s="137"/>
      <c r="AB11" s="137"/>
      <c r="AC11" s="137"/>
      <c r="AD11" s="137"/>
      <c r="AE11" s="137"/>
      <c r="AF11" s="138"/>
    </row>
    <row r="12" spans="2:35" ht="15.75" customHeight="1" thickBot="1" x14ac:dyDescent="0.25">
      <c r="B12" s="211"/>
      <c r="C12" s="212"/>
      <c r="D12" s="126"/>
      <c r="E12" s="127"/>
      <c r="F12" s="127"/>
      <c r="G12" s="127"/>
      <c r="H12" s="127"/>
      <c r="I12" s="127"/>
      <c r="J12" s="128"/>
      <c r="K12" s="126"/>
      <c r="L12" s="127"/>
      <c r="M12" s="127"/>
      <c r="N12" s="127"/>
      <c r="O12" s="127"/>
      <c r="P12" s="127"/>
      <c r="Q12" s="127"/>
      <c r="R12" s="128"/>
      <c r="S12" s="126"/>
      <c r="T12" s="127"/>
      <c r="U12" s="127"/>
      <c r="V12" s="127"/>
      <c r="W12" s="127"/>
      <c r="X12" s="127"/>
      <c r="Y12" s="128"/>
      <c r="Z12" s="126"/>
      <c r="AA12" s="127"/>
      <c r="AB12" s="127"/>
      <c r="AC12" s="127"/>
      <c r="AD12" s="127"/>
      <c r="AE12" s="127"/>
      <c r="AF12" s="128"/>
    </row>
  </sheetData>
  <mergeCells count="30">
    <mergeCell ref="C4:AF5"/>
    <mergeCell ref="B7:C7"/>
    <mergeCell ref="D7:J7"/>
    <mergeCell ref="K7:R7"/>
    <mergeCell ref="S7:Y7"/>
    <mergeCell ref="Z7:AF7"/>
    <mergeCell ref="B8:C9"/>
    <mergeCell ref="D8:J8"/>
    <mergeCell ref="K8:R8"/>
    <mergeCell ref="S8:Y8"/>
    <mergeCell ref="Z8:AF8"/>
    <mergeCell ref="D9:J9"/>
    <mergeCell ref="K9:R9"/>
    <mergeCell ref="S9:Y9"/>
    <mergeCell ref="Z9:AF9"/>
    <mergeCell ref="B11:C11"/>
    <mergeCell ref="D11:J11"/>
    <mergeCell ref="K11:R11"/>
    <mergeCell ref="S11:Y11"/>
    <mergeCell ref="Z11:AF11"/>
    <mergeCell ref="B10:C10"/>
    <mergeCell ref="D10:J10"/>
    <mergeCell ref="K10:R10"/>
    <mergeCell ref="S10:Y10"/>
    <mergeCell ref="Z10:AF10"/>
    <mergeCell ref="B12:C12"/>
    <mergeCell ref="D12:J12"/>
    <mergeCell ref="K12:R12"/>
    <mergeCell ref="S12:Y12"/>
    <mergeCell ref="Z12:AF12"/>
  </mergeCells>
  <pageMargins left="0.7" right="0.7" top="1.25" bottom="0.75" header="0.3" footer="0.3"/>
  <pageSetup scale="87" fitToHeight="0" orientation="portrait" horizontalDpi="1200" verticalDpi="1200" r:id="rId1"/>
  <headerFooter>
    <oddHeader>&amp;L&amp;G
Client: Keyera
Project No: F3KY&amp;C&amp;G&amp;RDesigned By: CW
Checked By: JS
Date: 27-MAY-2026
Revision: 1</oddHeader>
    <oddFooter>&amp;LContractor Document No:  F3KY-215-CAL-047</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F7E2-28F6-4A58-BE51-AD2154453E31}">
  <sheetPr>
    <tabColor rgb="FFCCFFCC"/>
    <pageSetUpPr fitToPage="1"/>
  </sheetPr>
  <dimension ref="B1:AO29"/>
  <sheetViews>
    <sheetView view="pageBreakPreview" zoomScale="115" zoomScaleNormal="100" zoomScaleSheetLayoutView="115" workbookViewId="0">
      <selection activeCell="Q50" sqref="Q50"/>
    </sheetView>
  </sheetViews>
  <sheetFormatPr defaultRowHeight="14.25" x14ac:dyDescent="0.2"/>
  <cols>
    <col min="1" max="33" width="3.140625" style="1" customWidth="1"/>
    <col min="34" max="16384" width="9.140625" style="1"/>
  </cols>
  <sheetData>
    <row r="1" spans="2:41" x14ac:dyDescent="0.2">
      <c r="AI1" s="1" t="s">
        <v>0</v>
      </c>
    </row>
    <row r="2" spans="2:41" ht="15" x14ac:dyDescent="0.25">
      <c r="B2" s="4" t="s">
        <v>61</v>
      </c>
    </row>
    <row r="3" spans="2:41" ht="14.25" customHeight="1" x14ac:dyDescent="0.2">
      <c r="AI3" s="113" t="s">
        <v>65</v>
      </c>
      <c r="AJ3" s="113"/>
      <c r="AK3" s="113"/>
      <c r="AL3" s="113"/>
      <c r="AM3" s="113"/>
      <c r="AN3" s="113"/>
      <c r="AO3" s="113"/>
    </row>
    <row r="4" spans="2:41" ht="15" x14ac:dyDescent="0.25">
      <c r="B4" s="4" t="s">
        <v>62</v>
      </c>
      <c r="D4" s="114" t="str">
        <f>'CP, RH, TofC_R1'!A9</f>
        <v>CWA 250 PM-6008 &amp; PM-6009 Raw Feed Booster Pump Foundation Design</v>
      </c>
      <c r="E4" s="114"/>
      <c r="F4" s="114"/>
      <c r="G4" s="114"/>
      <c r="H4" s="114"/>
      <c r="I4" s="114"/>
      <c r="J4" s="114"/>
      <c r="K4" s="114"/>
      <c r="L4" s="114"/>
      <c r="M4" s="114"/>
      <c r="N4" s="114"/>
      <c r="O4" s="114"/>
      <c r="P4" s="114"/>
      <c r="Q4" s="114"/>
      <c r="R4" s="114"/>
      <c r="S4" s="114"/>
      <c r="T4" s="114"/>
      <c r="U4" s="114"/>
      <c r="V4" s="114"/>
      <c r="W4" s="114"/>
      <c r="X4" s="114"/>
      <c r="Y4" s="114"/>
      <c r="Z4" s="114"/>
      <c r="AA4" s="114"/>
      <c r="AB4" s="114"/>
      <c r="AC4" s="114"/>
      <c r="AD4" s="114"/>
      <c r="AE4" s="114"/>
      <c r="AI4" s="113"/>
      <c r="AJ4" s="113"/>
      <c r="AK4" s="113"/>
      <c r="AL4" s="113"/>
      <c r="AM4" s="113"/>
      <c r="AN4" s="113"/>
      <c r="AO4" s="113"/>
    </row>
    <row r="5" spans="2:41" x14ac:dyDescent="0.2">
      <c r="AI5" s="113"/>
      <c r="AJ5" s="113"/>
      <c r="AK5" s="113"/>
      <c r="AL5" s="113"/>
      <c r="AM5" s="113"/>
      <c r="AN5" s="113"/>
      <c r="AO5" s="113"/>
    </row>
    <row r="6" spans="2:41" ht="15" x14ac:dyDescent="0.25">
      <c r="B6" s="4" t="s">
        <v>63</v>
      </c>
      <c r="I6" s="114" t="str">
        <f>'CP, RH, TofC_R1'!A12</f>
        <v>F3KY-215-CAL-047</v>
      </c>
      <c r="J6" s="114"/>
      <c r="K6" s="114"/>
      <c r="L6" s="114"/>
      <c r="M6" s="114"/>
      <c r="N6" s="114"/>
      <c r="O6" s="114"/>
      <c r="P6" s="114"/>
      <c r="Q6" s="114"/>
      <c r="R6" s="114"/>
      <c r="S6" s="114"/>
      <c r="T6" s="114"/>
      <c r="U6" s="114"/>
      <c r="V6" s="114"/>
      <c r="W6" s="114"/>
      <c r="X6" s="114"/>
      <c r="Y6" s="114"/>
      <c r="Z6" s="114"/>
      <c r="AA6" s="114"/>
      <c r="AB6" s="114"/>
      <c r="AC6" s="114"/>
      <c r="AD6" s="114"/>
      <c r="AE6" s="114"/>
      <c r="AI6" s="2"/>
      <c r="AJ6" s="2"/>
      <c r="AK6" s="2"/>
      <c r="AL6" s="2"/>
      <c r="AM6" s="2"/>
      <c r="AN6" s="2"/>
      <c r="AO6" s="2"/>
    </row>
    <row r="8" spans="2:41" x14ac:dyDescent="0.2">
      <c r="B8" s="115" t="s">
        <v>64</v>
      </c>
      <c r="C8" s="115"/>
      <c r="D8" s="115"/>
      <c r="E8" s="115"/>
      <c r="F8" s="115"/>
      <c r="G8" s="115"/>
      <c r="H8" s="115"/>
      <c r="I8" s="115"/>
      <c r="J8" s="115"/>
      <c r="K8" s="115"/>
      <c r="L8" s="115"/>
      <c r="M8" s="115"/>
      <c r="N8" s="115"/>
      <c r="O8" s="115"/>
      <c r="P8" s="115"/>
      <c r="Q8" s="115"/>
      <c r="R8" s="115"/>
      <c r="S8" s="115"/>
      <c r="T8" s="115"/>
      <c r="U8" s="115"/>
      <c r="V8" s="115"/>
      <c r="W8" s="115"/>
      <c r="X8" s="115"/>
      <c r="Y8" s="115"/>
      <c r="Z8" s="115"/>
      <c r="AA8" s="115"/>
      <c r="AB8" s="115"/>
      <c r="AC8" s="115"/>
      <c r="AD8" s="115"/>
      <c r="AE8" s="115"/>
      <c r="AF8" s="115"/>
    </row>
    <row r="9" spans="2:41" x14ac:dyDescent="0.2">
      <c r="B9" s="115"/>
      <c r="C9" s="115"/>
      <c r="D9" s="115"/>
      <c r="E9" s="115"/>
      <c r="F9" s="115"/>
      <c r="G9" s="115"/>
      <c r="H9" s="115"/>
      <c r="I9" s="115"/>
      <c r="J9" s="115"/>
      <c r="K9" s="115"/>
      <c r="L9" s="115"/>
      <c r="M9" s="115"/>
      <c r="N9" s="115"/>
      <c r="O9" s="115"/>
      <c r="P9" s="115"/>
      <c r="Q9" s="115"/>
      <c r="R9" s="115"/>
      <c r="S9" s="115"/>
      <c r="T9" s="115"/>
      <c r="U9" s="115"/>
      <c r="V9" s="115"/>
      <c r="W9" s="115"/>
      <c r="X9" s="115"/>
      <c r="Y9" s="115"/>
      <c r="Z9" s="115"/>
      <c r="AA9" s="115"/>
      <c r="AB9" s="115"/>
      <c r="AC9" s="115"/>
      <c r="AD9" s="115"/>
      <c r="AE9" s="115"/>
      <c r="AF9" s="115"/>
    </row>
    <row r="10" spans="2:41" x14ac:dyDescent="0.2">
      <c r="B10" s="115"/>
      <c r="C10" s="115"/>
      <c r="D10" s="115"/>
      <c r="E10" s="115"/>
      <c r="F10" s="115"/>
      <c r="G10" s="115"/>
      <c r="H10" s="115"/>
      <c r="I10" s="115"/>
      <c r="J10" s="115"/>
      <c r="K10" s="115"/>
      <c r="L10" s="115"/>
      <c r="M10" s="115"/>
      <c r="N10" s="115"/>
      <c r="O10" s="115"/>
      <c r="P10" s="115"/>
      <c r="Q10" s="115"/>
      <c r="R10" s="115"/>
      <c r="S10" s="115"/>
      <c r="T10" s="115"/>
      <c r="U10" s="115"/>
      <c r="V10" s="115"/>
      <c r="W10" s="115"/>
      <c r="X10" s="115"/>
      <c r="Y10" s="115"/>
      <c r="Z10" s="115"/>
      <c r="AA10" s="115"/>
      <c r="AB10" s="115"/>
      <c r="AC10" s="115"/>
      <c r="AD10" s="115"/>
      <c r="AE10" s="115"/>
      <c r="AF10" s="115"/>
    </row>
    <row r="12" spans="2:41" x14ac:dyDescent="0.2">
      <c r="B12" s="115" t="s">
        <v>207</v>
      </c>
      <c r="C12" s="115"/>
      <c r="D12" s="115"/>
      <c r="E12" s="115"/>
      <c r="F12" s="115"/>
      <c r="G12" s="115"/>
      <c r="H12" s="115"/>
      <c r="I12" s="115"/>
      <c r="J12" s="115"/>
      <c r="K12" s="115"/>
      <c r="L12" s="115"/>
      <c r="M12" s="115"/>
      <c r="N12" s="115"/>
      <c r="O12" s="115"/>
      <c r="P12" s="115"/>
      <c r="Q12" s="115"/>
      <c r="R12" s="115"/>
      <c r="S12" s="115"/>
      <c r="T12" s="115"/>
      <c r="U12" s="115"/>
      <c r="V12" s="115"/>
      <c r="W12" s="115"/>
      <c r="X12" s="115"/>
      <c r="Y12" s="115"/>
      <c r="Z12" s="115"/>
      <c r="AA12" s="115"/>
      <c r="AB12" s="115"/>
      <c r="AC12" s="115"/>
      <c r="AD12" s="115"/>
      <c r="AE12" s="115"/>
      <c r="AF12" s="115"/>
    </row>
    <row r="13" spans="2:41" x14ac:dyDescent="0.2">
      <c r="B13" s="115"/>
      <c r="C13" s="115"/>
      <c r="D13" s="115"/>
      <c r="E13" s="115"/>
      <c r="F13" s="115"/>
      <c r="G13" s="115"/>
      <c r="H13" s="115"/>
      <c r="I13" s="115"/>
      <c r="J13" s="115"/>
      <c r="K13" s="115"/>
      <c r="L13" s="115"/>
      <c r="M13" s="115"/>
      <c r="N13" s="115"/>
      <c r="O13" s="115"/>
      <c r="P13" s="115"/>
      <c r="Q13" s="115"/>
      <c r="R13" s="115"/>
      <c r="S13" s="115"/>
      <c r="T13" s="115"/>
      <c r="U13" s="115"/>
      <c r="V13" s="115"/>
      <c r="W13" s="115"/>
      <c r="X13" s="115"/>
      <c r="Y13" s="115"/>
      <c r="Z13" s="115"/>
      <c r="AA13" s="115"/>
      <c r="AB13" s="115"/>
      <c r="AC13" s="115"/>
      <c r="AD13" s="115"/>
      <c r="AE13" s="115"/>
      <c r="AF13" s="115"/>
    </row>
    <row r="15" spans="2:41" x14ac:dyDescent="0.2">
      <c r="B15" s="7" t="s">
        <v>1037</v>
      </c>
    </row>
    <row r="17" spans="2:35" x14ac:dyDescent="0.2">
      <c r="B17" s="2"/>
      <c r="C17" s="2"/>
      <c r="D17" s="2"/>
      <c r="E17" s="2" t="s">
        <v>214</v>
      </c>
      <c r="F17" s="2"/>
      <c r="G17" s="2"/>
      <c r="H17" s="2"/>
      <c r="I17" s="2" t="s">
        <v>223</v>
      </c>
      <c r="J17" s="2"/>
      <c r="K17" s="2"/>
      <c r="L17" s="2"/>
      <c r="M17" s="2"/>
      <c r="N17" s="2"/>
      <c r="O17" s="2"/>
      <c r="P17" s="2"/>
      <c r="Q17" s="2"/>
      <c r="R17" s="2"/>
      <c r="S17" s="2"/>
      <c r="T17" s="2"/>
      <c r="U17" s="2"/>
      <c r="V17" s="2"/>
      <c r="W17" s="2"/>
      <c r="X17" s="2"/>
      <c r="Y17" s="2"/>
      <c r="Z17" s="2"/>
      <c r="AA17" s="2"/>
      <c r="AB17" s="2"/>
      <c r="AC17" s="2"/>
      <c r="AD17" s="2"/>
      <c r="AE17" s="2"/>
      <c r="AF17" s="2"/>
      <c r="AG17" s="2"/>
    </row>
    <row r="18" spans="2:35" x14ac:dyDescent="0.2">
      <c r="B18" s="2"/>
      <c r="C18" s="2"/>
      <c r="D18" s="2"/>
      <c r="E18" s="2"/>
      <c r="F18" s="2"/>
      <c r="G18" s="2"/>
      <c r="H18" s="2"/>
      <c r="I18" s="2" t="s">
        <v>221</v>
      </c>
      <c r="J18" s="2"/>
      <c r="K18" s="2"/>
      <c r="L18" s="2"/>
      <c r="M18" s="2"/>
      <c r="N18" s="2"/>
      <c r="O18" s="2"/>
      <c r="P18" s="2"/>
      <c r="Q18" s="2"/>
      <c r="R18" s="2"/>
      <c r="S18" s="2"/>
      <c r="T18" s="2"/>
      <c r="U18" s="2"/>
      <c r="V18" s="2"/>
      <c r="W18" s="2"/>
      <c r="X18" s="2"/>
      <c r="Y18" s="2"/>
      <c r="Z18" s="2"/>
      <c r="AA18" s="2"/>
      <c r="AB18" s="2"/>
      <c r="AC18" s="2"/>
      <c r="AD18" s="2"/>
      <c r="AE18" s="2"/>
      <c r="AF18" s="2"/>
      <c r="AG18" s="2"/>
    </row>
    <row r="19" spans="2:35" x14ac:dyDescent="0.2">
      <c r="B19" s="2"/>
      <c r="C19" s="2"/>
      <c r="D19" s="2"/>
      <c r="E19" s="2"/>
      <c r="F19" s="2"/>
      <c r="G19" s="2"/>
      <c r="H19" s="2"/>
      <c r="I19" s="2" t="s">
        <v>220</v>
      </c>
      <c r="J19" s="2"/>
      <c r="K19" s="2"/>
      <c r="L19" s="2"/>
      <c r="M19" s="2"/>
      <c r="N19" s="2"/>
      <c r="O19" s="2"/>
      <c r="P19" s="2"/>
      <c r="Q19" s="2"/>
      <c r="R19" s="2"/>
      <c r="S19" s="2"/>
      <c r="T19" s="2"/>
      <c r="U19" s="2"/>
      <c r="V19" s="2"/>
      <c r="W19" s="2"/>
      <c r="X19" s="2"/>
      <c r="Y19" s="2"/>
      <c r="Z19" s="2"/>
      <c r="AA19" s="2"/>
      <c r="AB19" s="2"/>
      <c r="AC19" s="2"/>
      <c r="AD19" s="2"/>
      <c r="AE19" s="2"/>
      <c r="AF19" s="2"/>
      <c r="AG19" s="2"/>
    </row>
    <row r="20" spans="2:35" x14ac:dyDescent="0.2">
      <c r="B20" s="2"/>
      <c r="C20" s="2"/>
      <c r="D20" s="2"/>
      <c r="E20" s="2"/>
      <c r="F20" s="2"/>
      <c r="G20" s="2"/>
      <c r="H20" s="2"/>
      <c r="I20" s="2" t="s">
        <v>215</v>
      </c>
      <c r="J20" s="2"/>
      <c r="K20" s="2"/>
      <c r="L20" s="2"/>
      <c r="M20" s="2"/>
      <c r="N20" s="2"/>
      <c r="O20" s="2"/>
      <c r="P20" s="2"/>
      <c r="Q20" s="2"/>
      <c r="R20" s="2"/>
      <c r="S20" s="2"/>
      <c r="T20" s="2"/>
      <c r="U20" s="2"/>
      <c r="V20" s="2"/>
      <c r="W20" s="2"/>
      <c r="X20" s="2"/>
      <c r="Y20" s="2"/>
      <c r="Z20" s="2"/>
      <c r="AA20" s="2"/>
      <c r="AB20" s="2"/>
      <c r="AC20" s="2"/>
      <c r="AD20" s="2"/>
      <c r="AE20" s="2"/>
      <c r="AF20" s="2"/>
      <c r="AG20" s="2"/>
    </row>
    <row r="21" spans="2:35" x14ac:dyDescent="0.2">
      <c r="B21" s="2"/>
      <c r="C21" s="2"/>
      <c r="D21" s="2"/>
      <c r="E21" s="2"/>
      <c r="F21" s="2"/>
      <c r="G21" s="2"/>
      <c r="H21" s="2"/>
      <c r="I21" s="2" t="s">
        <v>216</v>
      </c>
      <c r="J21" s="2"/>
      <c r="K21" s="2"/>
      <c r="L21" s="2"/>
      <c r="M21" s="2"/>
      <c r="N21" s="2"/>
      <c r="O21" s="2"/>
      <c r="P21" s="2"/>
      <c r="Q21" s="2"/>
      <c r="R21" s="2"/>
      <c r="S21" s="2"/>
      <c r="T21" s="2"/>
      <c r="U21" s="2"/>
      <c r="V21" s="2"/>
      <c r="W21" s="2"/>
      <c r="X21" s="2"/>
      <c r="Y21" s="2"/>
      <c r="Z21" s="2"/>
      <c r="AA21" s="2"/>
      <c r="AB21" s="2"/>
      <c r="AC21" s="2"/>
      <c r="AD21" s="2"/>
      <c r="AE21" s="2"/>
      <c r="AF21" s="2"/>
      <c r="AG21" s="2"/>
    </row>
    <row r="22" spans="2:35" x14ac:dyDescent="0.2">
      <c r="B22" s="2"/>
      <c r="C22" s="2"/>
      <c r="D22" s="2"/>
      <c r="E22" s="2"/>
      <c r="F22" s="2"/>
      <c r="G22" s="2"/>
      <c r="H22" s="2"/>
      <c r="I22" s="2" t="s">
        <v>217</v>
      </c>
      <c r="J22" s="2"/>
      <c r="K22" s="2"/>
      <c r="L22" s="2"/>
      <c r="M22" s="2"/>
      <c r="N22" s="2"/>
      <c r="O22" s="2"/>
      <c r="P22" s="2"/>
      <c r="Q22" s="2"/>
      <c r="R22" s="2"/>
      <c r="S22" s="2"/>
      <c r="T22" s="2"/>
      <c r="U22" s="2"/>
      <c r="V22" s="2"/>
      <c r="W22" s="2"/>
      <c r="X22" s="2"/>
      <c r="Y22" s="2"/>
      <c r="Z22" s="2"/>
      <c r="AA22" s="2"/>
      <c r="AB22" s="2"/>
      <c r="AC22" s="2"/>
      <c r="AD22" s="2"/>
      <c r="AE22" s="2"/>
      <c r="AF22" s="2"/>
      <c r="AG22" s="2"/>
    </row>
    <row r="23" spans="2:35" x14ac:dyDescent="0.2">
      <c r="B23" s="2"/>
      <c r="C23" s="2"/>
      <c r="D23" s="2"/>
      <c r="E23" s="2"/>
      <c r="F23" s="2"/>
      <c r="G23" s="2"/>
      <c r="H23" s="2"/>
      <c r="I23" s="2" t="s">
        <v>219</v>
      </c>
      <c r="J23" s="2"/>
      <c r="K23" s="2"/>
      <c r="L23" s="2"/>
      <c r="M23" s="2"/>
      <c r="N23" s="2"/>
      <c r="O23" s="2"/>
      <c r="P23" s="2"/>
      <c r="Q23" s="2"/>
      <c r="R23" s="2"/>
      <c r="S23" s="2"/>
      <c r="T23" s="2"/>
      <c r="U23" s="2"/>
      <c r="V23" s="2"/>
      <c r="W23" s="2"/>
      <c r="X23" s="2"/>
      <c r="Y23" s="2"/>
      <c r="Z23" s="2"/>
      <c r="AA23" s="2"/>
      <c r="AB23" s="2"/>
      <c r="AC23" s="2"/>
      <c r="AD23" s="2"/>
      <c r="AE23" s="2"/>
      <c r="AF23" s="2"/>
      <c r="AG23" s="2"/>
    </row>
    <row r="24" spans="2:35" x14ac:dyDescent="0.2">
      <c r="B24" s="2"/>
      <c r="C24" s="2"/>
      <c r="D24" s="2"/>
      <c r="E24" s="2"/>
      <c r="F24" s="2"/>
      <c r="G24" s="2"/>
      <c r="H24" s="2"/>
      <c r="I24" s="2" t="s">
        <v>218</v>
      </c>
      <c r="J24" s="2"/>
      <c r="K24" s="2"/>
      <c r="L24" s="2"/>
      <c r="M24" s="2"/>
      <c r="N24" s="2"/>
      <c r="O24" s="2"/>
      <c r="P24" s="2"/>
      <c r="Q24" s="2"/>
      <c r="R24" s="2"/>
      <c r="S24" s="2"/>
      <c r="T24" s="2"/>
      <c r="U24" s="2"/>
      <c r="V24" s="2"/>
      <c r="W24" s="2"/>
      <c r="X24" s="2"/>
      <c r="Y24" s="2"/>
      <c r="Z24" s="2"/>
      <c r="AA24" s="2"/>
      <c r="AB24" s="2"/>
      <c r="AC24" s="2"/>
      <c r="AD24" s="2"/>
      <c r="AE24" s="2"/>
      <c r="AF24" s="2"/>
      <c r="AG24" s="2"/>
    </row>
    <row r="25" spans="2:35" ht="15" thickBot="1" x14ac:dyDescent="0.25"/>
    <row r="26" spans="2:35" ht="15.75" thickBot="1" x14ac:dyDescent="0.3">
      <c r="B26" s="116" t="s">
        <v>66</v>
      </c>
      <c r="C26" s="117"/>
      <c r="D26" s="117"/>
      <c r="E26" s="117"/>
      <c r="F26" s="117"/>
      <c r="G26" s="117"/>
      <c r="H26" s="117"/>
      <c r="I26" s="117"/>
      <c r="J26" s="117"/>
      <c r="K26" s="118"/>
      <c r="L26" s="116" t="s">
        <v>67</v>
      </c>
      <c r="M26" s="117"/>
      <c r="N26" s="117"/>
      <c r="O26" s="117"/>
      <c r="P26" s="117"/>
      <c r="Q26" s="117"/>
      <c r="R26" s="117"/>
      <c r="S26" s="117"/>
      <c r="T26" s="117"/>
      <c r="U26" s="118"/>
      <c r="V26" s="116" t="s">
        <v>68</v>
      </c>
      <c r="W26" s="117"/>
      <c r="X26" s="117"/>
      <c r="Y26" s="117"/>
      <c r="Z26" s="117"/>
      <c r="AA26" s="117"/>
      <c r="AB26" s="117"/>
      <c r="AC26" s="117"/>
      <c r="AD26" s="117"/>
      <c r="AE26" s="117"/>
      <c r="AF26" s="118"/>
    </row>
    <row r="27" spans="2:35" ht="28.5" customHeight="1" x14ac:dyDescent="0.2">
      <c r="B27" s="92" t="s">
        <v>1683</v>
      </c>
      <c r="C27" s="93"/>
      <c r="D27" s="93"/>
      <c r="E27" s="93"/>
      <c r="F27" s="93"/>
      <c r="G27" s="93"/>
      <c r="H27" s="93"/>
      <c r="I27" s="93"/>
      <c r="J27" s="93"/>
      <c r="K27" s="94"/>
      <c r="L27" s="95" t="s">
        <v>222</v>
      </c>
      <c r="M27" s="96"/>
      <c r="N27" s="96"/>
      <c r="O27" s="96"/>
      <c r="P27" s="96"/>
      <c r="Q27" s="96"/>
      <c r="R27" s="96"/>
      <c r="S27" s="96"/>
      <c r="T27" s="96"/>
      <c r="U27" s="97"/>
      <c r="V27" s="98" t="s">
        <v>1035</v>
      </c>
      <c r="W27" s="99"/>
      <c r="X27" s="99"/>
      <c r="Y27" s="99"/>
      <c r="Z27" s="99"/>
      <c r="AA27" s="99"/>
      <c r="AB27" s="99"/>
      <c r="AC27" s="99"/>
      <c r="AD27" s="99"/>
      <c r="AE27" s="99"/>
      <c r="AF27" s="100"/>
      <c r="AI27" s="1" t="s">
        <v>70</v>
      </c>
    </row>
    <row r="28" spans="2:35" ht="30.75" customHeight="1" x14ac:dyDescent="0.2">
      <c r="B28" s="107" t="s">
        <v>1477</v>
      </c>
      <c r="C28" s="108"/>
      <c r="D28" s="108"/>
      <c r="E28" s="108"/>
      <c r="F28" s="108"/>
      <c r="G28" s="108"/>
      <c r="H28" s="108"/>
      <c r="I28" s="108"/>
      <c r="J28" s="108"/>
      <c r="K28" s="109"/>
      <c r="L28" s="107" t="s">
        <v>1478</v>
      </c>
      <c r="M28" s="108"/>
      <c r="N28" s="108"/>
      <c r="O28" s="108"/>
      <c r="P28" s="108"/>
      <c r="Q28" s="108"/>
      <c r="R28" s="108"/>
      <c r="S28" s="108"/>
      <c r="T28" s="108"/>
      <c r="U28" s="109"/>
      <c r="V28" s="101"/>
      <c r="W28" s="102"/>
      <c r="X28" s="102"/>
      <c r="Y28" s="102"/>
      <c r="Z28" s="102"/>
      <c r="AA28" s="102"/>
      <c r="AB28" s="102"/>
      <c r="AC28" s="102"/>
      <c r="AD28" s="102"/>
      <c r="AE28" s="102"/>
      <c r="AF28" s="103"/>
      <c r="AI28" s="1" t="s">
        <v>71</v>
      </c>
    </row>
    <row r="29" spans="2:35" ht="30.75" customHeight="1" thickBot="1" x14ac:dyDescent="0.25">
      <c r="B29" s="110" t="s">
        <v>1684</v>
      </c>
      <c r="C29" s="111"/>
      <c r="D29" s="111"/>
      <c r="E29" s="111"/>
      <c r="F29" s="111"/>
      <c r="G29" s="111"/>
      <c r="H29" s="111"/>
      <c r="I29" s="111"/>
      <c r="J29" s="111"/>
      <c r="K29" s="112"/>
      <c r="L29" s="110" t="s">
        <v>1685</v>
      </c>
      <c r="M29" s="111"/>
      <c r="N29" s="111"/>
      <c r="O29" s="111"/>
      <c r="P29" s="111"/>
      <c r="Q29" s="111"/>
      <c r="R29" s="111"/>
      <c r="S29" s="111"/>
      <c r="T29" s="111"/>
      <c r="U29" s="112"/>
      <c r="V29" s="104"/>
      <c r="W29" s="105"/>
      <c r="X29" s="105"/>
      <c r="Y29" s="105"/>
      <c r="Z29" s="105"/>
      <c r="AA29" s="105"/>
      <c r="AB29" s="105"/>
      <c r="AC29" s="105"/>
      <c r="AD29" s="105"/>
      <c r="AE29" s="105"/>
      <c r="AF29" s="106"/>
    </row>
  </sheetData>
  <mergeCells count="15">
    <mergeCell ref="B26:K26"/>
    <mergeCell ref="L26:U26"/>
    <mergeCell ref="V26:AF26"/>
    <mergeCell ref="AI3:AO5"/>
    <mergeCell ref="D4:AE4"/>
    <mergeCell ref="I6:AE6"/>
    <mergeCell ref="B8:AF10"/>
    <mergeCell ref="B12:AF13"/>
    <mergeCell ref="B27:K27"/>
    <mergeCell ref="L27:U27"/>
    <mergeCell ref="V27:AF29"/>
    <mergeCell ref="B28:K28"/>
    <mergeCell ref="L28:U28"/>
    <mergeCell ref="B29:K29"/>
    <mergeCell ref="L29:U29"/>
  </mergeCells>
  <pageMargins left="0.7" right="0.7" top="1.25" bottom="0.75" header="0.3" footer="0.3"/>
  <pageSetup scale="87" fitToHeight="0" orientation="portrait" horizontalDpi="1200" verticalDpi="1200" r:id="rId1"/>
  <headerFooter>
    <oddHeader>&amp;L&amp;G
Client: Keyera
Project No: F3KY&amp;C&amp;G&amp;RDesigned By: CW
Checked By: JS
Date: 27-MAY-2026
Revision: 1</oddHeader>
    <oddFooter>&amp;LContractor Document No:  F3KY-215-CAL-047</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BD969-6CE9-43DC-A0AA-2CD23BF9E7F7}">
  <sheetPr>
    <tabColor rgb="FFCCFFCC"/>
    <pageSetUpPr fitToPage="1"/>
  </sheetPr>
  <dimension ref="A1:AS233"/>
  <sheetViews>
    <sheetView view="pageBreakPreview" topLeftCell="A198" zoomScale="115" zoomScaleNormal="100" zoomScaleSheetLayoutView="115" zoomScalePageLayoutView="85" workbookViewId="0">
      <selection activeCell="N228" sqref="N228"/>
    </sheetView>
  </sheetViews>
  <sheetFormatPr defaultRowHeight="14.25" x14ac:dyDescent="0.2"/>
  <cols>
    <col min="1" max="33" width="3.140625" style="1" customWidth="1"/>
    <col min="34" max="16384" width="9.140625" style="1"/>
  </cols>
  <sheetData>
    <row r="1" spans="1:45" x14ac:dyDescent="0.2">
      <c r="AI1" s="1" t="s">
        <v>0</v>
      </c>
      <c r="AS1" s="1" t="s">
        <v>146</v>
      </c>
    </row>
    <row r="2" spans="1:45" ht="15" x14ac:dyDescent="0.25">
      <c r="B2" s="4" t="s">
        <v>1687</v>
      </c>
      <c r="AI2" s="1" t="s">
        <v>77</v>
      </c>
      <c r="AS2" s="1" t="s">
        <v>147</v>
      </c>
    </row>
    <row r="3" spans="1:45" x14ac:dyDescent="0.2">
      <c r="A3" s="2"/>
      <c r="B3" s="232" t="s">
        <v>1696</v>
      </c>
      <c r="C3" s="232"/>
      <c r="D3" s="232"/>
      <c r="E3" s="232"/>
      <c r="F3" s="232"/>
      <c r="G3" s="232"/>
      <c r="H3" s="232"/>
      <c r="I3" s="232"/>
      <c r="J3" s="232"/>
      <c r="K3" s="232"/>
      <c r="L3" s="232"/>
      <c r="M3" s="232"/>
      <c r="N3" s="232"/>
      <c r="O3" s="232"/>
      <c r="P3" s="232"/>
      <c r="Q3" s="232"/>
      <c r="R3" s="232"/>
      <c r="S3" s="232"/>
      <c r="T3" s="232"/>
      <c r="U3" s="232"/>
      <c r="V3" s="232"/>
      <c r="W3" s="232"/>
      <c r="X3" s="232"/>
      <c r="Y3" s="232"/>
      <c r="Z3" s="232"/>
      <c r="AA3" s="232"/>
      <c r="AB3" s="232"/>
      <c r="AC3" s="232"/>
      <c r="AD3" s="232"/>
      <c r="AE3" s="232"/>
      <c r="AF3" s="232"/>
      <c r="AG3" s="232"/>
      <c r="AI3" s="1" t="s">
        <v>150</v>
      </c>
      <c r="AS3" s="1" t="s">
        <v>148</v>
      </c>
    </row>
    <row r="4" spans="1:45" x14ac:dyDescent="0.2">
      <c r="A4" s="2"/>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row>
    <row r="5" spans="1:45" x14ac:dyDescent="0.2">
      <c r="A5" s="2"/>
      <c r="B5" s="29" t="s">
        <v>1697</v>
      </c>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row>
    <row r="6" spans="1:45" ht="15" x14ac:dyDescent="0.25">
      <c r="A6" s="2"/>
      <c r="B6" s="4"/>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row>
    <row r="7" spans="1:45" x14ac:dyDescent="0.2">
      <c r="A7" s="2"/>
      <c r="B7" s="2" t="s">
        <v>1646</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row>
    <row r="8" spans="1:45" x14ac:dyDescent="0.2">
      <c r="A8" s="2"/>
      <c r="B8" s="2" t="s">
        <v>1698</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row>
    <row r="9" spans="1:45" x14ac:dyDescent="0.2">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row>
    <row r="10" spans="1:45" x14ac:dyDescent="0.2">
      <c r="A10" s="2"/>
      <c r="B10" s="2" t="s">
        <v>1647</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row>
    <row r="11" spans="1:45" x14ac:dyDescent="0.2">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row>
    <row r="12" spans="1:45" x14ac:dyDescent="0.2">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row>
    <row r="13" spans="1:45" ht="15" x14ac:dyDescent="0.25">
      <c r="A13" s="2"/>
      <c r="B13" s="4" t="s">
        <v>1688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row>
    <row r="14" spans="1:45" x14ac:dyDescent="0.2">
      <c r="A14" s="2"/>
      <c r="B14" s="2" t="s">
        <v>1699</v>
      </c>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row>
    <row r="15" spans="1:45" x14ac:dyDescent="0.2">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row>
    <row r="16" spans="1:45" x14ac:dyDescent="0.2">
      <c r="A16" s="2"/>
      <c r="B16" s="2" t="s">
        <v>1648</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row>
    <row r="17" spans="1:33" x14ac:dyDescent="0.2">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row>
    <row r="18" spans="1:33" x14ac:dyDescent="0.2">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row>
    <row r="19" spans="1:33" x14ac:dyDescent="0.2">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row>
    <row r="20" spans="1:33" x14ac:dyDescent="0.2">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row>
    <row r="21" spans="1:33" x14ac:dyDescent="0.2">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row>
    <row r="22" spans="1:33" x14ac:dyDescent="0.2">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row>
    <row r="23" spans="1:33" x14ac:dyDescent="0.2">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row>
    <row r="24" spans="1:33" x14ac:dyDescent="0.2">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row>
    <row r="25" spans="1:33" x14ac:dyDescent="0.2">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row>
    <row r="26" spans="1:33" x14ac:dyDescent="0.2">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row>
    <row r="27" spans="1:33" x14ac:dyDescent="0.2">
      <c r="A27" s="2"/>
      <c r="B27" s="2" t="s">
        <v>1700</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row>
    <row r="28" spans="1:33" x14ac:dyDescent="0.2">
      <c r="A28" s="2"/>
      <c r="B28" s="2" t="s">
        <v>1701</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row>
    <row r="29" spans="1:33" x14ac:dyDescent="0.2">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row>
    <row r="30" spans="1:33" x14ac:dyDescent="0.2">
      <c r="A30" s="2"/>
      <c r="B30" s="2"/>
      <c r="C30" s="16" t="s">
        <v>1649</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3" x14ac:dyDescent="0.2">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row>
    <row r="32" spans="1:33" x14ac:dyDescent="0.2">
      <c r="A32" s="2"/>
      <c r="B32" s="2"/>
      <c r="C32" s="2"/>
      <c r="D32" s="239" t="s">
        <v>1532</v>
      </c>
      <c r="E32" s="239"/>
      <c r="F32" s="239"/>
      <c r="G32" s="239"/>
      <c r="H32" s="239"/>
      <c r="I32" s="239"/>
      <c r="J32" s="239"/>
      <c r="K32" s="239" t="s">
        <v>1650</v>
      </c>
      <c r="L32" s="239"/>
      <c r="M32" s="239"/>
      <c r="N32" s="239"/>
      <c r="O32" s="239"/>
      <c r="P32" s="239"/>
      <c r="Q32" s="239"/>
      <c r="R32" s="233" t="s">
        <v>1656</v>
      </c>
      <c r="S32" s="234"/>
      <c r="T32" s="234"/>
      <c r="U32" s="235"/>
      <c r="V32" s="233" t="s">
        <v>1533</v>
      </c>
      <c r="W32" s="234"/>
      <c r="X32" s="234"/>
      <c r="Y32" s="235"/>
      <c r="Z32" s="2"/>
      <c r="AA32" s="2"/>
      <c r="AB32" s="2"/>
      <c r="AC32" s="2"/>
      <c r="AD32" s="2"/>
      <c r="AE32" s="2"/>
      <c r="AF32" s="2"/>
      <c r="AG32" s="2"/>
    </row>
    <row r="33" spans="1:33" x14ac:dyDescent="0.2">
      <c r="A33" s="2"/>
      <c r="B33" s="2"/>
      <c r="C33" s="2"/>
      <c r="D33" s="239" t="s">
        <v>1654</v>
      </c>
      <c r="E33" s="239"/>
      <c r="F33" s="239"/>
      <c r="G33" s="239"/>
      <c r="H33" s="239"/>
      <c r="I33" s="239"/>
      <c r="J33" s="239"/>
      <c r="K33" s="239" t="s">
        <v>1657</v>
      </c>
      <c r="L33" s="239"/>
      <c r="M33" s="239"/>
      <c r="N33" s="239"/>
      <c r="O33" s="239"/>
      <c r="P33" s="239"/>
      <c r="Q33" s="239"/>
      <c r="R33" s="236" t="s">
        <v>1661</v>
      </c>
      <c r="S33" s="237"/>
      <c r="T33" s="237"/>
      <c r="U33" s="238"/>
      <c r="V33" s="236">
        <v>16.5</v>
      </c>
      <c r="W33" s="237"/>
      <c r="X33" s="237"/>
      <c r="Y33" s="238"/>
      <c r="Z33" s="2"/>
      <c r="AA33" s="2"/>
      <c r="AB33" s="2"/>
      <c r="AC33" s="2"/>
      <c r="AD33" s="2"/>
      <c r="AE33" s="2"/>
      <c r="AF33" s="2"/>
      <c r="AG33" s="2"/>
    </row>
    <row r="34" spans="1:33" x14ac:dyDescent="0.2">
      <c r="A34" s="2"/>
      <c r="B34" s="2"/>
      <c r="C34" s="2"/>
      <c r="D34" s="239" t="s">
        <v>1655</v>
      </c>
      <c r="E34" s="239"/>
      <c r="F34" s="239"/>
      <c r="G34" s="239"/>
      <c r="H34" s="239"/>
      <c r="I34" s="239"/>
      <c r="J34" s="239"/>
      <c r="K34" s="239" t="s">
        <v>1659</v>
      </c>
      <c r="L34" s="239"/>
      <c r="M34" s="239"/>
      <c r="N34" s="239"/>
      <c r="O34" s="239"/>
      <c r="P34" s="239"/>
      <c r="Q34" s="239"/>
      <c r="R34" s="236" t="s">
        <v>1662</v>
      </c>
      <c r="S34" s="237"/>
      <c r="T34" s="237"/>
      <c r="U34" s="238"/>
      <c r="V34" s="236">
        <v>7</v>
      </c>
      <c r="W34" s="237"/>
      <c r="X34" s="237"/>
      <c r="Y34" s="238"/>
      <c r="Z34" s="2"/>
      <c r="AA34" s="2"/>
      <c r="AB34" s="2"/>
      <c r="AC34" s="2"/>
      <c r="AD34" s="2"/>
      <c r="AE34" s="2"/>
      <c r="AF34" s="2"/>
      <c r="AG34" s="2"/>
    </row>
    <row r="35" spans="1:33"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row>
    <row r="36" spans="1:33" ht="15.75" x14ac:dyDescent="0.3">
      <c r="A36" s="2"/>
      <c r="B36" s="2"/>
      <c r="C36" s="2"/>
      <c r="D36" s="2"/>
      <c r="E36" s="2"/>
      <c r="F36" s="21" t="s">
        <v>132</v>
      </c>
      <c r="G36" s="13" t="s">
        <v>332</v>
      </c>
      <c r="H36" s="231">
        <f>SUM(V33:Y34)</f>
        <v>23.5</v>
      </c>
      <c r="I36" s="231"/>
      <c r="J36" s="231"/>
      <c r="K36" s="2" t="s">
        <v>335</v>
      </c>
      <c r="L36" s="2" t="s">
        <v>1665</v>
      </c>
      <c r="M36" s="2"/>
      <c r="N36" s="2"/>
      <c r="O36" s="2"/>
      <c r="P36" s="2"/>
      <c r="Q36" s="2"/>
      <c r="R36" s="2"/>
      <c r="S36" s="2"/>
      <c r="T36" s="2"/>
      <c r="U36" s="2"/>
      <c r="V36" s="2"/>
      <c r="W36" s="2"/>
      <c r="X36" s="2"/>
      <c r="Y36" s="2"/>
      <c r="Z36" s="2"/>
      <c r="AA36" s="2"/>
      <c r="AB36" s="2"/>
      <c r="AC36" s="2"/>
      <c r="AD36" s="2"/>
      <c r="AE36" s="2"/>
      <c r="AF36" s="2"/>
      <c r="AG36" s="2"/>
    </row>
    <row r="37" spans="1:33"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row>
    <row r="38" spans="1:33"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row>
    <row r="39" spans="1:33" x14ac:dyDescent="0.2">
      <c r="A39" s="2"/>
      <c r="B39" s="2"/>
      <c r="C39" s="16" t="s">
        <v>1651</v>
      </c>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row>
    <row r="40" spans="1:33"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row>
    <row r="41" spans="1:33" x14ac:dyDescent="0.2">
      <c r="A41" s="2"/>
      <c r="B41" s="2"/>
      <c r="C41" s="2"/>
      <c r="D41" s="239" t="s">
        <v>1532</v>
      </c>
      <c r="E41" s="239"/>
      <c r="F41" s="239"/>
      <c r="G41" s="239"/>
      <c r="H41" s="239"/>
      <c r="I41" s="239"/>
      <c r="J41" s="239"/>
      <c r="K41" s="239" t="s">
        <v>1650</v>
      </c>
      <c r="L41" s="239"/>
      <c r="M41" s="239"/>
      <c r="N41" s="239"/>
      <c r="O41" s="239"/>
      <c r="P41" s="239"/>
      <c r="Q41" s="239"/>
      <c r="R41" s="233" t="s">
        <v>1656</v>
      </c>
      <c r="S41" s="234"/>
      <c r="T41" s="234"/>
      <c r="U41" s="235"/>
      <c r="V41" s="233" t="s">
        <v>1533</v>
      </c>
      <c r="W41" s="234"/>
      <c r="X41" s="234"/>
      <c r="Y41" s="235"/>
      <c r="Z41" s="2"/>
      <c r="AA41" s="2"/>
      <c r="AB41" s="2"/>
      <c r="AC41" s="2"/>
      <c r="AD41" s="2"/>
      <c r="AE41" s="2"/>
      <c r="AF41" s="2"/>
      <c r="AG41" s="2"/>
    </row>
    <row r="42" spans="1:33" x14ac:dyDescent="0.2">
      <c r="A42" s="2"/>
      <c r="B42" s="2"/>
      <c r="C42" s="2"/>
      <c r="D42" s="239" t="s">
        <v>1535</v>
      </c>
      <c r="E42" s="239"/>
      <c r="F42" s="239"/>
      <c r="G42" s="239"/>
      <c r="H42" s="239"/>
      <c r="I42" s="239"/>
      <c r="J42" s="239"/>
      <c r="K42" s="239" t="s">
        <v>1660</v>
      </c>
      <c r="L42" s="239"/>
      <c r="M42" s="239"/>
      <c r="N42" s="239"/>
      <c r="O42" s="239"/>
      <c r="P42" s="239"/>
      <c r="Q42" s="239"/>
      <c r="R42" s="236" t="s">
        <v>1663</v>
      </c>
      <c r="S42" s="237"/>
      <c r="T42" s="237"/>
      <c r="U42" s="238"/>
      <c r="V42" s="236">
        <v>16.5</v>
      </c>
      <c r="W42" s="237"/>
      <c r="X42" s="237"/>
      <c r="Y42" s="238"/>
      <c r="Z42" s="2"/>
      <c r="AA42" s="2"/>
      <c r="AB42" s="2"/>
      <c r="AC42" s="2"/>
      <c r="AD42" s="2"/>
      <c r="AE42" s="2"/>
      <c r="AF42" s="2"/>
      <c r="AG42" s="2"/>
    </row>
    <row r="43" spans="1:33" x14ac:dyDescent="0.2">
      <c r="A43" s="2"/>
      <c r="B43" s="2"/>
      <c r="C43" s="2"/>
      <c r="D43" s="239" t="s">
        <v>1534</v>
      </c>
      <c r="E43" s="239"/>
      <c r="F43" s="239"/>
      <c r="G43" s="239"/>
      <c r="H43" s="239"/>
      <c r="I43" s="239"/>
      <c r="J43" s="239"/>
      <c r="K43" s="239" t="s">
        <v>1658</v>
      </c>
      <c r="L43" s="239"/>
      <c r="M43" s="239"/>
      <c r="N43" s="239"/>
      <c r="O43" s="239"/>
      <c r="P43" s="239"/>
      <c r="Q43" s="239"/>
      <c r="R43" s="236" t="s">
        <v>1664</v>
      </c>
      <c r="S43" s="237"/>
      <c r="T43" s="237"/>
      <c r="U43" s="238"/>
      <c r="V43" s="236">
        <v>7</v>
      </c>
      <c r="W43" s="237"/>
      <c r="X43" s="237"/>
      <c r="Y43" s="238"/>
      <c r="Z43" s="2"/>
      <c r="AA43" s="2"/>
      <c r="AB43" s="2"/>
      <c r="AC43" s="2"/>
      <c r="AD43" s="2"/>
      <c r="AE43" s="2"/>
      <c r="AF43" s="2"/>
      <c r="AG43" s="2"/>
    </row>
    <row r="44" spans="1:33"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row>
    <row r="45" spans="1:33" ht="15.75" x14ac:dyDescent="0.3">
      <c r="A45" s="2"/>
      <c r="B45" s="2"/>
      <c r="C45" s="2"/>
      <c r="D45" s="2"/>
      <c r="E45" s="2"/>
      <c r="F45" s="21" t="s">
        <v>132</v>
      </c>
      <c r="G45" s="13" t="s">
        <v>332</v>
      </c>
      <c r="H45" s="231">
        <f>SUM(V42:Y43)</f>
        <v>23.5</v>
      </c>
      <c r="I45" s="231"/>
      <c r="J45" s="231"/>
      <c r="K45" s="2" t="s">
        <v>335</v>
      </c>
      <c r="L45" s="2" t="s">
        <v>1665</v>
      </c>
      <c r="M45" s="2"/>
      <c r="N45" s="2"/>
      <c r="O45" s="2"/>
      <c r="P45" s="2"/>
      <c r="Q45" s="2"/>
      <c r="R45" s="2"/>
      <c r="S45" s="2"/>
      <c r="T45" s="2"/>
      <c r="U45" s="2"/>
      <c r="V45" s="2"/>
      <c r="W45" s="2"/>
      <c r="X45" s="2"/>
      <c r="Y45" s="2"/>
      <c r="Z45" s="2"/>
      <c r="AA45" s="2"/>
      <c r="AB45" s="2"/>
      <c r="AC45" s="2"/>
      <c r="AD45" s="2"/>
      <c r="AE45" s="2"/>
      <c r="AF45" s="2"/>
      <c r="AG45" s="2"/>
    </row>
    <row r="46" spans="1:33"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row>
    <row r="47" spans="1:33"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row>
    <row r="48" spans="1:33" x14ac:dyDescent="0.2">
      <c r="A48" s="2"/>
      <c r="B48" s="2" t="s">
        <v>1652</v>
      </c>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row>
    <row r="49" spans="1:33" x14ac:dyDescent="0.2">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row>
    <row r="50" spans="1:33" x14ac:dyDescent="0.2">
      <c r="A50" s="2"/>
      <c r="B50" s="2" t="s">
        <v>1653</v>
      </c>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row>
    <row r="51" spans="1:33" x14ac:dyDescent="0.2">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row>
    <row r="52" spans="1:33" x14ac:dyDescent="0.2">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row>
    <row r="53" spans="1:33" x14ac:dyDescent="0.2">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row>
    <row r="54" spans="1:33" x14ac:dyDescent="0.2">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row>
    <row r="55" spans="1:33" x14ac:dyDescent="0.2">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row>
    <row r="56" spans="1:33" ht="15" x14ac:dyDescent="0.25">
      <c r="A56" s="2"/>
      <c r="B56" s="4" t="s">
        <v>1689</v>
      </c>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row>
    <row r="57" spans="1:33" x14ac:dyDescent="0.2">
      <c r="A57" s="2"/>
      <c r="B57" s="2" t="s">
        <v>1666</v>
      </c>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row>
    <row r="58" spans="1:33" x14ac:dyDescent="0.2">
      <c r="A58" s="2"/>
      <c r="B58" s="2" t="s">
        <v>1667</v>
      </c>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row>
    <row r="59" spans="1:33" x14ac:dyDescent="0.2">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row>
    <row r="60" spans="1:33" x14ac:dyDescent="0.2">
      <c r="A60" s="2"/>
      <c r="B60" s="2" t="s">
        <v>1668</v>
      </c>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row>
    <row r="61" spans="1:33" x14ac:dyDescent="0.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row>
    <row r="62" spans="1:33" x14ac:dyDescent="0.2">
      <c r="A62" s="2"/>
      <c r="B62" s="2"/>
      <c r="C62" s="20" t="s">
        <v>1690</v>
      </c>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row>
    <row r="63" spans="1:33" x14ac:dyDescent="0.2">
      <c r="A63" s="2"/>
      <c r="B63" s="2"/>
      <c r="C63" s="2" t="s">
        <v>1675</v>
      </c>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row>
    <row r="64" spans="1:33" x14ac:dyDescent="0.2">
      <c r="A64" s="2"/>
      <c r="B64" s="2"/>
      <c r="C64" s="2" t="s">
        <v>1702</v>
      </c>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row>
    <row r="65" spans="1:33" x14ac:dyDescent="0.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row>
    <row r="66" spans="1:33" x14ac:dyDescent="0.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row>
    <row r="67" spans="1:33" x14ac:dyDescent="0.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row>
    <row r="68" spans="1:33" x14ac:dyDescent="0.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row>
    <row r="69" spans="1:33" x14ac:dyDescent="0.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row>
    <row r="70" spans="1:33" x14ac:dyDescent="0.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row>
    <row r="71" spans="1:33" x14ac:dyDescent="0.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row>
    <row r="72" spans="1:33" x14ac:dyDescent="0.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row>
    <row r="73" spans="1:33" x14ac:dyDescent="0.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row>
    <row r="74" spans="1:33" x14ac:dyDescent="0.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row>
    <row r="75" spans="1:33" x14ac:dyDescent="0.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row>
    <row r="76" spans="1:33" x14ac:dyDescent="0.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row>
    <row r="77" spans="1:33" x14ac:dyDescent="0.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row>
    <row r="78" spans="1:33" x14ac:dyDescent="0.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row>
    <row r="79" spans="1:33" x14ac:dyDescent="0.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row>
    <row r="80" spans="1:33" x14ac:dyDescent="0.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row>
    <row r="81" spans="1:33" x14ac:dyDescent="0.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row>
    <row r="82" spans="1:33" x14ac:dyDescent="0.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row>
    <row r="83" spans="1:33" x14ac:dyDescent="0.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row>
    <row r="84" spans="1:33" x14ac:dyDescent="0.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row>
    <row r="85" spans="1:33" x14ac:dyDescent="0.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row>
    <row r="86" spans="1:33" x14ac:dyDescent="0.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row>
    <row r="87" spans="1:33" x14ac:dyDescent="0.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row>
    <row r="88" spans="1:33" x14ac:dyDescent="0.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row>
    <row r="89" spans="1:33" x14ac:dyDescent="0.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row>
    <row r="90" spans="1:33" x14ac:dyDescent="0.2">
      <c r="A90" s="2"/>
      <c r="B90" s="2"/>
      <c r="C90" s="232" t="s">
        <v>1703</v>
      </c>
      <c r="D90" s="232"/>
      <c r="E90" s="232"/>
      <c r="F90" s="232"/>
      <c r="G90" s="232"/>
      <c r="H90" s="232"/>
      <c r="I90" s="232"/>
      <c r="J90" s="232"/>
      <c r="K90" s="232"/>
      <c r="L90" s="232"/>
      <c r="M90" s="232"/>
      <c r="N90" s="232"/>
      <c r="O90" s="232"/>
      <c r="P90" s="232"/>
      <c r="Q90" s="232"/>
      <c r="R90" s="232"/>
      <c r="S90" s="232"/>
      <c r="T90" s="232"/>
      <c r="U90" s="232"/>
      <c r="V90" s="232"/>
      <c r="W90" s="232"/>
      <c r="X90" s="232"/>
      <c r="Y90" s="232"/>
      <c r="Z90" s="232"/>
      <c r="AA90" s="232"/>
      <c r="AB90" s="232"/>
      <c r="AC90" s="232"/>
      <c r="AD90" s="232"/>
      <c r="AE90" s="232"/>
      <c r="AF90" s="232"/>
      <c r="AG90" s="232"/>
    </row>
    <row r="91" spans="1:33" x14ac:dyDescent="0.2">
      <c r="A91" s="2"/>
      <c r="B91" s="2"/>
      <c r="C91" s="232"/>
      <c r="D91" s="232"/>
      <c r="E91" s="232"/>
      <c r="F91" s="232"/>
      <c r="G91" s="232"/>
      <c r="H91" s="232"/>
      <c r="I91" s="232"/>
      <c r="J91" s="232"/>
      <c r="K91" s="232"/>
      <c r="L91" s="232"/>
      <c r="M91" s="232"/>
      <c r="N91" s="232"/>
      <c r="O91" s="232"/>
      <c r="P91" s="232"/>
      <c r="Q91" s="232"/>
      <c r="R91" s="232"/>
      <c r="S91" s="232"/>
      <c r="T91" s="232"/>
      <c r="U91" s="232"/>
      <c r="V91" s="232"/>
      <c r="W91" s="232"/>
      <c r="X91" s="232"/>
      <c r="Y91" s="232"/>
      <c r="Z91" s="232"/>
      <c r="AA91" s="232"/>
      <c r="AB91" s="232"/>
      <c r="AC91" s="232"/>
      <c r="AD91" s="232"/>
      <c r="AE91" s="232"/>
      <c r="AF91" s="232"/>
      <c r="AG91" s="232"/>
    </row>
    <row r="92" spans="1:33" x14ac:dyDescent="0.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row>
    <row r="93" spans="1:33" x14ac:dyDescent="0.2">
      <c r="A93" s="2"/>
      <c r="B93" s="2"/>
      <c r="C93" s="232" t="s">
        <v>1676</v>
      </c>
      <c r="D93" s="232"/>
      <c r="E93" s="232"/>
      <c r="F93" s="232"/>
      <c r="G93" s="232"/>
      <c r="H93" s="232"/>
      <c r="I93" s="232"/>
      <c r="J93" s="232"/>
      <c r="K93" s="232"/>
      <c r="L93" s="232"/>
      <c r="M93" s="232"/>
      <c r="N93" s="232"/>
      <c r="O93" s="232"/>
      <c r="P93" s="232"/>
      <c r="Q93" s="232"/>
      <c r="R93" s="232"/>
      <c r="S93" s="232"/>
      <c r="T93" s="232"/>
      <c r="U93" s="232"/>
      <c r="V93" s="232"/>
      <c r="W93" s="232"/>
      <c r="X93" s="232"/>
      <c r="Y93" s="232"/>
      <c r="Z93" s="232"/>
      <c r="AA93" s="232"/>
      <c r="AB93" s="232"/>
      <c r="AC93" s="232"/>
      <c r="AD93" s="232"/>
      <c r="AE93" s="232"/>
      <c r="AF93" s="232"/>
      <c r="AG93" s="232"/>
    </row>
    <row r="94" spans="1:33" x14ac:dyDescent="0.2">
      <c r="A94" s="2"/>
      <c r="B94" s="2"/>
      <c r="C94" s="232"/>
      <c r="D94" s="232"/>
      <c r="E94" s="232"/>
      <c r="F94" s="232"/>
      <c r="G94" s="232"/>
      <c r="H94" s="232"/>
      <c r="I94" s="232"/>
      <c r="J94" s="232"/>
      <c r="K94" s="232"/>
      <c r="L94" s="232"/>
      <c r="M94" s="232"/>
      <c r="N94" s="232"/>
      <c r="O94" s="232"/>
      <c r="P94" s="232"/>
      <c r="Q94" s="232"/>
      <c r="R94" s="232"/>
      <c r="S94" s="232"/>
      <c r="T94" s="232"/>
      <c r="U94" s="232"/>
      <c r="V94" s="232"/>
      <c r="W94" s="232"/>
      <c r="X94" s="232"/>
      <c r="Y94" s="232"/>
      <c r="Z94" s="232"/>
      <c r="AA94" s="232"/>
      <c r="AB94" s="232"/>
      <c r="AC94" s="232"/>
      <c r="AD94" s="232"/>
      <c r="AE94" s="232"/>
      <c r="AF94" s="232"/>
      <c r="AG94" s="232"/>
    </row>
    <row r="95" spans="1:33" x14ac:dyDescent="0.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row>
    <row r="96" spans="1:33" x14ac:dyDescent="0.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row>
    <row r="97" spans="1:33" x14ac:dyDescent="0.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row>
    <row r="98" spans="1:33" x14ac:dyDescent="0.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row>
    <row r="99" spans="1:33" x14ac:dyDescent="0.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row>
    <row r="100" spans="1:33" x14ac:dyDescent="0.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row>
    <row r="101" spans="1:33" x14ac:dyDescent="0.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row>
    <row r="102" spans="1:33" x14ac:dyDescent="0.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row>
    <row r="103" spans="1:33" x14ac:dyDescent="0.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row>
    <row r="104" spans="1:33" x14ac:dyDescent="0.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row>
    <row r="105" spans="1:33" x14ac:dyDescent="0.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row>
    <row r="106" spans="1:33" x14ac:dyDescent="0.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row>
    <row r="107" spans="1:33" x14ac:dyDescent="0.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row>
    <row r="108" spans="1:33" x14ac:dyDescent="0.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row>
    <row r="109" spans="1:33" x14ac:dyDescent="0.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row>
    <row r="110" spans="1:33" x14ac:dyDescent="0.2">
      <c r="A110" s="2"/>
      <c r="B110" s="2"/>
      <c r="C110" s="20" t="s">
        <v>1691</v>
      </c>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row>
    <row r="111" spans="1:33" x14ac:dyDescent="0.2">
      <c r="A111" s="2"/>
      <c r="B111" s="2"/>
      <c r="C111" s="2" t="s">
        <v>1669</v>
      </c>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row>
    <row r="112" spans="1:33" x14ac:dyDescent="0.2">
      <c r="A112" s="2"/>
      <c r="B112" s="2"/>
      <c r="C112" s="2" t="s">
        <v>1678</v>
      </c>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row>
    <row r="113" spans="1:33" x14ac:dyDescent="0.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row>
    <row r="114" spans="1:33" x14ac:dyDescent="0.2">
      <c r="A114" s="2"/>
      <c r="B114" s="2"/>
      <c r="C114" s="2" t="s">
        <v>1704</v>
      </c>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row>
    <row r="115" spans="1:33" x14ac:dyDescent="0.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row>
    <row r="116" spans="1:33" x14ac:dyDescent="0.2">
      <c r="A116" s="2"/>
      <c r="B116" s="2"/>
      <c r="C116" s="2"/>
      <c r="D116" s="2"/>
      <c r="E116" s="21" t="s">
        <v>132</v>
      </c>
      <c r="F116" s="13" t="s">
        <v>332</v>
      </c>
      <c r="G116" s="231">
        <v>16.5</v>
      </c>
      <c r="H116" s="231"/>
      <c r="I116" s="231"/>
      <c r="J116" s="2" t="s">
        <v>335</v>
      </c>
      <c r="K116" s="2"/>
      <c r="M116" s="2" t="s">
        <v>1670</v>
      </c>
      <c r="N116" s="2"/>
      <c r="O116" s="2"/>
      <c r="P116" s="2"/>
      <c r="Q116" s="2"/>
      <c r="R116" s="2"/>
      <c r="S116" s="2"/>
      <c r="T116" s="2"/>
      <c r="U116" s="2"/>
      <c r="V116" s="2"/>
      <c r="W116" s="2"/>
      <c r="X116" s="2"/>
      <c r="Y116" s="2"/>
      <c r="Z116" s="2"/>
      <c r="AA116" s="2"/>
      <c r="AB116" s="2"/>
      <c r="AC116" s="2"/>
      <c r="AD116" s="2"/>
      <c r="AE116" s="2"/>
      <c r="AF116" s="2"/>
      <c r="AG116" s="2"/>
    </row>
    <row r="117" spans="1:33" x14ac:dyDescent="0.2">
      <c r="A117" s="2"/>
      <c r="B117" s="2"/>
      <c r="C117" s="2"/>
      <c r="D117" s="2"/>
      <c r="E117" s="21" t="s">
        <v>167</v>
      </c>
      <c r="F117" s="13" t="s">
        <v>332</v>
      </c>
      <c r="G117" s="231">
        <f>0.4*G116</f>
        <v>6.6000000000000005</v>
      </c>
      <c r="H117" s="231"/>
      <c r="I117" s="231"/>
      <c r="J117" s="2" t="s">
        <v>335</v>
      </c>
      <c r="K117" s="2"/>
      <c r="M117" s="2" t="s">
        <v>1671</v>
      </c>
      <c r="N117" s="2"/>
      <c r="O117" s="2"/>
      <c r="P117" s="2"/>
      <c r="Q117" s="2"/>
      <c r="R117" s="2"/>
      <c r="S117" s="2"/>
      <c r="T117" s="2"/>
      <c r="U117" s="2"/>
      <c r="V117" s="2"/>
      <c r="W117" s="2"/>
      <c r="X117" s="2"/>
      <c r="Y117" s="2"/>
      <c r="Z117" s="2"/>
      <c r="AA117" s="2"/>
      <c r="AB117" s="2"/>
      <c r="AC117" s="2"/>
      <c r="AD117" s="2"/>
      <c r="AE117" s="2"/>
      <c r="AF117" s="2"/>
      <c r="AG117" s="2"/>
    </row>
    <row r="118" spans="1:33" x14ac:dyDescent="0.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row>
    <row r="119" spans="1:33" x14ac:dyDescent="0.2">
      <c r="A119" s="2"/>
      <c r="B119" s="2"/>
      <c r="C119" s="2"/>
      <c r="D119" s="2"/>
      <c r="E119" s="21" t="s">
        <v>1529</v>
      </c>
      <c r="F119" s="13" t="s">
        <v>332</v>
      </c>
      <c r="G119" s="231">
        <v>327</v>
      </c>
      <c r="H119" s="231"/>
      <c r="I119" s="231"/>
      <c r="J119" s="2" t="s">
        <v>337</v>
      </c>
      <c r="K119" s="2"/>
      <c r="M119" s="2" t="s">
        <v>1673</v>
      </c>
      <c r="N119" s="2"/>
      <c r="O119" s="2"/>
      <c r="P119" s="2"/>
      <c r="Q119" s="2"/>
      <c r="R119" s="2"/>
      <c r="S119" s="2"/>
      <c r="T119" s="2"/>
      <c r="U119" s="2"/>
      <c r="V119" s="2"/>
      <c r="W119" s="2"/>
      <c r="X119" s="2"/>
      <c r="Y119" s="2"/>
      <c r="Z119" s="2"/>
      <c r="AA119" s="2"/>
      <c r="AB119" s="2"/>
      <c r="AC119" s="2"/>
      <c r="AD119" s="2"/>
      <c r="AE119" s="2"/>
      <c r="AF119" s="2"/>
      <c r="AG119" s="2"/>
    </row>
    <row r="120" spans="1:33" ht="15.75" x14ac:dyDescent="0.3">
      <c r="A120" s="2"/>
      <c r="B120" s="2"/>
      <c r="C120" s="2"/>
      <c r="D120" s="2"/>
      <c r="E120" s="21" t="s">
        <v>1672</v>
      </c>
      <c r="F120" s="13" t="s">
        <v>332</v>
      </c>
      <c r="G120" s="231">
        <f>G117*G119/1000</f>
        <v>2.1582000000000003</v>
      </c>
      <c r="H120" s="231"/>
      <c r="I120" s="231"/>
      <c r="J120" s="2" t="s">
        <v>524</v>
      </c>
      <c r="K120" s="2"/>
      <c r="M120" s="2" t="s">
        <v>1679</v>
      </c>
      <c r="N120" s="2"/>
      <c r="O120" s="2"/>
      <c r="P120" s="2"/>
      <c r="Q120" s="2"/>
      <c r="R120" s="2"/>
      <c r="S120" s="2"/>
      <c r="T120" s="2"/>
      <c r="U120" s="2"/>
      <c r="V120" s="2"/>
      <c r="W120" s="2"/>
      <c r="X120" s="2"/>
      <c r="Y120" s="2"/>
      <c r="Z120" s="2"/>
      <c r="AA120" s="2"/>
      <c r="AB120" s="2"/>
      <c r="AC120" s="2"/>
      <c r="AD120" s="2"/>
      <c r="AE120" s="2"/>
      <c r="AF120" s="2"/>
      <c r="AG120" s="2"/>
    </row>
    <row r="121" spans="1:33" x14ac:dyDescent="0.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row>
    <row r="122" spans="1:33" x14ac:dyDescent="0.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row>
    <row r="123" spans="1:33" x14ac:dyDescent="0.2">
      <c r="A123" s="2"/>
      <c r="B123" s="2"/>
      <c r="C123" s="2" t="s">
        <v>1674</v>
      </c>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row>
    <row r="124" spans="1:33" x14ac:dyDescent="0.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row>
    <row r="125" spans="1:33" x14ac:dyDescent="0.2">
      <c r="A125" s="2"/>
      <c r="B125" s="2"/>
      <c r="C125" s="2" t="s">
        <v>1705</v>
      </c>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row>
    <row r="126" spans="1:33" x14ac:dyDescent="0.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row>
    <row r="127" spans="1:33" ht="15.75" x14ac:dyDescent="0.3">
      <c r="A127" s="2"/>
      <c r="B127" s="2"/>
      <c r="C127" s="2"/>
      <c r="D127" s="2"/>
      <c r="E127" s="21" t="s">
        <v>382</v>
      </c>
      <c r="F127" s="13" t="s">
        <v>332</v>
      </c>
      <c r="G127" s="231">
        <f>0.9*G116</f>
        <v>14.85</v>
      </c>
      <c r="H127" s="231"/>
      <c r="I127" s="231"/>
      <c r="J127" s="2" t="s">
        <v>335</v>
      </c>
      <c r="K127" s="2"/>
      <c r="L127" s="2"/>
      <c r="M127" s="2" t="s">
        <v>1707</v>
      </c>
      <c r="N127" s="2"/>
      <c r="O127" s="2"/>
      <c r="P127" s="2"/>
      <c r="Q127" s="2"/>
      <c r="R127" s="2"/>
      <c r="S127" s="2"/>
      <c r="T127" s="2"/>
      <c r="U127" s="2"/>
      <c r="V127" s="2"/>
      <c r="W127" s="2"/>
      <c r="X127" s="2"/>
      <c r="Y127" s="2"/>
      <c r="Z127" s="2"/>
      <c r="AA127" s="2"/>
      <c r="AB127" s="2"/>
      <c r="AC127" s="2"/>
      <c r="AD127" s="2"/>
      <c r="AE127" s="2"/>
      <c r="AF127" s="2"/>
      <c r="AG127" s="2"/>
    </row>
    <row r="128" spans="1:33" ht="15.75" x14ac:dyDescent="0.3">
      <c r="A128" s="2"/>
      <c r="B128" s="2"/>
      <c r="C128" s="2"/>
      <c r="D128" s="2"/>
      <c r="E128" s="21" t="s">
        <v>533</v>
      </c>
      <c r="F128" s="13" t="s">
        <v>332</v>
      </c>
      <c r="G128" s="231">
        <f>1.25*G117</f>
        <v>8.25</v>
      </c>
      <c r="H128" s="231"/>
      <c r="I128" s="231"/>
      <c r="J128" s="2" t="s">
        <v>335</v>
      </c>
      <c r="K128" s="2"/>
      <c r="L128" s="2"/>
      <c r="M128" s="2" t="s">
        <v>1706</v>
      </c>
      <c r="N128" s="2"/>
      <c r="O128" s="2"/>
      <c r="P128" s="2"/>
      <c r="Q128" s="2"/>
      <c r="R128" s="2"/>
      <c r="S128" s="2"/>
      <c r="T128" s="2"/>
      <c r="U128" s="2"/>
      <c r="V128" s="2"/>
      <c r="W128" s="2"/>
      <c r="X128" s="2"/>
      <c r="Y128" s="2"/>
      <c r="Z128" s="2"/>
      <c r="AA128" s="2"/>
      <c r="AB128" s="2"/>
      <c r="AC128" s="2"/>
      <c r="AD128" s="2"/>
      <c r="AE128" s="2"/>
      <c r="AF128" s="2"/>
      <c r="AG128" s="2"/>
    </row>
    <row r="129" spans="1:33" ht="15.75" x14ac:dyDescent="0.3">
      <c r="A129" s="2"/>
      <c r="B129" s="2"/>
      <c r="C129" s="2"/>
      <c r="D129" s="2"/>
      <c r="E129" s="21" t="s">
        <v>535</v>
      </c>
      <c r="F129" s="13" t="s">
        <v>332</v>
      </c>
      <c r="G129" s="231">
        <f>1.25*G120</f>
        <v>2.6977500000000005</v>
      </c>
      <c r="H129" s="231"/>
      <c r="I129" s="231"/>
      <c r="J129" s="2" t="s">
        <v>335</v>
      </c>
      <c r="K129" s="2"/>
      <c r="L129" s="2"/>
      <c r="M129" s="2" t="s">
        <v>936</v>
      </c>
      <c r="N129" s="2"/>
      <c r="O129" s="2"/>
      <c r="P129" s="2"/>
      <c r="Q129" s="2"/>
      <c r="R129" s="2"/>
      <c r="S129" s="2"/>
      <c r="T129" s="2"/>
      <c r="U129" s="2"/>
      <c r="V129" s="2"/>
      <c r="W129" s="2"/>
      <c r="X129" s="2"/>
      <c r="Y129" s="2"/>
      <c r="Z129" s="2"/>
      <c r="AA129" s="2"/>
      <c r="AB129" s="2"/>
      <c r="AC129" s="2"/>
      <c r="AD129" s="2"/>
      <c r="AE129" s="2"/>
      <c r="AF129" s="2"/>
      <c r="AG129" s="2"/>
    </row>
    <row r="130" spans="1:33" x14ac:dyDescent="0.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row>
    <row r="131" spans="1:33" x14ac:dyDescent="0.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row>
    <row r="132" spans="1:33" x14ac:dyDescent="0.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row>
    <row r="133" spans="1:33" x14ac:dyDescent="0.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row>
    <row r="134" spans="1:33" x14ac:dyDescent="0.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row>
    <row r="135" spans="1:33" x14ac:dyDescent="0.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row>
    <row r="136" spans="1:33" x14ac:dyDescent="0.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row>
    <row r="137" spans="1:33" x14ac:dyDescent="0.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row>
    <row r="138" spans="1:33" x14ac:dyDescent="0.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row>
    <row r="139" spans="1:33" x14ac:dyDescent="0.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row>
    <row r="140" spans="1:33" x14ac:dyDescent="0.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row>
    <row r="141" spans="1:33" x14ac:dyDescent="0.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row>
    <row r="142" spans="1:33" x14ac:dyDescent="0.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row>
    <row r="143" spans="1:33" x14ac:dyDescent="0.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row>
    <row r="144" spans="1:33" x14ac:dyDescent="0.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row>
    <row r="145" spans="1:33" x14ac:dyDescent="0.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row>
    <row r="146" spans="1:33" x14ac:dyDescent="0.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row>
    <row r="147" spans="1:33" x14ac:dyDescent="0.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row>
    <row r="148" spans="1:33" x14ac:dyDescent="0.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row>
    <row r="149" spans="1:33" x14ac:dyDescent="0.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row>
    <row r="150" spans="1:33" x14ac:dyDescent="0.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row>
    <row r="151" spans="1:33" x14ac:dyDescent="0.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row>
    <row r="152" spans="1:33" x14ac:dyDescent="0.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row>
    <row r="153" spans="1:33" x14ac:dyDescent="0.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row>
    <row r="154" spans="1:33" x14ac:dyDescent="0.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row>
    <row r="155" spans="1:33" x14ac:dyDescent="0.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row>
    <row r="156" spans="1:33" x14ac:dyDescent="0.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row>
    <row r="157" spans="1:33" x14ac:dyDescent="0.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row>
    <row r="158" spans="1:33" x14ac:dyDescent="0.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row>
    <row r="159" spans="1:33" x14ac:dyDescent="0.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row>
    <row r="160" spans="1:33" x14ac:dyDescent="0.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row>
    <row r="161" spans="1:33" x14ac:dyDescent="0.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row>
    <row r="162" spans="1:33" x14ac:dyDescent="0.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row>
    <row r="163" spans="1:33" x14ac:dyDescent="0.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row>
    <row r="164" spans="1:33" x14ac:dyDescent="0.2">
      <c r="A164" s="2"/>
      <c r="B164" s="2"/>
      <c r="C164" s="20" t="s">
        <v>1692</v>
      </c>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row>
    <row r="165" spans="1:33" x14ac:dyDescent="0.2">
      <c r="A165" s="2"/>
      <c r="B165" s="2"/>
      <c r="C165" s="2" t="s">
        <v>1680</v>
      </c>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row>
    <row r="166" spans="1:33" x14ac:dyDescent="0.2">
      <c r="A166" s="2"/>
      <c r="B166" s="2"/>
      <c r="C166" s="2" t="s">
        <v>1681</v>
      </c>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row>
    <row r="167" spans="1:33" x14ac:dyDescent="0.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row>
    <row r="168" spans="1:33" x14ac:dyDescent="0.2">
      <c r="A168" s="2"/>
      <c r="B168" s="2"/>
      <c r="C168" s="2" t="s">
        <v>1708</v>
      </c>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row>
    <row r="169" spans="1:33" x14ac:dyDescent="0.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row>
    <row r="170" spans="1:33" x14ac:dyDescent="0.2">
      <c r="A170" s="2"/>
      <c r="B170" s="2"/>
      <c r="C170" s="2" t="s">
        <v>1677</v>
      </c>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row>
    <row r="171" spans="1:33" x14ac:dyDescent="0.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row>
    <row r="172" spans="1:33" x14ac:dyDescent="0.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row>
    <row r="173" spans="1:33" x14ac:dyDescent="0.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row>
    <row r="174" spans="1:33" x14ac:dyDescent="0.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row>
    <row r="175" spans="1:33" x14ac:dyDescent="0.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row>
    <row r="176" spans="1:33" x14ac:dyDescent="0.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row>
    <row r="177" spans="1:33" x14ac:dyDescent="0.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row>
    <row r="178" spans="1:33" x14ac:dyDescent="0.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row>
    <row r="179" spans="1:33" x14ac:dyDescent="0.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row>
    <row r="180" spans="1:33" x14ac:dyDescent="0.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row>
    <row r="181" spans="1:33" x14ac:dyDescent="0.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row>
    <row r="182" spans="1:33" x14ac:dyDescent="0.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row>
    <row r="183" spans="1:33" x14ac:dyDescent="0.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row>
    <row r="184" spans="1:33" x14ac:dyDescent="0.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row>
    <row r="185" spans="1:33" x14ac:dyDescent="0.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row>
    <row r="186" spans="1:33" x14ac:dyDescent="0.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row>
    <row r="187" spans="1:33" x14ac:dyDescent="0.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row>
    <row r="188" spans="1:33" x14ac:dyDescent="0.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row>
    <row r="189" spans="1:33" x14ac:dyDescent="0.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row>
    <row r="190" spans="1:33" x14ac:dyDescent="0.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row>
    <row r="191" spans="1:33" x14ac:dyDescent="0.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row>
    <row r="192" spans="1:33" x14ac:dyDescent="0.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row>
    <row r="193" spans="1:33" x14ac:dyDescent="0.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row>
    <row r="194" spans="1:33" x14ac:dyDescent="0.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row>
    <row r="195" spans="1:33" x14ac:dyDescent="0.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row>
    <row r="196" spans="1:33" x14ac:dyDescent="0.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row>
    <row r="197" spans="1:33" x14ac:dyDescent="0.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row>
    <row r="198" spans="1:33" x14ac:dyDescent="0.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row>
    <row r="199" spans="1:33" x14ac:dyDescent="0.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row>
    <row r="200" spans="1:33" x14ac:dyDescent="0.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row>
    <row r="201" spans="1:33" x14ac:dyDescent="0.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row>
    <row r="202" spans="1:33" x14ac:dyDescent="0.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row>
    <row r="203" spans="1:33" x14ac:dyDescent="0.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row>
    <row r="204" spans="1:33" x14ac:dyDescent="0.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row>
    <row r="205" spans="1:33" x14ac:dyDescent="0.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row>
    <row r="206" spans="1:33" x14ac:dyDescent="0.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row>
    <row r="207" spans="1:33" x14ac:dyDescent="0.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row>
    <row r="208" spans="1:33" x14ac:dyDescent="0.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row>
    <row r="209" spans="1:33" x14ac:dyDescent="0.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row>
    <row r="210" spans="1:33" x14ac:dyDescent="0.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row>
    <row r="211" spans="1:33" x14ac:dyDescent="0.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row>
    <row r="212" spans="1:33" x14ac:dyDescent="0.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row>
    <row r="213" spans="1:33" x14ac:dyDescent="0.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row>
    <row r="214" spans="1:33" x14ac:dyDescent="0.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row>
    <row r="215" spans="1:33" x14ac:dyDescent="0.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row>
    <row r="216" spans="1:33" x14ac:dyDescent="0.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row>
    <row r="217" spans="1:33" x14ac:dyDescent="0.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row>
    <row r="218" spans="1:33" ht="15" x14ac:dyDescent="0.25">
      <c r="A218" s="2"/>
      <c r="B218" s="4" t="s">
        <v>1709</v>
      </c>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row>
    <row r="219" spans="1:33" x14ac:dyDescent="0.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row>
    <row r="220" spans="1:33" x14ac:dyDescent="0.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row>
    <row r="221" spans="1:33" x14ac:dyDescent="0.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row>
    <row r="222" spans="1:33" x14ac:dyDescent="0.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row>
    <row r="223" spans="1:33" x14ac:dyDescent="0.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row>
    <row r="224" spans="1:33" x14ac:dyDescent="0.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row>
    <row r="225" spans="1:33" x14ac:dyDescent="0.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row>
    <row r="226" spans="1:33" x14ac:dyDescent="0.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row>
    <row r="227" spans="1:33" x14ac:dyDescent="0.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row>
    <row r="228" spans="1:33" x14ac:dyDescent="0.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row>
    <row r="229" spans="1:33" x14ac:dyDescent="0.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row>
    <row r="230" spans="1:33" x14ac:dyDescent="0.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row>
    <row r="231" spans="1:33" x14ac:dyDescent="0.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row>
    <row r="232" spans="1:33" x14ac:dyDescent="0.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row>
    <row r="233" spans="1:33" x14ac:dyDescent="0.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row>
  </sheetData>
  <mergeCells count="36">
    <mergeCell ref="B3:AG3"/>
    <mergeCell ref="H36:J36"/>
    <mergeCell ref="D41:J41"/>
    <mergeCell ref="K41:Q41"/>
    <mergeCell ref="K32:Q32"/>
    <mergeCell ref="K33:Q33"/>
    <mergeCell ref="R32:U32"/>
    <mergeCell ref="R33:U33"/>
    <mergeCell ref="D34:J34"/>
    <mergeCell ref="K34:Q34"/>
    <mergeCell ref="R34:U34"/>
    <mergeCell ref="H45:J45"/>
    <mergeCell ref="V32:Y32"/>
    <mergeCell ref="V33:Y33"/>
    <mergeCell ref="V34:Y34"/>
    <mergeCell ref="V41:Y41"/>
    <mergeCell ref="V42:Y42"/>
    <mergeCell ref="V43:Y43"/>
    <mergeCell ref="R41:U41"/>
    <mergeCell ref="D42:J42"/>
    <mergeCell ref="K42:Q42"/>
    <mergeCell ref="R42:U42"/>
    <mergeCell ref="D43:J43"/>
    <mergeCell ref="K43:Q43"/>
    <mergeCell ref="R43:U43"/>
    <mergeCell ref="D32:J32"/>
    <mergeCell ref="D33:J33"/>
    <mergeCell ref="G129:I129"/>
    <mergeCell ref="C90:AG91"/>
    <mergeCell ref="C93:AG94"/>
    <mergeCell ref="G116:I116"/>
    <mergeCell ref="G117:I117"/>
    <mergeCell ref="G119:I119"/>
    <mergeCell ref="G120:I120"/>
    <mergeCell ref="G127:I127"/>
    <mergeCell ref="G128:I128"/>
  </mergeCells>
  <pageMargins left="0.7" right="0.7" top="1.25" bottom="0.75" header="0.3" footer="0.3"/>
  <pageSetup scale="87" fitToHeight="0" orientation="portrait" horizontalDpi="1200" verticalDpi="1200" r:id="rId1"/>
  <headerFooter>
    <oddHeader>&amp;L&amp;G
Client: Keyera
Project No: F3KY&amp;C&amp;G&amp;RDesigned By: CW
Checked By: JS
Date: 27-MAY-2026
Revision: 1</oddHeader>
    <oddFooter>&amp;LContractor Document No:  F3KY-215-CAL-047</oddFooter>
  </headerFooter>
  <drawing r:id="rId2"/>
  <legacyDrawingHF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22D83-0B97-45CF-A0BB-2802D4670607}">
  <sheetPr codeName="Sheet1">
    <pageSetUpPr fitToPage="1"/>
  </sheetPr>
  <dimension ref="A1:AI155"/>
  <sheetViews>
    <sheetView view="pageBreakPreview" topLeftCell="A14" zoomScale="130" zoomScaleNormal="100" zoomScaleSheetLayoutView="130" workbookViewId="0">
      <selection activeCell="W50" sqref="W50"/>
    </sheetView>
  </sheetViews>
  <sheetFormatPr defaultRowHeight="14.25" x14ac:dyDescent="0.2"/>
  <cols>
    <col min="1" max="33" width="3.140625" style="1" customWidth="1"/>
    <col min="34" max="16384" width="9.140625" style="1"/>
  </cols>
  <sheetData>
    <row r="1" spans="1:35" x14ac:dyDescent="0.2">
      <c r="AI1" s="1" t="s">
        <v>94</v>
      </c>
    </row>
    <row r="3" spans="1:35" x14ac:dyDescent="0.2">
      <c r="AI3" s="1" t="s">
        <v>72</v>
      </c>
    </row>
    <row r="5" spans="1:35" ht="26.25" x14ac:dyDescent="0.2">
      <c r="A5" s="201" t="s">
        <v>151</v>
      </c>
      <c r="B5" s="201"/>
      <c r="C5" s="201"/>
      <c r="D5" s="201"/>
      <c r="E5" s="201"/>
      <c r="F5" s="201"/>
      <c r="G5" s="201"/>
      <c r="H5" s="201"/>
      <c r="I5" s="201"/>
      <c r="J5" s="201"/>
      <c r="K5" s="201"/>
      <c r="L5" s="201"/>
      <c r="M5" s="201"/>
      <c r="N5" s="201"/>
      <c r="O5" s="201"/>
      <c r="P5" s="201"/>
      <c r="Q5" s="201"/>
      <c r="R5" s="201"/>
      <c r="S5" s="201"/>
      <c r="T5" s="201"/>
      <c r="U5" s="201"/>
      <c r="V5" s="201"/>
      <c r="W5" s="201"/>
      <c r="X5" s="201"/>
      <c r="Y5" s="201"/>
      <c r="Z5" s="201"/>
      <c r="AA5" s="201"/>
      <c r="AB5" s="201"/>
      <c r="AC5" s="201"/>
      <c r="AD5" s="201"/>
      <c r="AE5" s="201"/>
      <c r="AF5" s="201"/>
      <c r="AG5" s="201"/>
      <c r="AI5" s="1" t="s">
        <v>3</v>
      </c>
    </row>
    <row r="9" spans="1:35" ht="57.75" customHeight="1" x14ac:dyDescent="0.2">
      <c r="A9" s="202" t="s">
        <v>1387</v>
      </c>
      <c r="B9" s="202"/>
      <c r="C9" s="202"/>
      <c r="D9" s="202"/>
      <c r="E9" s="202"/>
      <c r="F9" s="202"/>
      <c r="G9" s="202"/>
      <c r="H9" s="202"/>
      <c r="I9" s="202"/>
      <c r="J9" s="202"/>
      <c r="K9" s="202"/>
      <c r="L9" s="202"/>
      <c r="M9" s="202"/>
      <c r="N9" s="202"/>
      <c r="O9" s="202"/>
      <c r="P9" s="202"/>
      <c r="Q9" s="202"/>
      <c r="R9" s="202"/>
      <c r="S9" s="202"/>
      <c r="T9" s="202"/>
      <c r="U9" s="202"/>
      <c r="V9" s="202"/>
      <c r="W9" s="202"/>
      <c r="X9" s="202"/>
      <c r="Y9" s="202"/>
      <c r="Z9" s="202"/>
      <c r="AA9" s="202"/>
      <c r="AB9" s="202"/>
      <c r="AC9" s="202"/>
      <c r="AD9" s="202"/>
      <c r="AE9" s="202"/>
      <c r="AF9" s="202"/>
      <c r="AG9" s="202"/>
      <c r="AI9" s="1" t="s">
        <v>4</v>
      </c>
    </row>
    <row r="12" spans="1:35" ht="26.25" x14ac:dyDescent="0.2">
      <c r="A12" s="203" t="s">
        <v>1034</v>
      </c>
      <c r="B12" s="203"/>
      <c r="C12" s="203"/>
      <c r="D12" s="203"/>
      <c r="E12" s="203"/>
      <c r="F12" s="203"/>
      <c r="G12" s="203"/>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c r="AG12" s="203"/>
      <c r="AI12" s="1" t="s">
        <v>4</v>
      </c>
    </row>
    <row r="16" spans="1:35" x14ac:dyDescent="0.2">
      <c r="F16" s="204"/>
      <c r="G16" s="205"/>
      <c r="H16" s="205"/>
      <c r="I16" s="205"/>
      <c r="J16" s="205"/>
      <c r="K16" s="205"/>
      <c r="L16" s="205"/>
      <c r="M16" s="205"/>
      <c r="N16" s="205"/>
      <c r="O16" s="205"/>
      <c r="P16" s="206"/>
      <c r="Q16" s="204"/>
      <c r="R16" s="205"/>
      <c r="S16" s="205"/>
      <c r="T16" s="205"/>
      <c r="U16" s="205"/>
      <c r="V16" s="205"/>
      <c r="W16" s="205"/>
      <c r="X16" s="205"/>
      <c r="Y16" s="205"/>
      <c r="Z16" s="205"/>
      <c r="AA16" s="206"/>
      <c r="AI16" s="1" t="s">
        <v>5</v>
      </c>
    </row>
    <row r="17" spans="1:35" x14ac:dyDescent="0.2">
      <c r="F17" s="207"/>
      <c r="G17" s="200"/>
      <c r="H17" s="200"/>
      <c r="I17" s="200"/>
      <c r="J17" s="200"/>
      <c r="K17" s="200"/>
      <c r="L17" s="200"/>
      <c r="M17" s="200"/>
      <c r="N17" s="200"/>
      <c r="O17" s="200"/>
      <c r="P17" s="208"/>
      <c r="Q17" s="207"/>
      <c r="R17" s="200"/>
      <c r="S17" s="200"/>
      <c r="T17" s="200"/>
      <c r="U17" s="200"/>
      <c r="V17" s="200"/>
      <c r="W17" s="200"/>
      <c r="X17" s="200"/>
      <c r="Y17" s="200"/>
      <c r="Z17" s="200"/>
      <c r="AA17" s="208"/>
    </row>
    <row r="18" spans="1:35" x14ac:dyDescent="0.2">
      <c r="F18" s="207"/>
      <c r="G18" s="200"/>
      <c r="H18" s="200"/>
      <c r="I18" s="200"/>
      <c r="J18" s="200"/>
      <c r="K18" s="200"/>
      <c r="L18" s="200"/>
      <c r="M18" s="200"/>
      <c r="N18" s="200"/>
      <c r="O18" s="200"/>
      <c r="P18" s="208"/>
      <c r="Q18" s="207"/>
      <c r="R18" s="200"/>
      <c r="S18" s="200"/>
      <c r="T18" s="200"/>
      <c r="U18" s="200"/>
      <c r="V18" s="200"/>
      <c r="W18" s="200"/>
      <c r="X18" s="200"/>
      <c r="Y18" s="200"/>
      <c r="Z18" s="200"/>
      <c r="AA18" s="208"/>
    </row>
    <row r="19" spans="1:35" x14ac:dyDescent="0.2">
      <c r="F19" s="207"/>
      <c r="G19" s="200"/>
      <c r="H19" s="200"/>
      <c r="I19" s="200"/>
      <c r="J19" s="200"/>
      <c r="K19" s="200"/>
      <c r="L19" s="200"/>
      <c r="M19" s="200"/>
      <c r="N19" s="200"/>
      <c r="O19" s="200"/>
      <c r="P19" s="208"/>
      <c r="Q19" s="207"/>
      <c r="R19" s="200"/>
      <c r="S19" s="200"/>
      <c r="T19" s="200"/>
      <c r="U19" s="200"/>
      <c r="V19" s="200"/>
      <c r="W19" s="200"/>
      <c r="X19" s="200"/>
      <c r="Y19" s="200"/>
      <c r="Z19" s="200"/>
      <c r="AA19" s="208"/>
    </row>
    <row r="20" spans="1:35" x14ac:dyDescent="0.2">
      <c r="F20" s="207"/>
      <c r="G20" s="200"/>
      <c r="H20" s="200"/>
      <c r="I20" s="200"/>
      <c r="J20" s="200"/>
      <c r="K20" s="200"/>
      <c r="L20" s="200"/>
      <c r="M20" s="200"/>
      <c r="N20" s="200"/>
      <c r="O20" s="200"/>
      <c r="P20" s="208"/>
      <c r="Q20" s="207"/>
      <c r="R20" s="200"/>
      <c r="S20" s="200"/>
      <c r="T20" s="200"/>
      <c r="U20" s="200"/>
      <c r="V20" s="200"/>
      <c r="W20" s="200"/>
      <c r="X20" s="200"/>
      <c r="Y20" s="200"/>
      <c r="Z20" s="200"/>
      <c r="AA20" s="208"/>
    </row>
    <row r="21" spans="1:35" x14ac:dyDescent="0.2">
      <c r="F21" s="207"/>
      <c r="G21" s="200"/>
      <c r="H21" s="200"/>
      <c r="I21" s="200"/>
      <c r="J21" s="200"/>
      <c r="K21" s="200"/>
      <c r="L21" s="200"/>
      <c r="M21" s="200"/>
      <c r="N21" s="200"/>
      <c r="O21" s="200"/>
      <c r="P21" s="208"/>
      <c r="Q21" s="207"/>
      <c r="R21" s="200"/>
      <c r="S21" s="200"/>
      <c r="T21" s="200"/>
      <c r="U21" s="200"/>
      <c r="V21" s="200"/>
      <c r="W21" s="200"/>
      <c r="X21" s="200"/>
      <c r="Y21" s="200"/>
      <c r="Z21" s="200"/>
      <c r="AA21" s="208"/>
    </row>
    <row r="22" spans="1:35" x14ac:dyDescent="0.2">
      <c r="F22" s="207"/>
      <c r="G22" s="200"/>
      <c r="H22" s="200"/>
      <c r="I22" s="200"/>
      <c r="J22" s="200"/>
      <c r="K22" s="200"/>
      <c r="L22" s="200"/>
      <c r="M22" s="200"/>
      <c r="N22" s="200"/>
      <c r="O22" s="200"/>
      <c r="P22" s="208"/>
      <c r="Q22" s="207"/>
      <c r="R22" s="200"/>
      <c r="S22" s="200"/>
      <c r="T22" s="200"/>
      <c r="U22" s="200"/>
      <c r="V22" s="200"/>
      <c r="W22" s="200"/>
      <c r="X22" s="200"/>
      <c r="Y22" s="200"/>
      <c r="Z22" s="200"/>
      <c r="AA22" s="208"/>
    </row>
    <row r="23" spans="1:35" x14ac:dyDescent="0.2">
      <c r="F23" s="207"/>
      <c r="G23" s="200"/>
      <c r="H23" s="200"/>
      <c r="I23" s="200"/>
      <c r="J23" s="200"/>
      <c r="K23" s="200"/>
      <c r="L23" s="200"/>
      <c r="M23" s="200"/>
      <c r="N23" s="200"/>
      <c r="O23" s="200"/>
      <c r="P23" s="208"/>
      <c r="Q23" s="207"/>
      <c r="R23" s="200"/>
      <c r="S23" s="200"/>
      <c r="T23" s="200"/>
      <c r="U23" s="200"/>
      <c r="V23" s="200"/>
      <c r="W23" s="200"/>
      <c r="X23" s="200"/>
      <c r="Y23" s="200"/>
      <c r="Z23" s="200"/>
      <c r="AA23" s="208"/>
    </row>
    <row r="24" spans="1:35" x14ac:dyDescent="0.2">
      <c r="F24" s="207"/>
      <c r="G24" s="200"/>
      <c r="H24" s="200"/>
      <c r="I24" s="200"/>
      <c r="J24" s="200"/>
      <c r="K24" s="200"/>
      <c r="L24" s="200"/>
      <c r="M24" s="200"/>
      <c r="N24" s="200"/>
      <c r="O24" s="200"/>
      <c r="P24" s="208"/>
      <c r="Q24" s="207"/>
      <c r="R24" s="200"/>
      <c r="S24" s="200"/>
      <c r="T24" s="200"/>
      <c r="U24" s="200"/>
      <c r="V24" s="200"/>
      <c r="W24" s="200"/>
      <c r="X24" s="200"/>
      <c r="Y24" s="200"/>
      <c r="Z24" s="200"/>
      <c r="AA24" s="208"/>
    </row>
    <row r="25" spans="1:35" x14ac:dyDescent="0.2">
      <c r="F25" s="209" t="s">
        <v>1</v>
      </c>
      <c r="G25" s="164"/>
      <c r="H25" s="164"/>
      <c r="I25" s="164"/>
      <c r="J25" s="164"/>
      <c r="K25" s="164"/>
      <c r="L25" s="164"/>
      <c r="M25" s="164"/>
      <c r="N25" s="164"/>
      <c r="O25" s="164"/>
      <c r="P25" s="210"/>
      <c r="Q25" s="209" t="s">
        <v>2</v>
      </c>
      <c r="R25" s="164"/>
      <c r="S25" s="164"/>
      <c r="T25" s="164"/>
      <c r="U25" s="164"/>
      <c r="V25" s="164"/>
      <c r="W25" s="164"/>
      <c r="X25" s="164"/>
      <c r="Y25" s="164"/>
      <c r="Z25" s="164"/>
      <c r="AA25" s="210"/>
    </row>
    <row r="28" spans="1:35" x14ac:dyDescent="0.2">
      <c r="A28" s="200" t="s">
        <v>1453</v>
      </c>
      <c r="B28" s="200"/>
      <c r="C28" s="200"/>
      <c r="D28" s="200"/>
      <c r="E28" s="200"/>
      <c r="F28" s="200"/>
      <c r="G28" s="200"/>
      <c r="H28" s="200"/>
      <c r="I28" s="200"/>
      <c r="J28" s="200"/>
      <c r="K28" s="200"/>
      <c r="L28" s="200"/>
      <c r="M28" s="200"/>
      <c r="N28" s="200"/>
      <c r="O28" s="200"/>
      <c r="P28" s="200"/>
      <c r="Q28" s="200"/>
      <c r="R28" s="200"/>
      <c r="S28" s="200"/>
      <c r="T28" s="200"/>
      <c r="U28" s="200"/>
      <c r="V28" s="200"/>
      <c r="W28" s="200"/>
      <c r="X28" s="200"/>
      <c r="Y28" s="200"/>
      <c r="Z28" s="200"/>
      <c r="AA28" s="200"/>
      <c r="AB28" s="200"/>
      <c r="AC28" s="200"/>
      <c r="AD28" s="200"/>
      <c r="AE28" s="200"/>
      <c r="AF28" s="200"/>
      <c r="AG28" s="200"/>
      <c r="AI28" s="1" t="s">
        <v>6</v>
      </c>
    </row>
    <row r="29" spans="1:35" ht="15" thickBot="1" x14ac:dyDescent="0.25"/>
    <row r="30" spans="1:35" ht="15.75" thickBot="1" x14ac:dyDescent="0.3">
      <c r="B30" s="165" t="s">
        <v>7</v>
      </c>
      <c r="C30" s="167"/>
      <c r="D30" s="165" t="s">
        <v>9</v>
      </c>
      <c r="E30" s="166"/>
      <c r="F30" s="166"/>
      <c r="G30" s="166"/>
      <c r="H30" s="166"/>
      <c r="I30" s="166"/>
      <c r="J30" s="166"/>
      <c r="K30" s="166"/>
      <c r="L30" s="167"/>
      <c r="M30" s="165" t="s">
        <v>12</v>
      </c>
      <c r="N30" s="166"/>
      <c r="O30" s="166"/>
      <c r="P30" s="167"/>
      <c r="Q30" s="165" t="s">
        <v>14</v>
      </c>
      <c r="R30" s="166"/>
      <c r="S30" s="166"/>
      <c r="T30" s="166"/>
      <c r="U30" s="166"/>
      <c r="V30" s="167"/>
      <c r="W30" s="116" t="s">
        <v>16</v>
      </c>
      <c r="X30" s="117"/>
      <c r="Y30" s="117"/>
      <c r="Z30" s="117"/>
      <c r="AA30" s="118"/>
      <c r="AB30" s="116" t="s">
        <v>17</v>
      </c>
      <c r="AC30" s="117"/>
      <c r="AD30" s="117"/>
      <c r="AE30" s="117"/>
      <c r="AF30" s="118"/>
      <c r="AI30" s="1" t="s">
        <v>18</v>
      </c>
    </row>
    <row r="31" spans="1:35" ht="15" x14ac:dyDescent="0.25">
      <c r="B31" s="198" t="s">
        <v>8</v>
      </c>
      <c r="C31" s="199"/>
      <c r="D31" s="198" t="s">
        <v>10</v>
      </c>
      <c r="E31" s="129"/>
      <c r="F31" s="129"/>
      <c r="G31" s="129"/>
      <c r="H31" s="129"/>
      <c r="I31" s="129"/>
      <c r="J31" s="129"/>
      <c r="K31" s="129"/>
      <c r="L31" s="199"/>
      <c r="M31" s="198" t="s">
        <v>13</v>
      </c>
      <c r="N31" s="129"/>
      <c r="O31" s="129"/>
      <c r="P31" s="199"/>
      <c r="Q31" s="198" t="s">
        <v>15</v>
      </c>
      <c r="R31" s="129"/>
      <c r="S31" s="129"/>
      <c r="T31" s="129"/>
      <c r="U31" s="129"/>
      <c r="V31" s="199"/>
      <c r="W31" s="165" t="s">
        <v>14</v>
      </c>
      <c r="X31" s="166"/>
      <c r="Y31" s="166"/>
      <c r="Z31" s="166"/>
      <c r="AA31" s="167"/>
      <c r="AB31" s="165" t="s">
        <v>14</v>
      </c>
      <c r="AC31" s="166"/>
      <c r="AD31" s="166"/>
      <c r="AE31" s="166"/>
      <c r="AF31" s="167"/>
    </row>
    <row r="32" spans="1:35" ht="15" x14ac:dyDescent="0.25">
      <c r="B32" s="198"/>
      <c r="C32" s="199"/>
      <c r="D32" s="198" t="s">
        <v>11</v>
      </c>
      <c r="E32" s="129"/>
      <c r="F32" s="129"/>
      <c r="G32" s="129"/>
      <c r="H32" s="129"/>
      <c r="I32" s="129"/>
      <c r="J32" s="129"/>
      <c r="K32" s="129"/>
      <c r="L32" s="199"/>
      <c r="M32" s="198"/>
      <c r="N32" s="129"/>
      <c r="O32" s="129"/>
      <c r="P32" s="199"/>
      <c r="Q32" s="198"/>
      <c r="R32" s="129"/>
      <c r="S32" s="129"/>
      <c r="T32" s="129"/>
      <c r="U32" s="129"/>
      <c r="V32" s="199"/>
      <c r="W32" s="198" t="s">
        <v>19</v>
      </c>
      <c r="X32" s="129"/>
      <c r="Y32" s="129"/>
      <c r="Z32" s="129"/>
      <c r="AA32" s="199"/>
      <c r="AB32" s="198" t="s">
        <v>20</v>
      </c>
      <c r="AC32" s="129"/>
      <c r="AD32" s="129"/>
      <c r="AE32" s="129"/>
      <c r="AF32" s="199"/>
    </row>
    <row r="33" spans="2:32" ht="15.75" customHeight="1" thickBot="1" x14ac:dyDescent="0.3">
      <c r="B33" s="195"/>
      <c r="C33" s="196"/>
      <c r="D33" s="195"/>
      <c r="E33" s="197"/>
      <c r="F33" s="197"/>
      <c r="G33" s="197"/>
      <c r="H33" s="197"/>
      <c r="I33" s="197"/>
      <c r="J33" s="197"/>
      <c r="K33" s="197"/>
      <c r="L33" s="196"/>
      <c r="M33" s="195"/>
      <c r="N33" s="197"/>
      <c r="O33" s="197"/>
      <c r="P33" s="196"/>
      <c r="Q33" s="195"/>
      <c r="R33" s="197"/>
      <c r="S33" s="197"/>
      <c r="T33" s="197"/>
      <c r="U33" s="197"/>
      <c r="V33" s="196"/>
      <c r="W33" s="148" t="s">
        <v>16</v>
      </c>
      <c r="X33" s="149"/>
      <c r="Y33" s="149"/>
      <c r="Z33" s="149"/>
      <c r="AA33" s="150"/>
      <c r="AB33" s="148" t="s">
        <v>21</v>
      </c>
      <c r="AC33" s="149"/>
      <c r="AD33" s="149"/>
      <c r="AE33" s="149"/>
      <c r="AF33" s="150"/>
    </row>
    <row r="34" spans="2:32" ht="15" customHeight="1" x14ac:dyDescent="0.2">
      <c r="B34" s="189">
        <v>0</v>
      </c>
      <c r="C34" s="190"/>
      <c r="D34" s="189" t="s">
        <v>1454</v>
      </c>
      <c r="E34" s="191"/>
      <c r="F34" s="191"/>
      <c r="G34" s="191"/>
      <c r="H34" s="191"/>
      <c r="I34" s="191"/>
      <c r="J34" s="191"/>
      <c r="K34" s="191"/>
      <c r="L34" s="190"/>
      <c r="M34" s="192">
        <v>46155</v>
      </c>
      <c r="N34" s="193"/>
      <c r="O34" s="193"/>
      <c r="P34" s="194"/>
      <c r="Q34" s="189" t="s">
        <v>212</v>
      </c>
      <c r="R34" s="191"/>
      <c r="S34" s="191"/>
      <c r="T34" s="191"/>
      <c r="U34" s="191"/>
      <c r="V34" s="190"/>
      <c r="W34" s="189" t="s">
        <v>814</v>
      </c>
      <c r="X34" s="191"/>
      <c r="Y34" s="191"/>
      <c r="Z34" s="191"/>
      <c r="AA34" s="190"/>
      <c r="AB34" s="189" t="s">
        <v>211</v>
      </c>
      <c r="AC34" s="191"/>
      <c r="AD34" s="191"/>
      <c r="AE34" s="191"/>
      <c r="AF34" s="190"/>
    </row>
    <row r="35" spans="2:32" ht="15" customHeight="1" x14ac:dyDescent="0.2">
      <c r="B35" s="183"/>
      <c r="C35" s="184"/>
      <c r="D35" s="183"/>
      <c r="E35" s="185"/>
      <c r="F35" s="185"/>
      <c r="G35" s="185"/>
      <c r="H35" s="185"/>
      <c r="I35" s="185"/>
      <c r="J35" s="185"/>
      <c r="K35" s="185"/>
      <c r="L35" s="184"/>
      <c r="M35" s="186"/>
      <c r="N35" s="187"/>
      <c r="O35" s="187"/>
      <c r="P35" s="188"/>
      <c r="Q35" s="183"/>
      <c r="R35" s="185"/>
      <c r="S35" s="185"/>
      <c r="T35" s="185"/>
      <c r="U35" s="185"/>
      <c r="V35" s="184"/>
      <c r="W35" s="183"/>
      <c r="X35" s="185"/>
      <c r="Y35" s="185"/>
      <c r="Z35" s="185"/>
      <c r="AA35" s="184"/>
      <c r="AB35" s="183"/>
      <c r="AC35" s="185"/>
      <c r="AD35" s="185"/>
      <c r="AE35" s="185"/>
      <c r="AF35" s="184"/>
    </row>
    <row r="36" spans="2:32" ht="15" customHeight="1" x14ac:dyDescent="0.2">
      <c r="B36" s="177"/>
      <c r="C36" s="178"/>
      <c r="D36" s="177"/>
      <c r="E36" s="179"/>
      <c r="F36" s="179"/>
      <c r="G36" s="179"/>
      <c r="H36" s="179"/>
      <c r="I36" s="179"/>
      <c r="J36" s="179"/>
      <c r="K36" s="179"/>
      <c r="L36" s="178"/>
      <c r="M36" s="180"/>
      <c r="N36" s="181"/>
      <c r="O36" s="181"/>
      <c r="P36" s="182"/>
      <c r="Q36" s="177"/>
      <c r="R36" s="179"/>
      <c r="S36" s="179"/>
      <c r="T36" s="179"/>
      <c r="U36" s="179"/>
      <c r="V36" s="178"/>
      <c r="W36" s="177"/>
      <c r="X36" s="179"/>
      <c r="Y36" s="179"/>
      <c r="Z36" s="179"/>
      <c r="AA36" s="178"/>
      <c r="AB36" s="177"/>
      <c r="AC36" s="179"/>
      <c r="AD36" s="179"/>
      <c r="AE36" s="179"/>
      <c r="AF36" s="178"/>
    </row>
    <row r="37" spans="2:32" ht="15" customHeight="1" x14ac:dyDescent="0.2">
      <c r="B37" s="177"/>
      <c r="C37" s="178"/>
      <c r="D37" s="177"/>
      <c r="E37" s="179"/>
      <c r="F37" s="179"/>
      <c r="G37" s="179"/>
      <c r="H37" s="179"/>
      <c r="I37" s="179"/>
      <c r="J37" s="179"/>
      <c r="K37" s="179"/>
      <c r="L37" s="178"/>
      <c r="M37" s="180"/>
      <c r="N37" s="181"/>
      <c r="O37" s="181"/>
      <c r="P37" s="182"/>
      <c r="Q37" s="177"/>
      <c r="R37" s="179"/>
      <c r="S37" s="179"/>
      <c r="T37" s="179"/>
      <c r="U37" s="179"/>
      <c r="V37" s="178"/>
      <c r="W37" s="177"/>
      <c r="X37" s="179"/>
      <c r="Y37" s="179"/>
      <c r="Z37" s="179"/>
      <c r="AA37" s="178"/>
      <c r="AB37" s="177"/>
      <c r="AC37" s="179"/>
      <c r="AD37" s="179"/>
      <c r="AE37" s="179"/>
      <c r="AF37" s="178"/>
    </row>
    <row r="38" spans="2:32" ht="15.75" customHeight="1" thickBot="1" x14ac:dyDescent="0.25">
      <c r="B38" s="171"/>
      <c r="C38" s="172"/>
      <c r="D38" s="171"/>
      <c r="E38" s="173"/>
      <c r="F38" s="173"/>
      <c r="G38" s="173"/>
      <c r="H38" s="173"/>
      <c r="I38" s="173"/>
      <c r="J38" s="173"/>
      <c r="K38" s="173"/>
      <c r="L38" s="172"/>
      <c r="M38" s="174"/>
      <c r="N38" s="175"/>
      <c r="O38" s="175"/>
      <c r="P38" s="176"/>
      <c r="Q38" s="171"/>
      <c r="R38" s="173"/>
      <c r="S38" s="173"/>
      <c r="T38" s="173"/>
      <c r="U38" s="173"/>
      <c r="V38" s="172"/>
      <c r="W38" s="171"/>
      <c r="X38" s="173"/>
      <c r="Y38" s="173"/>
      <c r="Z38" s="173"/>
      <c r="AA38" s="172"/>
      <c r="AB38" s="171"/>
      <c r="AC38" s="173"/>
      <c r="AD38" s="173"/>
      <c r="AE38" s="173"/>
      <c r="AF38" s="172"/>
    </row>
    <row r="40" spans="2:32" ht="15" x14ac:dyDescent="0.25">
      <c r="B40" s="4" t="s">
        <v>22</v>
      </c>
    </row>
    <row r="41" spans="2:32" x14ac:dyDescent="0.2">
      <c r="B41" s="1" t="s">
        <v>23</v>
      </c>
    </row>
    <row r="43" spans="2:32" ht="15" x14ac:dyDescent="0.25">
      <c r="J43" s="4" t="s">
        <v>24</v>
      </c>
      <c r="P43" s="4" t="s">
        <v>25</v>
      </c>
    </row>
    <row r="45" spans="2:32" x14ac:dyDescent="0.2">
      <c r="B45" s="1" t="s">
        <v>52</v>
      </c>
      <c r="S45" s="163">
        <v>46203</v>
      </c>
      <c r="T45" s="163"/>
      <c r="U45" s="163"/>
      <c r="V45" s="163"/>
    </row>
    <row r="47" spans="2:32" x14ac:dyDescent="0.2">
      <c r="B47" s="1" t="s">
        <v>26</v>
      </c>
      <c r="G47" s="164"/>
      <c r="H47" s="164"/>
      <c r="I47" s="164"/>
      <c r="J47" s="164"/>
      <c r="K47" s="164"/>
      <c r="L47" s="164"/>
      <c r="N47" s="1" t="s">
        <v>27</v>
      </c>
      <c r="P47" s="163"/>
      <c r="Q47" s="163"/>
      <c r="R47" s="163"/>
      <c r="S47" s="163"/>
      <c r="U47" s="1" t="s">
        <v>28</v>
      </c>
      <c r="Y47" s="164"/>
      <c r="Z47" s="164"/>
      <c r="AA47" s="164"/>
      <c r="AB47" s="164"/>
      <c r="AC47" s="164"/>
      <c r="AD47" s="164"/>
      <c r="AE47" s="164"/>
    </row>
    <row r="50" spans="2:35" ht="15" x14ac:dyDescent="0.25">
      <c r="B50" s="4" t="s">
        <v>29</v>
      </c>
    </row>
    <row r="52" spans="2:35" x14ac:dyDescent="0.2">
      <c r="B52" s="1" t="s">
        <v>30</v>
      </c>
    </row>
    <row r="53" spans="2:35" ht="15" thickBot="1" x14ac:dyDescent="0.25"/>
    <row r="54" spans="2:35" ht="15" x14ac:dyDescent="0.25">
      <c r="B54" s="165" t="s">
        <v>8</v>
      </c>
      <c r="C54" s="166"/>
      <c r="D54" s="165" t="s">
        <v>15</v>
      </c>
      <c r="E54" s="166"/>
      <c r="F54" s="166"/>
      <c r="G54" s="166"/>
      <c r="H54" s="167"/>
      <c r="I54" s="165" t="s">
        <v>16</v>
      </c>
      <c r="J54" s="166"/>
      <c r="K54" s="166"/>
      <c r="L54" s="166"/>
      <c r="M54" s="167"/>
      <c r="N54" s="165" t="s">
        <v>9</v>
      </c>
      <c r="O54" s="166"/>
      <c r="P54" s="166"/>
      <c r="Q54" s="167"/>
      <c r="R54" s="168" t="s">
        <v>32</v>
      </c>
      <c r="S54" s="169"/>
      <c r="T54" s="169"/>
      <c r="U54" s="169"/>
      <c r="V54" s="169"/>
      <c r="W54" s="169"/>
      <c r="X54" s="169"/>
      <c r="Y54" s="169"/>
      <c r="Z54" s="169"/>
      <c r="AA54" s="169"/>
      <c r="AB54" s="169"/>
      <c r="AC54" s="169"/>
      <c r="AD54" s="169"/>
      <c r="AE54" s="169"/>
      <c r="AF54" s="170"/>
    </row>
    <row r="55" spans="2:35" ht="15.75" thickBot="1" x14ac:dyDescent="0.3">
      <c r="B55" s="148" t="s">
        <v>25</v>
      </c>
      <c r="C55" s="149"/>
      <c r="D55" s="148" t="s">
        <v>31</v>
      </c>
      <c r="E55" s="149"/>
      <c r="F55" s="149"/>
      <c r="G55" s="149"/>
      <c r="H55" s="150"/>
      <c r="I55" s="148" t="s">
        <v>31</v>
      </c>
      <c r="J55" s="149"/>
      <c r="K55" s="149"/>
      <c r="L55" s="149"/>
      <c r="M55" s="150"/>
      <c r="N55" s="148" t="s">
        <v>12</v>
      </c>
      <c r="O55" s="149"/>
      <c r="P55" s="149"/>
      <c r="Q55" s="150"/>
      <c r="R55" s="151"/>
      <c r="S55" s="152"/>
      <c r="T55" s="152"/>
      <c r="U55" s="152"/>
      <c r="V55" s="152"/>
      <c r="W55" s="152"/>
      <c r="X55" s="152"/>
      <c r="Y55" s="152"/>
      <c r="Z55" s="152"/>
      <c r="AA55" s="152"/>
      <c r="AB55" s="152"/>
      <c r="AC55" s="152"/>
      <c r="AD55" s="152"/>
      <c r="AE55" s="152"/>
      <c r="AF55" s="153"/>
    </row>
    <row r="56" spans="2:35" x14ac:dyDescent="0.2">
      <c r="B56" s="154">
        <f>B34</f>
        <v>0</v>
      </c>
      <c r="C56" s="155"/>
      <c r="D56" s="154" t="s">
        <v>213</v>
      </c>
      <c r="E56" s="156"/>
      <c r="F56" s="156"/>
      <c r="G56" s="156"/>
      <c r="H56" s="155"/>
      <c r="I56" s="154" t="s">
        <v>815</v>
      </c>
      <c r="J56" s="156"/>
      <c r="K56" s="156"/>
      <c r="L56" s="156"/>
      <c r="M56" s="155"/>
      <c r="N56" s="157">
        <f>M34</f>
        <v>46155</v>
      </c>
      <c r="O56" s="158"/>
      <c r="P56" s="158"/>
      <c r="Q56" s="159"/>
      <c r="R56" s="160" t="s">
        <v>1454</v>
      </c>
      <c r="S56" s="161"/>
      <c r="T56" s="161"/>
      <c r="U56" s="161"/>
      <c r="V56" s="161"/>
      <c r="W56" s="161"/>
      <c r="X56" s="161"/>
      <c r="Y56" s="161"/>
      <c r="Z56" s="161"/>
      <c r="AA56" s="161"/>
      <c r="AB56" s="161"/>
      <c r="AC56" s="161"/>
      <c r="AD56" s="161"/>
      <c r="AE56" s="161"/>
      <c r="AF56" s="162"/>
      <c r="AI56" s="1" t="s">
        <v>60</v>
      </c>
    </row>
    <row r="57" spans="2:35" x14ac:dyDescent="0.2">
      <c r="B57" s="139"/>
      <c r="C57" s="140"/>
      <c r="D57" s="139"/>
      <c r="E57" s="141"/>
      <c r="F57" s="141"/>
      <c r="G57" s="141"/>
      <c r="H57" s="140"/>
      <c r="I57" s="139"/>
      <c r="J57" s="141"/>
      <c r="K57" s="141"/>
      <c r="L57" s="141"/>
      <c r="M57" s="140"/>
      <c r="N57" s="142"/>
      <c r="O57" s="143"/>
      <c r="P57" s="143"/>
      <c r="Q57" s="144"/>
      <c r="R57" s="145"/>
      <c r="S57" s="146"/>
      <c r="T57" s="146"/>
      <c r="U57" s="146"/>
      <c r="V57" s="146"/>
      <c r="W57" s="146"/>
      <c r="X57" s="146"/>
      <c r="Y57" s="146"/>
      <c r="Z57" s="146"/>
      <c r="AA57" s="146"/>
      <c r="AB57" s="146"/>
      <c r="AC57" s="146"/>
      <c r="AD57" s="146"/>
      <c r="AE57" s="146"/>
      <c r="AF57" s="147"/>
    </row>
    <row r="58" spans="2:35" x14ac:dyDescent="0.2">
      <c r="B58" s="130"/>
      <c r="C58" s="131"/>
      <c r="D58" s="130"/>
      <c r="E58" s="132"/>
      <c r="F58" s="132"/>
      <c r="G58" s="132"/>
      <c r="H58" s="131"/>
      <c r="I58" s="130"/>
      <c r="J58" s="132"/>
      <c r="K58" s="132"/>
      <c r="L58" s="132"/>
      <c r="M58" s="131"/>
      <c r="N58" s="133"/>
      <c r="O58" s="134"/>
      <c r="P58" s="134"/>
      <c r="Q58" s="135"/>
      <c r="R58" s="136"/>
      <c r="S58" s="137"/>
      <c r="T58" s="137"/>
      <c r="U58" s="137"/>
      <c r="V58" s="137"/>
      <c r="W58" s="137"/>
      <c r="X58" s="137"/>
      <c r="Y58" s="137"/>
      <c r="Z58" s="137"/>
      <c r="AA58" s="137"/>
      <c r="AB58" s="137"/>
      <c r="AC58" s="137"/>
      <c r="AD58" s="137"/>
      <c r="AE58" s="137"/>
      <c r="AF58" s="138"/>
      <c r="AI58" s="5" t="s">
        <v>38</v>
      </c>
    </row>
    <row r="59" spans="2:35" x14ac:dyDescent="0.2">
      <c r="B59" s="130"/>
      <c r="C59" s="131"/>
      <c r="D59" s="130"/>
      <c r="E59" s="132"/>
      <c r="F59" s="132"/>
      <c r="G59" s="132"/>
      <c r="H59" s="131"/>
      <c r="I59" s="130"/>
      <c r="J59" s="132"/>
      <c r="K59" s="132"/>
      <c r="L59" s="132"/>
      <c r="M59" s="131"/>
      <c r="N59" s="133"/>
      <c r="O59" s="134"/>
      <c r="P59" s="134"/>
      <c r="Q59" s="135"/>
      <c r="R59" s="136"/>
      <c r="S59" s="137"/>
      <c r="T59" s="137"/>
      <c r="U59" s="137"/>
      <c r="V59" s="137"/>
      <c r="W59" s="137"/>
      <c r="X59" s="137"/>
      <c r="Y59" s="137"/>
      <c r="Z59" s="137"/>
      <c r="AA59" s="137"/>
      <c r="AB59" s="137"/>
      <c r="AC59" s="137"/>
      <c r="AD59" s="137"/>
      <c r="AE59" s="137"/>
      <c r="AF59" s="138"/>
    </row>
    <row r="60" spans="2:35" x14ac:dyDescent="0.2">
      <c r="B60" s="130"/>
      <c r="C60" s="131"/>
      <c r="D60" s="130"/>
      <c r="E60" s="132"/>
      <c r="F60" s="132"/>
      <c r="G60" s="132"/>
      <c r="H60" s="131"/>
      <c r="I60" s="130"/>
      <c r="J60" s="132"/>
      <c r="K60" s="132"/>
      <c r="L60" s="132"/>
      <c r="M60" s="131"/>
      <c r="N60" s="133"/>
      <c r="O60" s="134"/>
      <c r="P60" s="134"/>
      <c r="Q60" s="135"/>
      <c r="R60" s="136"/>
      <c r="S60" s="137"/>
      <c r="T60" s="137"/>
      <c r="U60" s="137"/>
      <c r="V60" s="137"/>
      <c r="W60" s="137"/>
      <c r="X60" s="137"/>
      <c r="Y60" s="137"/>
      <c r="Z60" s="137"/>
      <c r="AA60" s="137"/>
      <c r="AB60" s="137"/>
      <c r="AC60" s="137"/>
      <c r="AD60" s="137"/>
      <c r="AE60" s="137"/>
      <c r="AF60" s="138"/>
    </row>
    <row r="61" spans="2:35" x14ac:dyDescent="0.2">
      <c r="B61" s="130"/>
      <c r="C61" s="131"/>
      <c r="D61" s="130"/>
      <c r="E61" s="132"/>
      <c r="F61" s="132"/>
      <c r="G61" s="132"/>
      <c r="H61" s="131"/>
      <c r="I61" s="130"/>
      <c r="J61" s="132"/>
      <c r="K61" s="132"/>
      <c r="L61" s="132"/>
      <c r="M61" s="131"/>
      <c r="N61" s="133"/>
      <c r="O61" s="134"/>
      <c r="P61" s="134"/>
      <c r="Q61" s="135"/>
      <c r="R61" s="136"/>
      <c r="S61" s="137"/>
      <c r="T61" s="137"/>
      <c r="U61" s="137"/>
      <c r="V61" s="137"/>
      <c r="W61" s="137"/>
      <c r="X61" s="137"/>
      <c r="Y61" s="137"/>
      <c r="Z61" s="137"/>
      <c r="AA61" s="137"/>
      <c r="AB61" s="137"/>
      <c r="AC61" s="137"/>
      <c r="AD61" s="137"/>
      <c r="AE61" s="137"/>
      <c r="AF61" s="138"/>
    </row>
    <row r="62" spans="2:35" x14ac:dyDescent="0.2">
      <c r="B62" s="130"/>
      <c r="C62" s="131"/>
      <c r="D62" s="130"/>
      <c r="E62" s="132"/>
      <c r="F62" s="132"/>
      <c r="G62" s="132"/>
      <c r="H62" s="131"/>
      <c r="I62" s="130"/>
      <c r="J62" s="132"/>
      <c r="K62" s="132"/>
      <c r="L62" s="132"/>
      <c r="M62" s="131"/>
      <c r="N62" s="133"/>
      <c r="O62" s="134"/>
      <c r="P62" s="134"/>
      <c r="Q62" s="135"/>
      <c r="R62" s="136"/>
      <c r="S62" s="137"/>
      <c r="T62" s="137"/>
      <c r="U62" s="137"/>
      <c r="V62" s="137"/>
      <c r="W62" s="137"/>
      <c r="X62" s="137"/>
      <c r="Y62" s="137"/>
      <c r="Z62" s="137"/>
      <c r="AA62" s="137"/>
      <c r="AB62" s="137"/>
      <c r="AC62" s="137"/>
      <c r="AD62" s="137"/>
      <c r="AE62" s="137"/>
      <c r="AF62" s="138"/>
    </row>
    <row r="63" spans="2:35" ht="15.75" customHeight="1" thickBot="1" x14ac:dyDescent="0.25">
      <c r="B63" s="120"/>
      <c r="C63" s="121"/>
      <c r="D63" s="120"/>
      <c r="E63" s="122"/>
      <c r="F63" s="122"/>
      <c r="G63" s="122"/>
      <c r="H63" s="121"/>
      <c r="I63" s="120"/>
      <c r="J63" s="122"/>
      <c r="K63" s="122"/>
      <c r="L63" s="122"/>
      <c r="M63" s="121"/>
      <c r="N63" s="123"/>
      <c r="O63" s="124"/>
      <c r="P63" s="124"/>
      <c r="Q63" s="125"/>
      <c r="R63" s="126"/>
      <c r="S63" s="127"/>
      <c r="T63" s="127"/>
      <c r="U63" s="127"/>
      <c r="V63" s="127"/>
      <c r="W63" s="127"/>
      <c r="X63" s="127"/>
      <c r="Y63" s="127"/>
      <c r="Z63" s="127"/>
      <c r="AA63" s="127"/>
      <c r="AB63" s="127"/>
      <c r="AC63" s="127"/>
      <c r="AD63" s="127"/>
      <c r="AE63" s="127"/>
      <c r="AF63" s="128"/>
    </row>
    <row r="68" spans="2:35" ht="15" x14ac:dyDescent="0.25">
      <c r="B68" s="129" t="s">
        <v>49</v>
      </c>
      <c r="C68" s="129"/>
      <c r="D68" s="129"/>
      <c r="E68" s="129"/>
      <c r="F68" s="129"/>
      <c r="G68" s="129"/>
      <c r="H68" s="129"/>
      <c r="I68" s="129"/>
      <c r="J68" s="129"/>
      <c r="K68" s="129"/>
      <c r="L68" s="129"/>
      <c r="M68" s="129"/>
      <c r="N68" s="129"/>
      <c r="O68" s="129"/>
      <c r="P68" s="129"/>
      <c r="Q68" s="129"/>
      <c r="R68" s="129"/>
      <c r="S68" s="129"/>
      <c r="T68" s="129"/>
      <c r="U68" s="129"/>
      <c r="V68" s="129"/>
      <c r="W68" s="129"/>
      <c r="X68" s="129"/>
      <c r="Y68" s="129"/>
      <c r="Z68" s="129"/>
      <c r="AA68" s="129"/>
      <c r="AB68" s="129"/>
      <c r="AC68" s="129"/>
      <c r="AD68" s="129"/>
      <c r="AE68" s="129"/>
      <c r="AF68" s="129"/>
    </row>
    <row r="70" spans="2:35" ht="15" x14ac:dyDescent="0.25">
      <c r="B70" s="6">
        <v>1</v>
      </c>
      <c r="C70" s="6"/>
      <c r="D70" s="6" t="s">
        <v>34</v>
      </c>
      <c r="E70" s="6"/>
      <c r="F70" s="6"/>
      <c r="G70" s="6"/>
      <c r="H70" s="6"/>
      <c r="I70" s="6"/>
      <c r="J70" s="6"/>
      <c r="K70" s="6"/>
      <c r="L70" s="6"/>
      <c r="M70" s="6"/>
      <c r="N70" s="6"/>
      <c r="O70" s="6"/>
      <c r="P70" s="6"/>
      <c r="Q70" s="6"/>
      <c r="R70" s="6"/>
      <c r="S70" s="6"/>
      <c r="T70" s="6"/>
      <c r="U70" s="6"/>
      <c r="V70" s="6"/>
      <c r="W70" s="6"/>
      <c r="X70" s="6"/>
      <c r="Y70" s="6"/>
      <c r="Z70" s="6"/>
      <c r="AA70" s="6"/>
      <c r="AB70" s="6"/>
      <c r="AC70" s="6">
        <v>4</v>
      </c>
      <c r="AD70" s="4"/>
      <c r="AE70" s="4"/>
      <c r="AF70" s="4"/>
      <c r="AI70" s="1" t="s">
        <v>51</v>
      </c>
    </row>
    <row r="71" spans="2:35" ht="15" x14ac:dyDescent="0.25">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row>
    <row r="72" spans="2:35" ht="15" x14ac:dyDescent="0.25">
      <c r="B72" s="6">
        <v>2</v>
      </c>
      <c r="C72" s="6"/>
      <c r="D72" s="6" t="s">
        <v>35</v>
      </c>
      <c r="E72" s="6"/>
      <c r="F72" s="6"/>
      <c r="G72" s="6"/>
      <c r="H72" s="6"/>
      <c r="I72" s="6"/>
      <c r="J72" s="6"/>
      <c r="K72" s="6"/>
      <c r="L72" s="6"/>
      <c r="M72" s="6"/>
      <c r="N72" s="6"/>
      <c r="O72" s="6"/>
      <c r="P72" s="6"/>
      <c r="Q72" s="6"/>
      <c r="R72" s="6"/>
      <c r="S72" s="6"/>
      <c r="T72" s="6"/>
      <c r="U72" s="6"/>
      <c r="V72" s="6"/>
      <c r="W72" s="6"/>
      <c r="X72" s="6"/>
      <c r="Y72" s="6"/>
      <c r="Z72" s="6"/>
      <c r="AA72" s="6"/>
      <c r="AB72" s="6"/>
      <c r="AC72" s="6">
        <v>5</v>
      </c>
      <c r="AD72" s="4"/>
      <c r="AE72" s="4"/>
      <c r="AF72" s="4"/>
    </row>
    <row r="73" spans="2:35" ht="15" x14ac:dyDescent="0.25">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row>
    <row r="74" spans="2:35" ht="15" x14ac:dyDescent="0.25">
      <c r="B74" s="6">
        <v>3</v>
      </c>
      <c r="C74" s="6"/>
      <c r="D74" s="6" t="s">
        <v>36</v>
      </c>
      <c r="E74" s="6"/>
      <c r="F74" s="6"/>
      <c r="G74" s="6"/>
      <c r="H74" s="6"/>
      <c r="I74" s="6"/>
      <c r="J74" s="6"/>
      <c r="K74" s="6"/>
      <c r="L74" s="6"/>
      <c r="M74" s="6"/>
      <c r="N74" s="6"/>
      <c r="O74" s="6"/>
      <c r="P74" s="6"/>
      <c r="Q74" s="6"/>
      <c r="R74" s="6"/>
      <c r="S74" s="6"/>
      <c r="T74" s="6"/>
      <c r="U74" s="6"/>
      <c r="V74" s="6"/>
      <c r="W74" s="6"/>
      <c r="X74" s="6"/>
      <c r="Y74" s="6"/>
      <c r="Z74" s="6"/>
      <c r="AA74" s="6"/>
      <c r="AB74" s="6"/>
      <c r="AC74" s="6">
        <v>6</v>
      </c>
      <c r="AD74" s="4"/>
      <c r="AE74" s="4"/>
      <c r="AF74" s="4"/>
    </row>
    <row r="75" spans="2:35" ht="15" x14ac:dyDescent="0.25">
      <c r="B75" s="4"/>
      <c r="C75" s="4"/>
      <c r="D75" s="119">
        <v>3.1</v>
      </c>
      <c r="E75" s="119"/>
      <c r="F75" s="6" t="s">
        <v>37</v>
      </c>
      <c r="G75" s="6"/>
      <c r="H75" s="6"/>
      <c r="I75" s="6"/>
      <c r="J75" s="6"/>
      <c r="K75" s="6"/>
      <c r="L75" s="6"/>
      <c r="M75" s="6"/>
      <c r="N75" s="6"/>
      <c r="O75" s="6"/>
      <c r="P75" s="6"/>
      <c r="Q75" s="6"/>
      <c r="R75" s="6"/>
      <c r="S75" s="6"/>
      <c r="T75" s="6"/>
      <c r="U75" s="6"/>
      <c r="V75" s="6"/>
      <c r="W75" s="6"/>
      <c r="X75" s="6"/>
      <c r="Y75" s="6"/>
      <c r="Z75" s="6"/>
      <c r="AA75" s="6"/>
      <c r="AB75" s="6"/>
      <c r="AC75" s="6">
        <v>7</v>
      </c>
      <c r="AD75" s="4"/>
      <c r="AE75" s="4"/>
      <c r="AF75" s="4"/>
    </row>
    <row r="76" spans="2:35" ht="15" x14ac:dyDescent="0.25">
      <c r="B76" s="4"/>
      <c r="C76" s="4"/>
      <c r="D76" s="119">
        <v>3.2</v>
      </c>
      <c r="E76" s="119"/>
      <c r="F76" s="6" t="s">
        <v>39</v>
      </c>
      <c r="G76" s="6"/>
      <c r="H76" s="6"/>
      <c r="I76" s="6"/>
      <c r="J76" s="6"/>
      <c r="K76" s="6"/>
      <c r="L76" s="6"/>
      <c r="M76" s="6"/>
      <c r="N76" s="6"/>
      <c r="O76" s="6"/>
      <c r="P76" s="6"/>
      <c r="Q76" s="6"/>
      <c r="R76" s="6"/>
      <c r="S76" s="6"/>
      <c r="T76" s="6"/>
      <c r="U76" s="6"/>
      <c r="V76" s="6"/>
      <c r="W76" s="6"/>
      <c r="X76" s="6"/>
      <c r="Y76" s="6"/>
      <c r="Z76" s="6"/>
      <c r="AA76" s="6"/>
      <c r="AB76" s="6"/>
      <c r="AC76" s="6">
        <v>7</v>
      </c>
      <c r="AD76" s="4"/>
      <c r="AE76" s="4"/>
      <c r="AF76" s="4"/>
    </row>
    <row r="77" spans="2:35" ht="15" x14ac:dyDescent="0.25">
      <c r="B77" s="4"/>
      <c r="C77" s="4"/>
      <c r="D77" s="119">
        <v>3.3</v>
      </c>
      <c r="E77" s="119"/>
      <c r="F77" s="6" t="s">
        <v>40</v>
      </c>
      <c r="G77" s="6"/>
      <c r="H77" s="6"/>
      <c r="I77" s="6"/>
      <c r="J77" s="6"/>
      <c r="K77" s="6"/>
      <c r="L77" s="6"/>
      <c r="M77" s="6"/>
      <c r="N77" s="6"/>
      <c r="O77" s="6"/>
      <c r="P77" s="6"/>
      <c r="Q77" s="6"/>
      <c r="R77" s="6"/>
      <c r="S77" s="6"/>
      <c r="T77" s="6"/>
      <c r="U77" s="6"/>
      <c r="V77" s="6"/>
      <c r="W77" s="6"/>
      <c r="X77" s="6"/>
      <c r="Y77" s="6"/>
      <c r="Z77" s="6"/>
      <c r="AA77" s="6"/>
      <c r="AB77" s="6"/>
      <c r="AC77" s="6">
        <v>8</v>
      </c>
      <c r="AD77" s="4"/>
      <c r="AE77" s="4"/>
      <c r="AF77" s="4"/>
    </row>
    <row r="78" spans="2:35" ht="15" x14ac:dyDescent="0.25">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row>
    <row r="79" spans="2:35" ht="15" x14ac:dyDescent="0.25">
      <c r="B79" s="6">
        <v>4</v>
      </c>
      <c r="C79" s="6"/>
      <c r="D79" s="6" t="s">
        <v>41</v>
      </c>
      <c r="E79" s="6"/>
      <c r="F79" s="6"/>
      <c r="G79" s="6"/>
      <c r="H79" s="6"/>
      <c r="I79" s="6"/>
      <c r="J79" s="6"/>
      <c r="K79" s="6"/>
      <c r="L79" s="6"/>
      <c r="M79" s="6"/>
      <c r="N79" s="6"/>
      <c r="O79" s="6"/>
      <c r="P79" s="6"/>
      <c r="Q79" s="6"/>
      <c r="R79" s="6"/>
      <c r="S79" s="6"/>
      <c r="T79" s="6"/>
      <c r="U79" s="6"/>
      <c r="V79" s="6"/>
      <c r="W79" s="6"/>
      <c r="X79" s="6"/>
      <c r="Y79" s="6"/>
      <c r="Z79" s="6"/>
      <c r="AA79" s="6"/>
      <c r="AB79" s="6"/>
      <c r="AC79" s="6">
        <v>10</v>
      </c>
      <c r="AD79" s="4"/>
      <c r="AE79" s="4"/>
      <c r="AF79" s="4"/>
    </row>
    <row r="80" spans="2:35" ht="15" x14ac:dyDescent="0.25">
      <c r="B80" s="4"/>
      <c r="C80" s="4"/>
      <c r="D80" s="119">
        <v>4.0999999999999996</v>
      </c>
      <c r="E80" s="119"/>
      <c r="F80" s="6" t="s">
        <v>42</v>
      </c>
      <c r="G80" s="6"/>
      <c r="H80" s="6"/>
      <c r="I80" s="6"/>
      <c r="J80" s="6"/>
      <c r="K80" s="6"/>
      <c r="L80" s="6"/>
      <c r="M80" s="6"/>
      <c r="N80" s="6"/>
      <c r="O80" s="6"/>
      <c r="P80" s="6"/>
      <c r="Q80" s="6"/>
      <c r="R80" s="6"/>
      <c r="S80" s="6"/>
      <c r="T80" s="6"/>
      <c r="U80" s="6"/>
      <c r="V80" s="6"/>
      <c r="W80" s="6"/>
      <c r="X80" s="6"/>
      <c r="Y80" s="6"/>
      <c r="Z80" s="6"/>
      <c r="AA80" s="6"/>
      <c r="AB80" s="6"/>
      <c r="AC80" s="6">
        <v>10</v>
      </c>
      <c r="AD80" s="4"/>
      <c r="AE80" s="4"/>
      <c r="AF80" s="4"/>
    </row>
    <row r="81" spans="2:32" ht="15" x14ac:dyDescent="0.25">
      <c r="B81" s="4"/>
      <c r="C81" s="4"/>
      <c r="D81" s="119">
        <v>4.2</v>
      </c>
      <c r="E81" s="119"/>
      <c r="F81" s="6" t="s">
        <v>43</v>
      </c>
      <c r="G81" s="6"/>
      <c r="H81" s="6"/>
      <c r="I81" s="6"/>
      <c r="J81" s="6"/>
      <c r="K81" s="6"/>
      <c r="L81" s="6"/>
      <c r="M81" s="6"/>
      <c r="N81" s="6"/>
      <c r="O81" s="6"/>
      <c r="P81" s="6"/>
      <c r="Q81" s="6"/>
      <c r="R81" s="6"/>
      <c r="S81" s="6"/>
      <c r="T81" s="6"/>
      <c r="U81" s="6"/>
      <c r="V81" s="6"/>
      <c r="W81" s="6"/>
      <c r="X81" s="6"/>
      <c r="Y81" s="6"/>
      <c r="Z81" s="6"/>
      <c r="AA81" s="6"/>
      <c r="AB81" s="6"/>
      <c r="AC81" s="6">
        <v>10</v>
      </c>
      <c r="AD81" s="4"/>
      <c r="AE81" s="4"/>
      <c r="AF81" s="4"/>
    </row>
    <row r="82" spans="2:32" ht="15" x14ac:dyDescent="0.25">
      <c r="B82" s="4"/>
      <c r="C82" s="4"/>
      <c r="D82" s="119">
        <v>4.3</v>
      </c>
      <c r="E82" s="119"/>
      <c r="F82" s="6" t="s">
        <v>44</v>
      </c>
      <c r="G82" s="6"/>
      <c r="H82" s="6"/>
      <c r="I82" s="6"/>
      <c r="J82" s="6"/>
      <c r="K82" s="6"/>
      <c r="L82" s="6"/>
      <c r="M82" s="6"/>
      <c r="N82" s="6"/>
      <c r="O82" s="6"/>
      <c r="P82" s="6"/>
      <c r="Q82" s="6"/>
      <c r="R82" s="6"/>
      <c r="S82" s="6"/>
      <c r="T82" s="6"/>
      <c r="U82" s="6"/>
      <c r="V82" s="6"/>
      <c r="W82" s="6"/>
      <c r="X82" s="6"/>
      <c r="Y82" s="6"/>
      <c r="Z82" s="6"/>
      <c r="AA82" s="6"/>
      <c r="AB82" s="6"/>
      <c r="AC82" s="6">
        <v>10</v>
      </c>
      <c r="AD82" s="4"/>
      <c r="AE82" s="4"/>
      <c r="AF82" s="4"/>
    </row>
    <row r="83" spans="2:32" ht="15" x14ac:dyDescent="0.25">
      <c r="B83" s="4"/>
      <c r="C83" s="4"/>
      <c r="D83" s="119">
        <v>4.4000000000000004</v>
      </c>
      <c r="E83" s="119"/>
      <c r="F83" s="6" t="s">
        <v>45</v>
      </c>
      <c r="G83" s="6"/>
      <c r="H83" s="6"/>
      <c r="I83" s="6"/>
      <c r="J83" s="6"/>
      <c r="K83" s="6"/>
      <c r="L83" s="6"/>
      <c r="M83" s="6"/>
      <c r="N83" s="6"/>
      <c r="O83" s="6"/>
      <c r="P83" s="6"/>
      <c r="Q83" s="6"/>
      <c r="R83" s="6"/>
      <c r="S83" s="6"/>
      <c r="T83" s="6"/>
      <c r="U83" s="6"/>
      <c r="V83" s="6"/>
      <c r="W83" s="6"/>
      <c r="X83" s="6"/>
      <c r="Y83" s="6"/>
      <c r="Z83" s="6"/>
      <c r="AA83" s="6"/>
      <c r="AB83" s="6"/>
      <c r="AC83" s="6">
        <v>12</v>
      </c>
      <c r="AD83" s="4"/>
      <c r="AE83" s="4"/>
      <c r="AF83" s="4"/>
    </row>
    <row r="84" spans="2:32" ht="15" x14ac:dyDescent="0.25">
      <c r="B84" s="4"/>
      <c r="C84" s="4"/>
      <c r="D84" s="119">
        <v>4.5</v>
      </c>
      <c r="E84" s="119"/>
      <c r="F84" s="6" t="s">
        <v>46</v>
      </c>
      <c r="G84" s="6"/>
      <c r="H84" s="6"/>
      <c r="I84" s="6"/>
      <c r="J84" s="6"/>
      <c r="K84" s="6"/>
      <c r="L84" s="6"/>
      <c r="M84" s="6"/>
      <c r="N84" s="6"/>
      <c r="O84" s="6"/>
      <c r="P84" s="6"/>
      <c r="Q84" s="6"/>
      <c r="R84" s="6"/>
      <c r="S84" s="6"/>
      <c r="T84" s="6"/>
      <c r="U84" s="6"/>
      <c r="V84" s="6"/>
      <c r="W84" s="6"/>
      <c r="X84" s="6"/>
      <c r="Y84" s="6"/>
      <c r="Z84" s="6"/>
      <c r="AA84" s="6"/>
      <c r="AB84" s="6"/>
      <c r="AC84" s="6">
        <v>12</v>
      </c>
      <c r="AD84" s="4"/>
      <c r="AE84" s="4"/>
      <c r="AF84" s="4"/>
    </row>
    <row r="85" spans="2:32" ht="15" x14ac:dyDescent="0.25">
      <c r="B85" s="4"/>
      <c r="C85" s="4"/>
      <c r="D85" s="119">
        <v>4.5999999999999996</v>
      </c>
      <c r="E85" s="119"/>
      <c r="F85" s="6" t="s">
        <v>1033</v>
      </c>
      <c r="G85" s="6"/>
      <c r="H85" s="6"/>
      <c r="I85" s="6"/>
      <c r="J85" s="6"/>
      <c r="K85" s="6"/>
      <c r="L85" s="6"/>
      <c r="M85" s="6"/>
      <c r="N85" s="6"/>
      <c r="O85" s="6"/>
      <c r="P85" s="6"/>
      <c r="Q85" s="6"/>
      <c r="R85" s="6"/>
      <c r="S85" s="6"/>
      <c r="T85" s="6"/>
      <c r="U85" s="6"/>
      <c r="V85" s="6"/>
      <c r="W85" s="6"/>
      <c r="X85" s="6"/>
      <c r="Y85" s="6"/>
      <c r="Z85" s="6"/>
      <c r="AA85" s="6"/>
      <c r="AB85" s="6"/>
      <c r="AC85" s="6">
        <v>12</v>
      </c>
      <c r="AD85" s="4"/>
      <c r="AE85" s="4"/>
      <c r="AF85" s="4"/>
    </row>
    <row r="86" spans="2:32" ht="15" x14ac:dyDescent="0.25">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row>
    <row r="87" spans="2:32" ht="15" x14ac:dyDescent="0.25">
      <c r="B87" s="6">
        <v>5</v>
      </c>
      <c r="C87" s="6"/>
      <c r="D87" s="6" t="s">
        <v>47</v>
      </c>
      <c r="E87" s="6"/>
      <c r="F87" s="6"/>
      <c r="G87" s="6"/>
      <c r="H87" s="6"/>
      <c r="I87" s="6"/>
      <c r="J87" s="6"/>
      <c r="K87" s="6"/>
      <c r="L87" s="6"/>
      <c r="M87" s="6"/>
      <c r="N87" s="6"/>
      <c r="O87" s="6"/>
      <c r="P87" s="6"/>
      <c r="Q87" s="6"/>
      <c r="R87" s="6"/>
      <c r="S87" s="6"/>
      <c r="T87" s="6"/>
      <c r="U87" s="6"/>
      <c r="V87" s="6"/>
      <c r="W87" s="6"/>
      <c r="X87" s="6"/>
      <c r="Y87" s="6"/>
      <c r="Z87" s="6"/>
      <c r="AA87" s="6"/>
      <c r="AB87" s="6"/>
      <c r="AC87" s="6">
        <v>15</v>
      </c>
      <c r="AD87" s="4"/>
      <c r="AE87" s="4"/>
      <c r="AF87" s="4"/>
    </row>
    <row r="88" spans="2:32" ht="15" x14ac:dyDescent="0.25">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row>
    <row r="89" spans="2:32" ht="15" x14ac:dyDescent="0.25">
      <c r="B89" s="6">
        <v>6</v>
      </c>
      <c r="C89" s="6"/>
      <c r="D89" s="6" t="s">
        <v>1446</v>
      </c>
      <c r="E89" s="6"/>
      <c r="F89" s="6"/>
      <c r="G89" s="6"/>
      <c r="H89" s="6"/>
      <c r="I89" s="6"/>
      <c r="J89" s="6"/>
      <c r="K89" s="6"/>
      <c r="L89" s="6"/>
      <c r="M89" s="6"/>
      <c r="N89" s="6"/>
      <c r="O89" s="6"/>
      <c r="P89" s="6"/>
      <c r="Q89" s="6"/>
      <c r="R89" s="6"/>
      <c r="S89" s="6"/>
      <c r="T89" s="6"/>
      <c r="U89" s="6"/>
      <c r="V89" s="6"/>
      <c r="W89" s="6"/>
      <c r="X89" s="6"/>
      <c r="Y89" s="6"/>
      <c r="Z89" s="6"/>
      <c r="AA89" s="6"/>
      <c r="AB89" s="6"/>
      <c r="AC89" s="6">
        <v>17</v>
      </c>
      <c r="AD89" s="4"/>
      <c r="AE89" s="4"/>
      <c r="AF89" s="4"/>
    </row>
    <row r="90" spans="2:32" ht="15" x14ac:dyDescent="0.25">
      <c r="B90" s="4"/>
      <c r="C90" s="4"/>
      <c r="D90" s="119">
        <v>6.1</v>
      </c>
      <c r="E90" s="119"/>
      <c r="F90" s="6" t="s">
        <v>1447</v>
      </c>
      <c r="G90" s="6"/>
      <c r="H90" s="6"/>
      <c r="I90" s="6"/>
      <c r="J90" s="6"/>
      <c r="K90" s="6"/>
      <c r="L90" s="6"/>
      <c r="M90" s="6"/>
      <c r="N90" s="6"/>
      <c r="O90" s="6"/>
      <c r="P90" s="6"/>
      <c r="Q90" s="6"/>
      <c r="R90" s="6"/>
      <c r="S90" s="6"/>
      <c r="T90" s="6"/>
      <c r="U90" s="6"/>
      <c r="V90" s="6"/>
      <c r="W90" s="6"/>
      <c r="X90" s="6"/>
      <c r="Y90" s="6"/>
      <c r="Z90" s="6"/>
      <c r="AA90" s="6"/>
      <c r="AB90" s="6"/>
      <c r="AC90" s="6">
        <v>17</v>
      </c>
      <c r="AD90" s="4"/>
      <c r="AE90" s="4"/>
      <c r="AF90" s="4"/>
    </row>
    <row r="91" spans="2:32" ht="15" x14ac:dyDescent="0.25">
      <c r="B91" s="4"/>
      <c r="C91" s="4"/>
      <c r="D91" s="119">
        <v>6.2</v>
      </c>
      <c r="E91" s="119"/>
      <c r="F91" s="6" t="s">
        <v>1448</v>
      </c>
      <c r="G91" s="6"/>
      <c r="H91" s="6"/>
      <c r="I91" s="6"/>
      <c r="J91" s="6"/>
      <c r="K91" s="6"/>
      <c r="L91" s="6"/>
      <c r="M91" s="6"/>
      <c r="N91" s="6"/>
      <c r="O91" s="6"/>
      <c r="P91" s="6"/>
      <c r="Q91" s="6"/>
      <c r="R91" s="6"/>
      <c r="S91" s="6"/>
      <c r="T91" s="6"/>
      <c r="U91" s="6"/>
      <c r="V91" s="6"/>
      <c r="W91" s="6"/>
      <c r="X91" s="6"/>
      <c r="Y91" s="6"/>
      <c r="Z91" s="6"/>
      <c r="AA91" s="6"/>
      <c r="AB91" s="6"/>
      <c r="AC91" s="6">
        <v>19</v>
      </c>
      <c r="AD91" s="4"/>
      <c r="AE91" s="4"/>
      <c r="AF91" s="4"/>
    </row>
    <row r="92" spans="2:32" ht="15" x14ac:dyDescent="0.25">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row>
    <row r="93" spans="2:32" ht="15" x14ac:dyDescent="0.25">
      <c r="B93" s="6">
        <v>7</v>
      </c>
      <c r="C93" s="6"/>
      <c r="D93" s="6" t="s">
        <v>48</v>
      </c>
      <c r="E93" s="6"/>
      <c r="F93" s="6"/>
      <c r="G93" s="6"/>
      <c r="H93" s="6"/>
      <c r="I93" s="6"/>
      <c r="J93" s="6"/>
      <c r="K93" s="6"/>
      <c r="L93" s="6"/>
      <c r="M93" s="6"/>
      <c r="N93" s="6"/>
      <c r="O93" s="6"/>
      <c r="P93" s="6"/>
      <c r="Q93" s="6"/>
      <c r="R93" s="6"/>
      <c r="S93" s="6"/>
      <c r="T93" s="6"/>
      <c r="U93" s="6"/>
      <c r="V93" s="6"/>
      <c r="W93" s="6"/>
      <c r="X93" s="6"/>
      <c r="Y93" s="6"/>
      <c r="Z93" s="6"/>
      <c r="AA93" s="6"/>
      <c r="AB93" s="6"/>
      <c r="AC93" s="6">
        <v>26</v>
      </c>
      <c r="AD93" s="4"/>
      <c r="AE93" s="4"/>
      <c r="AF93" s="4"/>
    </row>
    <row r="94" spans="2:32" ht="15" x14ac:dyDescent="0.25">
      <c r="B94" s="4"/>
      <c r="C94" s="4"/>
      <c r="D94" s="119">
        <v>7.1</v>
      </c>
      <c r="E94" s="119"/>
      <c r="F94" s="6" t="s">
        <v>1449</v>
      </c>
      <c r="G94" s="6"/>
      <c r="H94" s="6"/>
      <c r="I94" s="6"/>
      <c r="J94" s="6"/>
      <c r="K94" s="6"/>
      <c r="L94" s="6"/>
      <c r="M94" s="6"/>
      <c r="N94" s="6"/>
      <c r="O94" s="6"/>
      <c r="P94" s="6"/>
      <c r="Q94" s="6"/>
      <c r="R94" s="6"/>
      <c r="S94" s="6"/>
      <c r="T94" s="6"/>
      <c r="U94" s="6"/>
      <c r="V94" s="6"/>
      <c r="W94" s="6"/>
      <c r="X94" s="6"/>
      <c r="Y94" s="6"/>
      <c r="Z94" s="6"/>
      <c r="AA94" s="6"/>
      <c r="AB94" s="6"/>
      <c r="AC94" s="6">
        <v>27</v>
      </c>
      <c r="AD94" s="4"/>
      <c r="AE94" s="4"/>
      <c r="AF94" s="4"/>
    </row>
    <row r="95" spans="2:32" ht="15" x14ac:dyDescent="0.25">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row>
    <row r="96" spans="2:32" ht="15" x14ac:dyDescent="0.25">
      <c r="B96" s="6">
        <v>8</v>
      </c>
      <c r="C96" s="6"/>
      <c r="D96" s="6" t="s">
        <v>1450</v>
      </c>
      <c r="E96" s="6"/>
      <c r="F96" s="6"/>
      <c r="G96" s="6"/>
      <c r="H96" s="6"/>
      <c r="I96" s="6"/>
      <c r="J96" s="6"/>
      <c r="K96" s="6"/>
      <c r="L96" s="6"/>
      <c r="M96" s="6"/>
      <c r="N96" s="6"/>
      <c r="O96" s="6"/>
      <c r="P96" s="6"/>
      <c r="Q96" s="6"/>
      <c r="R96" s="6"/>
      <c r="S96" s="6"/>
      <c r="T96" s="6"/>
      <c r="U96" s="6"/>
      <c r="V96" s="6"/>
      <c r="W96" s="6"/>
      <c r="X96" s="6"/>
      <c r="Y96" s="6"/>
      <c r="Z96" s="6"/>
      <c r="AA96" s="6"/>
      <c r="AB96" s="6"/>
      <c r="AC96" s="6">
        <v>34</v>
      </c>
      <c r="AD96" s="4"/>
      <c r="AE96" s="4"/>
      <c r="AF96" s="4"/>
    </row>
    <row r="97" spans="2:32" ht="15" x14ac:dyDescent="0.25">
      <c r="B97" s="4"/>
      <c r="C97" s="4"/>
      <c r="D97" s="119">
        <v>8.1</v>
      </c>
      <c r="E97" s="119"/>
      <c r="F97" s="6" t="s">
        <v>808</v>
      </c>
      <c r="G97" s="6"/>
      <c r="H97" s="6"/>
      <c r="I97" s="6"/>
      <c r="J97" s="6"/>
      <c r="K97" s="6"/>
      <c r="L97" s="6"/>
      <c r="M97" s="6"/>
      <c r="N97" s="6"/>
      <c r="O97" s="6"/>
      <c r="P97" s="6"/>
      <c r="Q97" s="6"/>
      <c r="R97" s="6"/>
      <c r="S97" s="6"/>
      <c r="T97" s="6"/>
      <c r="U97" s="6"/>
      <c r="V97" s="6"/>
      <c r="W97" s="6"/>
      <c r="X97" s="6"/>
      <c r="Y97" s="6"/>
      <c r="Z97" s="6"/>
      <c r="AA97" s="6"/>
      <c r="AB97" s="6"/>
      <c r="AC97" s="6">
        <v>34</v>
      </c>
      <c r="AD97" s="4"/>
      <c r="AE97" s="4"/>
      <c r="AF97" s="4"/>
    </row>
    <row r="98" spans="2:32" ht="15" x14ac:dyDescent="0.25">
      <c r="B98" s="4"/>
      <c r="C98" s="4"/>
      <c r="D98" s="119">
        <v>8.1999999999999993</v>
      </c>
      <c r="E98" s="119"/>
      <c r="F98" s="6" t="s">
        <v>807</v>
      </c>
      <c r="G98" s="6"/>
      <c r="H98" s="6"/>
      <c r="I98" s="6"/>
      <c r="J98" s="6"/>
      <c r="K98" s="6"/>
      <c r="L98" s="6"/>
      <c r="M98" s="6"/>
      <c r="N98" s="6"/>
      <c r="O98" s="6"/>
      <c r="P98" s="6"/>
      <c r="Q98" s="6"/>
      <c r="R98" s="6"/>
      <c r="S98" s="6"/>
      <c r="T98" s="6"/>
      <c r="U98" s="6"/>
      <c r="V98" s="6"/>
      <c r="W98" s="6"/>
      <c r="X98" s="6"/>
      <c r="Y98" s="6"/>
      <c r="Z98" s="6"/>
      <c r="AA98" s="6"/>
      <c r="AB98" s="6"/>
      <c r="AC98" s="6">
        <v>37</v>
      </c>
      <c r="AD98" s="4"/>
      <c r="AE98" s="4"/>
      <c r="AF98" s="4"/>
    </row>
    <row r="99" spans="2:32" ht="15" x14ac:dyDescent="0.25">
      <c r="B99" s="4"/>
      <c r="C99" s="4"/>
      <c r="D99" s="119">
        <v>8.3000000000000007</v>
      </c>
      <c r="E99" s="119"/>
      <c r="F99" s="6" t="s">
        <v>1451</v>
      </c>
      <c r="G99" s="6"/>
      <c r="H99" s="6"/>
      <c r="I99" s="6"/>
      <c r="J99" s="6"/>
      <c r="K99" s="6"/>
      <c r="L99" s="6"/>
      <c r="M99" s="6"/>
      <c r="N99" s="6"/>
      <c r="O99" s="6"/>
      <c r="P99" s="6"/>
      <c r="Q99" s="6"/>
      <c r="R99" s="6"/>
      <c r="S99" s="6"/>
      <c r="T99" s="6"/>
      <c r="U99" s="6"/>
      <c r="V99" s="6"/>
      <c r="W99" s="6"/>
      <c r="X99" s="6"/>
      <c r="Y99" s="6"/>
      <c r="Z99" s="6"/>
      <c r="AA99" s="6"/>
      <c r="AB99" s="6"/>
      <c r="AC99" s="6">
        <v>46</v>
      </c>
      <c r="AD99" s="4"/>
      <c r="AE99" s="4"/>
      <c r="AF99" s="4"/>
    </row>
    <row r="100" spans="2:32" ht="15" x14ac:dyDescent="0.25">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row>
    <row r="101" spans="2:32" ht="15" x14ac:dyDescent="0.25">
      <c r="B101" s="6">
        <v>9</v>
      </c>
      <c r="C101" s="6"/>
      <c r="D101" s="6" t="s">
        <v>1452</v>
      </c>
      <c r="E101" s="6"/>
      <c r="F101" s="6"/>
      <c r="G101" s="6"/>
      <c r="H101" s="6"/>
      <c r="I101" s="6"/>
      <c r="J101" s="6"/>
      <c r="K101" s="6"/>
      <c r="L101" s="6"/>
      <c r="M101" s="6"/>
      <c r="N101" s="6"/>
      <c r="O101" s="6"/>
      <c r="P101" s="6"/>
      <c r="Q101" s="6"/>
      <c r="R101" s="6"/>
      <c r="S101" s="6"/>
      <c r="T101" s="6"/>
      <c r="U101" s="6"/>
      <c r="V101" s="6"/>
      <c r="W101" s="6"/>
      <c r="X101" s="6"/>
      <c r="Y101" s="6"/>
      <c r="Z101" s="6"/>
      <c r="AA101" s="6"/>
      <c r="AB101" s="6"/>
      <c r="AC101" s="6">
        <v>47</v>
      </c>
      <c r="AD101" s="4"/>
      <c r="AE101" s="4"/>
      <c r="AF101" s="4"/>
    </row>
    <row r="102" spans="2:32" ht="15" x14ac:dyDescent="0.25">
      <c r="B102" s="4"/>
      <c r="C102" s="4"/>
      <c r="D102" s="119">
        <v>9.1</v>
      </c>
      <c r="E102" s="119"/>
      <c r="F102" s="6" t="s">
        <v>809</v>
      </c>
      <c r="G102" s="6"/>
      <c r="H102" s="6"/>
      <c r="I102" s="6"/>
      <c r="J102" s="6"/>
      <c r="K102" s="6"/>
      <c r="L102" s="6"/>
      <c r="M102" s="6"/>
      <c r="N102" s="6"/>
      <c r="O102" s="6"/>
      <c r="P102" s="6"/>
      <c r="Q102" s="6"/>
      <c r="R102" s="6"/>
      <c r="S102" s="6"/>
      <c r="T102" s="6"/>
      <c r="U102" s="6"/>
      <c r="V102" s="6"/>
      <c r="W102" s="6"/>
      <c r="X102" s="6"/>
      <c r="Y102" s="6"/>
      <c r="Z102" s="6"/>
      <c r="AA102" s="6"/>
      <c r="AB102" s="6"/>
      <c r="AC102" s="6">
        <v>47</v>
      </c>
      <c r="AD102" s="4"/>
      <c r="AE102" s="4"/>
      <c r="AF102" s="4"/>
    </row>
    <row r="103" spans="2:32" ht="15" x14ac:dyDescent="0.25">
      <c r="B103" s="4"/>
      <c r="C103" s="4"/>
      <c r="D103" s="119">
        <v>9.1999999999999993</v>
      </c>
      <c r="E103" s="119"/>
      <c r="F103" s="6" t="s">
        <v>810</v>
      </c>
      <c r="G103" s="6"/>
      <c r="H103" s="6"/>
      <c r="I103" s="6"/>
      <c r="J103" s="6"/>
      <c r="K103" s="6"/>
      <c r="L103" s="6"/>
      <c r="M103" s="6"/>
      <c r="N103" s="6"/>
      <c r="O103" s="6"/>
      <c r="P103" s="6"/>
      <c r="Q103" s="6"/>
      <c r="R103" s="6"/>
      <c r="S103" s="6"/>
      <c r="T103" s="6"/>
      <c r="U103" s="6"/>
      <c r="V103" s="6"/>
      <c r="W103" s="6"/>
      <c r="X103" s="6"/>
      <c r="Y103" s="6"/>
      <c r="Z103" s="6"/>
      <c r="AA103" s="6"/>
      <c r="AB103" s="6"/>
      <c r="AC103" s="6">
        <v>55</v>
      </c>
      <c r="AD103" s="4"/>
      <c r="AE103" s="4"/>
      <c r="AF103" s="4"/>
    </row>
    <row r="104" spans="2:32" ht="15" x14ac:dyDescent="0.25">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row>
    <row r="105" spans="2:32" ht="15" x14ac:dyDescent="0.25">
      <c r="B105" s="6">
        <v>10</v>
      </c>
      <c r="C105" s="6"/>
      <c r="D105" s="6" t="s">
        <v>1639</v>
      </c>
      <c r="E105" s="6"/>
      <c r="F105" s="6"/>
      <c r="G105" s="6"/>
      <c r="H105" s="6"/>
      <c r="I105" s="6"/>
      <c r="J105" s="6"/>
      <c r="K105" s="6"/>
      <c r="L105" s="6"/>
      <c r="M105" s="6"/>
      <c r="N105" s="6"/>
      <c r="O105" s="6"/>
      <c r="P105" s="6"/>
      <c r="Q105" s="6"/>
      <c r="R105" s="6"/>
      <c r="S105" s="6"/>
      <c r="T105" s="6"/>
      <c r="U105" s="6"/>
      <c r="V105" s="6"/>
      <c r="W105" s="6"/>
      <c r="X105" s="6"/>
      <c r="Y105" s="6"/>
      <c r="Z105" s="6"/>
      <c r="AA105" s="6"/>
      <c r="AB105" s="6"/>
      <c r="AC105" s="6">
        <v>64</v>
      </c>
      <c r="AD105" s="4"/>
      <c r="AE105" s="4"/>
      <c r="AF105" s="4"/>
    </row>
    <row r="106" spans="2:32" ht="15" x14ac:dyDescent="0.25">
      <c r="B106" s="4"/>
      <c r="C106" s="4"/>
      <c r="D106" s="119">
        <v>10.1</v>
      </c>
      <c r="E106" s="119"/>
      <c r="F106" s="6" t="s">
        <v>1640</v>
      </c>
      <c r="G106" s="6"/>
      <c r="H106" s="6"/>
      <c r="I106" s="6"/>
      <c r="J106" s="6"/>
      <c r="K106" s="6"/>
      <c r="L106" s="6"/>
      <c r="M106" s="6"/>
      <c r="N106" s="6"/>
      <c r="O106" s="6"/>
      <c r="P106" s="6"/>
      <c r="Q106" s="6"/>
      <c r="R106" s="6"/>
      <c r="S106" s="6"/>
      <c r="T106" s="6"/>
      <c r="U106" s="6"/>
      <c r="V106" s="6"/>
      <c r="W106" s="6"/>
      <c r="X106" s="6"/>
      <c r="Y106" s="6"/>
      <c r="Z106" s="6"/>
      <c r="AA106" s="6"/>
      <c r="AB106" s="6"/>
      <c r="AC106" s="6">
        <v>65</v>
      </c>
      <c r="AD106" s="4"/>
      <c r="AE106" s="4"/>
      <c r="AF106" s="4"/>
    </row>
    <row r="107" spans="2:32" ht="15" x14ac:dyDescent="0.25">
      <c r="B107" s="4"/>
      <c r="C107" s="4"/>
      <c r="D107" s="119">
        <v>10.199999999999999</v>
      </c>
      <c r="E107" s="119"/>
      <c r="F107" s="6" t="s">
        <v>1641</v>
      </c>
      <c r="G107" s="6"/>
      <c r="H107" s="6"/>
      <c r="I107" s="6"/>
      <c r="J107" s="6"/>
      <c r="K107" s="6"/>
      <c r="L107" s="6"/>
      <c r="M107" s="6"/>
      <c r="N107" s="6"/>
      <c r="O107" s="6"/>
      <c r="P107" s="6"/>
      <c r="Q107" s="6"/>
      <c r="R107" s="6"/>
      <c r="S107" s="6"/>
      <c r="T107" s="6"/>
      <c r="U107" s="6"/>
      <c r="V107" s="6"/>
      <c r="W107" s="6"/>
      <c r="X107" s="6"/>
      <c r="Y107" s="6"/>
      <c r="Z107" s="6"/>
      <c r="AA107" s="6"/>
      <c r="AB107" s="6"/>
      <c r="AC107" s="6">
        <v>67</v>
      </c>
      <c r="AD107" s="4"/>
      <c r="AE107" s="4"/>
      <c r="AF107" s="4"/>
    </row>
    <row r="108" spans="2:32" ht="15" x14ac:dyDescent="0.25">
      <c r="B108" s="4"/>
      <c r="C108" s="4"/>
      <c r="D108" s="119">
        <v>10.3</v>
      </c>
      <c r="E108" s="119"/>
      <c r="F108" s="6" t="s">
        <v>1642</v>
      </c>
      <c r="G108" s="6"/>
      <c r="H108" s="6"/>
      <c r="I108" s="6"/>
      <c r="J108" s="6"/>
      <c r="K108" s="6"/>
      <c r="L108" s="6"/>
      <c r="M108" s="6"/>
      <c r="N108" s="6"/>
      <c r="O108" s="6"/>
      <c r="P108" s="6"/>
      <c r="Q108" s="6"/>
      <c r="R108" s="6"/>
      <c r="S108" s="6"/>
      <c r="T108" s="6"/>
      <c r="U108" s="6"/>
      <c r="V108" s="6"/>
      <c r="W108" s="6"/>
      <c r="X108" s="6"/>
      <c r="Y108" s="6"/>
      <c r="Z108" s="6"/>
      <c r="AA108" s="6"/>
      <c r="AB108" s="6"/>
      <c r="AC108" s="6">
        <v>68</v>
      </c>
      <c r="AD108" s="4"/>
      <c r="AE108" s="4"/>
      <c r="AF108" s="4"/>
    </row>
    <row r="109" spans="2:32" ht="15" x14ac:dyDescent="0.25">
      <c r="B109" s="4"/>
      <c r="C109" s="4"/>
      <c r="D109" s="119">
        <v>10.3</v>
      </c>
      <c r="E109" s="119"/>
      <c r="F109" s="6" t="s">
        <v>1643</v>
      </c>
      <c r="G109" s="6"/>
      <c r="H109" s="6"/>
      <c r="I109" s="6"/>
      <c r="J109" s="6"/>
      <c r="K109" s="6"/>
      <c r="L109" s="6"/>
      <c r="M109" s="6"/>
      <c r="N109" s="6"/>
      <c r="O109" s="6"/>
      <c r="P109" s="6"/>
      <c r="Q109" s="6"/>
      <c r="R109" s="6"/>
      <c r="S109" s="6"/>
      <c r="T109" s="6"/>
      <c r="U109" s="6"/>
      <c r="V109" s="6"/>
      <c r="W109" s="6"/>
      <c r="X109" s="6"/>
      <c r="Y109" s="6"/>
      <c r="Z109" s="6"/>
      <c r="AA109" s="6"/>
      <c r="AB109" s="6"/>
      <c r="AC109" s="6">
        <v>69</v>
      </c>
      <c r="AD109" s="4"/>
      <c r="AE109" s="4"/>
      <c r="AF109" s="4"/>
    </row>
    <row r="110" spans="2:32" ht="15" x14ac:dyDescent="0.25">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row>
    <row r="111" spans="2:32" ht="15" x14ac:dyDescent="0.25">
      <c r="B111" s="6">
        <v>11</v>
      </c>
      <c r="C111" s="6"/>
      <c r="D111" s="6" t="s">
        <v>50</v>
      </c>
      <c r="E111" s="6"/>
      <c r="F111" s="6"/>
      <c r="G111" s="6"/>
      <c r="H111" s="6"/>
      <c r="I111" s="6"/>
      <c r="J111" s="6"/>
      <c r="K111" s="6"/>
      <c r="L111" s="6"/>
      <c r="M111" s="6"/>
      <c r="N111" s="6"/>
      <c r="O111" s="6"/>
      <c r="P111" s="6"/>
      <c r="Q111" s="6"/>
      <c r="R111" s="6"/>
      <c r="S111" s="6"/>
      <c r="T111" s="6"/>
      <c r="U111" s="6"/>
      <c r="V111" s="6"/>
      <c r="W111" s="6"/>
      <c r="X111" s="6"/>
      <c r="Y111" s="6"/>
      <c r="Z111" s="6"/>
      <c r="AA111" s="6"/>
      <c r="AB111" s="6"/>
      <c r="AC111" s="6">
        <v>72</v>
      </c>
      <c r="AD111" s="4"/>
      <c r="AE111" s="4"/>
      <c r="AF111" s="4"/>
    </row>
    <row r="112" spans="2:32" ht="15" x14ac:dyDescent="0.25">
      <c r="B112" s="4"/>
      <c r="C112" s="4"/>
      <c r="D112" s="119">
        <v>11.1</v>
      </c>
      <c r="E112" s="119"/>
      <c r="F112" s="6" t="s">
        <v>806</v>
      </c>
      <c r="G112" s="6"/>
      <c r="H112" s="6"/>
      <c r="I112" s="6"/>
      <c r="J112" s="6"/>
      <c r="K112" s="6"/>
      <c r="L112" s="6"/>
      <c r="M112" s="6"/>
      <c r="N112" s="6"/>
      <c r="O112" s="6"/>
      <c r="P112" s="6"/>
      <c r="Q112" s="6"/>
      <c r="R112" s="6"/>
      <c r="S112" s="6"/>
      <c r="T112" s="6"/>
      <c r="U112" s="6"/>
      <c r="V112" s="6"/>
      <c r="W112" s="6"/>
      <c r="X112" s="6"/>
      <c r="Y112" s="6"/>
      <c r="Z112" s="6"/>
      <c r="AA112" s="6"/>
      <c r="AB112" s="6"/>
      <c r="AC112" s="6">
        <v>73</v>
      </c>
      <c r="AD112" s="4"/>
      <c r="AE112" s="4"/>
      <c r="AF112" s="4"/>
    </row>
    <row r="113" spans="2:32" ht="15" x14ac:dyDescent="0.25">
      <c r="B113" s="4"/>
      <c r="C113" s="4"/>
      <c r="D113" s="119">
        <v>11.2</v>
      </c>
      <c r="E113" s="119"/>
      <c r="F113" s="6" t="s">
        <v>1526</v>
      </c>
      <c r="G113" s="6"/>
      <c r="H113" s="6"/>
      <c r="I113" s="6"/>
      <c r="J113" s="6"/>
      <c r="K113" s="6"/>
      <c r="L113" s="6"/>
      <c r="M113" s="6"/>
      <c r="N113" s="6"/>
      <c r="O113" s="6"/>
      <c r="P113" s="6"/>
      <c r="Q113" s="6"/>
      <c r="R113" s="6"/>
      <c r="S113" s="6"/>
      <c r="T113" s="6"/>
      <c r="U113" s="6"/>
      <c r="V113" s="6"/>
      <c r="W113" s="6"/>
      <c r="X113" s="6"/>
      <c r="Y113" s="6"/>
      <c r="Z113" s="6"/>
      <c r="AA113" s="6"/>
      <c r="AB113" s="6"/>
      <c r="AC113" s="6">
        <v>77</v>
      </c>
      <c r="AD113" s="4"/>
      <c r="AE113" s="4"/>
      <c r="AF113" s="4"/>
    </row>
    <row r="114" spans="2:32" ht="15" x14ac:dyDescent="0.25">
      <c r="B114" s="4"/>
      <c r="C114" s="4"/>
      <c r="D114" s="119">
        <v>11.3</v>
      </c>
      <c r="E114" s="119"/>
      <c r="F114" s="6" t="s">
        <v>968</v>
      </c>
      <c r="G114" s="6"/>
      <c r="H114" s="6"/>
      <c r="I114" s="6"/>
      <c r="J114" s="6"/>
      <c r="K114" s="6"/>
      <c r="L114" s="6"/>
      <c r="M114" s="6"/>
      <c r="N114" s="6"/>
      <c r="O114" s="6"/>
      <c r="P114" s="6"/>
      <c r="Q114" s="6"/>
      <c r="R114" s="6"/>
      <c r="S114" s="6"/>
      <c r="T114" s="6"/>
      <c r="U114" s="6"/>
      <c r="V114" s="6"/>
      <c r="W114" s="6"/>
      <c r="X114" s="6"/>
      <c r="Y114" s="6"/>
      <c r="Z114" s="6"/>
      <c r="AA114" s="6"/>
      <c r="AB114" s="6"/>
      <c r="AC114" s="6">
        <v>83</v>
      </c>
      <c r="AD114" s="4"/>
      <c r="AE114" s="4"/>
      <c r="AF114" s="4"/>
    </row>
    <row r="115" spans="2:32" ht="15" x14ac:dyDescent="0.25">
      <c r="B115" s="4"/>
      <c r="C115" s="4"/>
      <c r="D115" s="119">
        <v>11.4</v>
      </c>
      <c r="E115" s="119"/>
      <c r="F115" s="6" t="s">
        <v>1525</v>
      </c>
      <c r="G115" s="6"/>
      <c r="H115" s="6"/>
      <c r="I115" s="6"/>
      <c r="J115" s="6"/>
      <c r="K115" s="6"/>
      <c r="L115" s="6"/>
      <c r="M115" s="6"/>
      <c r="N115" s="6"/>
      <c r="O115" s="6"/>
      <c r="P115" s="6"/>
      <c r="Q115" s="6"/>
      <c r="R115" s="6"/>
      <c r="S115" s="6"/>
      <c r="T115" s="6"/>
      <c r="U115" s="6"/>
      <c r="V115" s="6"/>
      <c r="W115" s="6"/>
      <c r="X115" s="6"/>
      <c r="Y115" s="6"/>
      <c r="Z115" s="6"/>
      <c r="AA115" s="6"/>
      <c r="AB115" s="6"/>
      <c r="AC115" s="6">
        <v>92</v>
      </c>
      <c r="AD115" s="4"/>
      <c r="AE115" s="4"/>
      <c r="AF115" s="4"/>
    </row>
    <row r="116" spans="2:32" ht="15" x14ac:dyDescent="0.25">
      <c r="B116" s="4"/>
      <c r="C116"/>
      <c r="D116"/>
      <c r="E116"/>
      <c r="F116"/>
      <c r="G116"/>
      <c r="H116"/>
      <c r="I116"/>
      <c r="J116"/>
      <c r="K116"/>
      <c r="L116"/>
      <c r="M116"/>
      <c r="N116"/>
      <c r="O116"/>
      <c r="P116"/>
      <c r="Q116"/>
      <c r="R116"/>
      <c r="S116"/>
      <c r="T116"/>
      <c r="U116"/>
      <c r="V116"/>
      <c r="W116"/>
      <c r="X116"/>
      <c r="Y116"/>
      <c r="Z116"/>
      <c r="AA116"/>
      <c r="AB116"/>
      <c r="AC116"/>
      <c r="AD116"/>
      <c r="AE116" s="4"/>
      <c r="AF116" s="4"/>
    </row>
    <row r="117" spans="2:32" ht="15" x14ac:dyDescent="0.25">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row>
    <row r="118" spans="2:32" ht="15" x14ac:dyDescent="0.25">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row>
    <row r="119" spans="2:32" ht="15" x14ac:dyDescent="0.25">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row>
    <row r="120" spans="2:32" ht="15" x14ac:dyDescent="0.25">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row>
    <row r="121" spans="2:32" ht="15" x14ac:dyDescent="0.25">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row>
    <row r="122" spans="2:32" ht="15" x14ac:dyDescent="0.25">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row>
    <row r="123" spans="2:32" ht="15" x14ac:dyDescent="0.25">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row>
    <row r="124" spans="2:32" ht="15" x14ac:dyDescent="0.25">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row>
    <row r="125" spans="2:32" ht="15" x14ac:dyDescent="0.25">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row>
    <row r="126" spans="2:32" ht="15" x14ac:dyDescent="0.25">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row>
    <row r="127" spans="2:32" ht="15" x14ac:dyDescent="0.25">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row>
    <row r="128" spans="2:32" ht="15" x14ac:dyDescent="0.25">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row>
    <row r="129" spans="2:32" ht="15" x14ac:dyDescent="0.25">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row>
    <row r="130" spans="2:32" ht="15" x14ac:dyDescent="0.25">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row>
    <row r="131" spans="2:32" ht="15" x14ac:dyDescent="0.25">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row>
    <row r="132" spans="2:32" ht="15" x14ac:dyDescent="0.25">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row>
    <row r="133" spans="2:32" ht="15" x14ac:dyDescent="0.25">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row>
    <row r="134" spans="2:32" ht="15" x14ac:dyDescent="0.25">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row>
    <row r="135" spans="2:32" ht="15" x14ac:dyDescent="0.25">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row>
    <row r="136" spans="2:32" ht="15" x14ac:dyDescent="0.25">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row>
    <row r="137" spans="2:32" ht="15" x14ac:dyDescent="0.25">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row>
    <row r="138" spans="2:32" ht="15" x14ac:dyDescent="0.25">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row>
    <row r="139" spans="2:32" ht="15" x14ac:dyDescent="0.25">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row>
    <row r="140" spans="2:32" ht="15" x14ac:dyDescent="0.25">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row>
    <row r="141" spans="2:32" ht="15" x14ac:dyDescent="0.25">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row>
    <row r="142" spans="2:32" ht="15" x14ac:dyDescent="0.25">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row>
    <row r="143" spans="2:32" ht="15" x14ac:dyDescent="0.25">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row>
    <row r="144" spans="2:32" ht="15" x14ac:dyDescent="0.25">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row>
    <row r="145" spans="2:32" ht="15" x14ac:dyDescent="0.25">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row>
    <row r="146" spans="2:32" ht="15" x14ac:dyDescent="0.25">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row>
    <row r="147" spans="2:32" ht="15" x14ac:dyDescent="0.25">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row>
    <row r="148" spans="2:32" ht="15" x14ac:dyDescent="0.25">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row>
    <row r="149" spans="2:32" ht="15" x14ac:dyDescent="0.25">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row>
    <row r="150" spans="2:32" ht="15" x14ac:dyDescent="0.25">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row>
    <row r="151" spans="2:32" ht="15" x14ac:dyDescent="0.25">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row>
    <row r="152" spans="2:32" ht="15" x14ac:dyDescent="0.25">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row>
    <row r="153" spans="2:32" ht="15" x14ac:dyDescent="0.25">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row>
    <row r="154" spans="2:32" ht="15" x14ac:dyDescent="0.25">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row>
    <row r="155" spans="2:32" ht="15" x14ac:dyDescent="0.25">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row>
  </sheetData>
  <mergeCells count="142">
    <mergeCell ref="D106:E106"/>
    <mergeCell ref="D107:E107"/>
    <mergeCell ref="D108:E108"/>
    <mergeCell ref="D109:E109"/>
    <mergeCell ref="D115:E115"/>
    <mergeCell ref="D112:E112"/>
    <mergeCell ref="D113:E113"/>
    <mergeCell ref="D114:E114"/>
    <mergeCell ref="D94:E94"/>
    <mergeCell ref="D102:E102"/>
    <mergeCell ref="D103:E103"/>
    <mergeCell ref="W33:AA33"/>
    <mergeCell ref="W32:AA32"/>
    <mergeCell ref="D82:E82"/>
    <mergeCell ref="D83:E83"/>
    <mergeCell ref="D84:E84"/>
    <mergeCell ref="D97:E97"/>
    <mergeCell ref="D98:E98"/>
    <mergeCell ref="D99:E99"/>
    <mergeCell ref="D76:E76"/>
    <mergeCell ref="D77:E77"/>
    <mergeCell ref="D80:E80"/>
    <mergeCell ref="D81:E81"/>
    <mergeCell ref="D90:E90"/>
    <mergeCell ref="D91:E91"/>
    <mergeCell ref="D85:E85"/>
    <mergeCell ref="D75:E75"/>
    <mergeCell ref="B68:AF68"/>
    <mergeCell ref="Q33:V33"/>
    <mergeCell ref="Q32:V32"/>
    <mergeCell ref="M33:P33"/>
    <mergeCell ref="M32:P32"/>
    <mergeCell ref="D32:L32"/>
    <mergeCell ref="D33:L33"/>
    <mergeCell ref="M38:P38"/>
    <mergeCell ref="M37:P37"/>
    <mergeCell ref="M36:P36"/>
    <mergeCell ref="M35:P35"/>
    <mergeCell ref="M34:P34"/>
    <mergeCell ref="D34:L34"/>
    <mergeCell ref="D35:L35"/>
    <mergeCell ref="D36:L36"/>
    <mergeCell ref="D37:L37"/>
    <mergeCell ref="D38:L38"/>
    <mergeCell ref="R56:AF56"/>
    <mergeCell ref="R57:AF57"/>
    <mergeCell ref="R63:AF63"/>
    <mergeCell ref="I58:M58"/>
    <mergeCell ref="I59:M59"/>
    <mergeCell ref="I60:M60"/>
    <mergeCell ref="I61:M61"/>
    <mergeCell ref="R58:AF58"/>
    <mergeCell ref="R59:AF59"/>
    <mergeCell ref="R60:AF60"/>
    <mergeCell ref="R61:AF61"/>
    <mergeCell ref="R62:AF62"/>
    <mergeCell ref="I62:M62"/>
    <mergeCell ref="N58:Q58"/>
    <mergeCell ref="N59:Q59"/>
    <mergeCell ref="N60:Q60"/>
    <mergeCell ref="N61:Q61"/>
    <mergeCell ref="N62:Q62"/>
    <mergeCell ref="B56:C56"/>
    <mergeCell ref="B63:C63"/>
    <mergeCell ref="D56:H56"/>
    <mergeCell ref="B57:C57"/>
    <mergeCell ref="D63:H63"/>
    <mergeCell ref="I56:M56"/>
    <mergeCell ref="D57:H57"/>
    <mergeCell ref="I57:M57"/>
    <mergeCell ref="N56:Q56"/>
    <mergeCell ref="N57:Q57"/>
    <mergeCell ref="I63:M63"/>
    <mergeCell ref="N63:Q63"/>
    <mergeCell ref="B58:C58"/>
    <mergeCell ref="B59:C59"/>
    <mergeCell ref="B60:C60"/>
    <mergeCell ref="B61:C61"/>
    <mergeCell ref="B62:C62"/>
    <mergeCell ref="D58:H58"/>
    <mergeCell ref="D59:H59"/>
    <mergeCell ref="D60:H60"/>
    <mergeCell ref="D61:H61"/>
    <mergeCell ref="D62:H62"/>
    <mergeCell ref="B54:C54"/>
    <mergeCell ref="B55:C55"/>
    <mergeCell ref="I54:M54"/>
    <mergeCell ref="I55:M55"/>
    <mergeCell ref="N54:Q54"/>
    <mergeCell ref="N55:Q55"/>
    <mergeCell ref="S45:V45"/>
    <mergeCell ref="G47:L47"/>
    <mergeCell ref="P47:S47"/>
    <mergeCell ref="R55:AF55"/>
    <mergeCell ref="D55:H55"/>
    <mergeCell ref="Y47:AE47"/>
    <mergeCell ref="D54:H54"/>
    <mergeCell ref="R54:AF54"/>
    <mergeCell ref="B31:C31"/>
    <mergeCell ref="A5:AG5"/>
    <mergeCell ref="A9:AG9"/>
    <mergeCell ref="A12:AG12"/>
    <mergeCell ref="F25:P25"/>
    <mergeCell ref="Q25:AA25"/>
    <mergeCell ref="A28:AG28"/>
    <mergeCell ref="F16:P24"/>
    <mergeCell ref="Q16:AA24"/>
    <mergeCell ref="W30:AA30"/>
    <mergeCell ref="AB30:AF30"/>
    <mergeCell ref="M30:P30"/>
    <mergeCell ref="Q30:V30"/>
    <mergeCell ref="B30:C30"/>
    <mergeCell ref="D30:L30"/>
    <mergeCell ref="Q31:V31"/>
    <mergeCell ref="M31:P31"/>
    <mergeCell ref="AB31:AF31"/>
    <mergeCell ref="D31:L31"/>
    <mergeCell ref="W31:AA31"/>
    <mergeCell ref="B38:C38"/>
    <mergeCell ref="B32:C32"/>
    <mergeCell ref="B33:C33"/>
    <mergeCell ref="B34:C34"/>
    <mergeCell ref="B35:C35"/>
    <mergeCell ref="B36:C36"/>
    <mergeCell ref="B37:C37"/>
    <mergeCell ref="AB38:AF38"/>
    <mergeCell ref="Q35:V35"/>
    <mergeCell ref="Q36:V36"/>
    <mergeCell ref="Q37:V37"/>
    <mergeCell ref="Q38:V38"/>
    <mergeCell ref="W34:AA34"/>
    <mergeCell ref="W35:AA35"/>
    <mergeCell ref="W36:AA36"/>
    <mergeCell ref="W37:AA37"/>
    <mergeCell ref="AB37:AF37"/>
    <mergeCell ref="W38:AA38"/>
    <mergeCell ref="Q34:V34"/>
    <mergeCell ref="AB34:AF34"/>
    <mergeCell ref="AB35:AF35"/>
    <mergeCell ref="AB36:AF36"/>
    <mergeCell ref="AB33:AF33"/>
    <mergeCell ref="AB32:AF32"/>
  </mergeCells>
  <pageMargins left="0.7" right="0.7" top="1.25" bottom="0.75" header="0.3" footer="0.3"/>
  <pageSetup scale="87" fitToHeight="0" orientation="portrait" horizontalDpi="1200" verticalDpi="1200" r:id="rId1"/>
  <headerFooter>
    <oddHeader>&amp;L&amp;G
Client: Keyera
Project No: F3KY&amp;C&amp;G&amp;RDesigned By: CW
Checked By: JS
Date: 13-MAY-2026
Revision: 0</oddHeader>
    <oddFooter>&amp;LContractor Document No:  F3KY-215-CAL-047</oddFooter>
  </headerFooter>
  <rowBreaks count="1" manualBreakCount="1">
    <brk id="66" max="3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6" r:id="rId5" name="Check Box 2">
              <controlPr defaultSize="0" autoFill="0" autoLine="0" autoPict="0">
                <anchor moveWithCells="1">
                  <from>
                    <xdr:col>7</xdr:col>
                    <xdr:colOff>200025</xdr:colOff>
                    <xdr:row>41</xdr:row>
                    <xdr:rowOff>171450</xdr:rowOff>
                  </from>
                  <to>
                    <xdr:col>9</xdr:col>
                    <xdr:colOff>85725</xdr:colOff>
                    <xdr:row>43</xdr:row>
                    <xdr:rowOff>19050</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14</xdr:col>
                    <xdr:colOff>0</xdr:colOff>
                    <xdr:row>41</xdr:row>
                    <xdr:rowOff>161925</xdr:rowOff>
                  </from>
                  <to>
                    <xdr:col>15</xdr:col>
                    <xdr:colOff>95250</xdr:colOff>
                    <xdr:row>43</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040FF-0E31-4205-9E7B-F6E6EB326269}">
  <sheetPr codeName="Sheet2">
    <pageSetUpPr fitToPage="1"/>
  </sheetPr>
  <dimension ref="B1:AI12"/>
  <sheetViews>
    <sheetView view="pageBreakPreview" zoomScale="130" zoomScaleNormal="100" zoomScaleSheetLayoutView="130" workbookViewId="0">
      <selection activeCell="AG57" sqref="AG57"/>
    </sheetView>
  </sheetViews>
  <sheetFormatPr defaultRowHeight="14.25" x14ac:dyDescent="0.2"/>
  <cols>
    <col min="1" max="33" width="3.140625" style="1" customWidth="1"/>
    <col min="34" max="16384" width="9.140625" style="1"/>
  </cols>
  <sheetData>
    <row r="1" spans="2:35" x14ac:dyDescent="0.2">
      <c r="AI1" s="1" t="s">
        <v>0</v>
      </c>
    </row>
    <row r="2" spans="2:35" ht="15" x14ac:dyDescent="0.25">
      <c r="B2" s="4" t="s">
        <v>152</v>
      </c>
    </row>
    <row r="4" spans="2:35" ht="15" x14ac:dyDescent="0.25">
      <c r="B4" s="4"/>
      <c r="C4" s="230" t="s">
        <v>69</v>
      </c>
      <c r="D4" s="230"/>
      <c r="E4" s="230"/>
      <c r="F4" s="230"/>
      <c r="G4" s="230"/>
      <c r="H4" s="230"/>
      <c r="I4" s="230"/>
      <c r="J4" s="230"/>
      <c r="K4" s="230"/>
      <c r="L4" s="230"/>
      <c r="M4" s="230"/>
      <c r="N4" s="230"/>
      <c r="O4" s="230"/>
      <c r="P4" s="230"/>
      <c r="Q4" s="230"/>
      <c r="R4" s="230"/>
      <c r="S4" s="230"/>
      <c r="T4" s="230"/>
      <c r="U4" s="230"/>
      <c r="V4" s="230"/>
      <c r="W4" s="230"/>
      <c r="X4" s="230"/>
      <c r="Y4" s="230"/>
      <c r="Z4" s="230"/>
      <c r="AA4" s="230"/>
      <c r="AB4" s="230"/>
      <c r="AC4" s="230"/>
      <c r="AD4" s="230"/>
      <c r="AE4" s="230"/>
      <c r="AF4" s="230"/>
    </row>
    <row r="5" spans="2:35" x14ac:dyDescent="0.2">
      <c r="C5" s="230"/>
      <c r="D5" s="230"/>
      <c r="E5" s="230"/>
      <c r="F5" s="230"/>
      <c r="G5" s="230"/>
      <c r="H5" s="230"/>
      <c r="I5" s="230"/>
      <c r="J5" s="230"/>
      <c r="K5" s="230"/>
      <c r="L5" s="230"/>
      <c r="M5" s="230"/>
      <c r="N5" s="230"/>
      <c r="O5" s="230"/>
      <c r="P5" s="230"/>
      <c r="Q5" s="230"/>
      <c r="R5" s="230"/>
      <c r="S5" s="230"/>
      <c r="T5" s="230"/>
      <c r="U5" s="230"/>
      <c r="V5" s="230"/>
      <c r="W5" s="230"/>
      <c r="X5" s="230"/>
      <c r="Y5" s="230"/>
      <c r="Z5" s="230"/>
      <c r="AA5" s="230"/>
      <c r="AB5" s="230"/>
      <c r="AC5" s="230"/>
      <c r="AD5" s="230"/>
      <c r="AE5" s="230"/>
      <c r="AF5" s="230"/>
    </row>
    <row r="6" spans="2:35" ht="15" thickBot="1" x14ac:dyDescent="0.25"/>
    <row r="7" spans="2:35" ht="15" customHeight="1" x14ac:dyDescent="0.25">
      <c r="B7" s="165" t="s">
        <v>53</v>
      </c>
      <c r="C7" s="167"/>
      <c r="D7" s="168" t="s">
        <v>55</v>
      </c>
      <c r="E7" s="169"/>
      <c r="F7" s="169"/>
      <c r="G7" s="169"/>
      <c r="H7" s="169"/>
      <c r="I7" s="169"/>
      <c r="J7" s="170"/>
      <c r="K7" s="168" t="s">
        <v>56</v>
      </c>
      <c r="L7" s="169"/>
      <c r="M7" s="169"/>
      <c r="N7" s="169"/>
      <c r="O7" s="169"/>
      <c r="P7" s="169"/>
      <c r="Q7" s="169"/>
      <c r="R7" s="170"/>
      <c r="S7" s="168" t="s">
        <v>57</v>
      </c>
      <c r="T7" s="169"/>
      <c r="U7" s="169"/>
      <c r="V7" s="169"/>
      <c r="W7" s="169"/>
      <c r="X7" s="169"/>
      <c r="Y7" s="170"/>
      <c r="Z7" s="168" t="s">
        <v>58</v>
      </c>
      <c r="AA7" s="169"/>
      <c r="AB7" s="169"/>
      <c r="AC7" s="169"/>
      <c r="AD7" s="169"/>
      <c r="AE7" s="169"/>
      <c r="AF7" s="170"/>
    </row>
    <row r="8" spans="2:35" ht="15" customHeight="1" x14ac:dyDescent="0.25">
      <c r="B8" s="221" t="s">
        <v>54</v>
      </c>
      <c r="C8" s="222"/>
      <c r="D8" s="225"/>
      <c r="E8" s="200"/>
      <c r="F8" s="200"/>
      <c r="G8" s="200"/>
      <c r="H8" s="200"/>
      <c r="I8" s="200"/>
      <c r="J8" s="226"/>
      <c r="K8" s="225"/>
      <c r="L8" s="200"/>
      <c r="M8" s="200"/>
      <c r="N8" s="200"/>
      <c r="O8" s="200"/>
      <c r="P8" s="200"/>
      <c r="Q8" s="200"/>
      <c r="R8" s="226"/>
      <c r="S8" s="225"/>
      <c r="T8" s="200"/>
      <c r="U8" s="200"/>
      <c r="V8" s="200"/>
      <c r="W8" s="200"/>
      <c r="X8" s="200"/>
      <c r="Y8" s="226"/>
      <c r="Z8" s="227" t="s">
        <v>59</v>
      </c>
      <c r="AA8" s="228"/>
      <c r="AB8" s="228"/>
      <c r="AC8" s="228"/>
      <c r="AD8" s="228"/>
      <c r="AE8" s="228"/>
      <c r="AF8" s="229"/>
    </row>
    <row r="9" spans="2:35" ht="30" customHeight="1" thickBot="1" x14ac:dyDescent="0.25">
      <c r="B9" s="223"/>
      <c r="C9" s="224"/>
      <c r="D9" s="195"/>
      <c r="E9" s="197"/>
      <c r="F9" s="197"/>
      <c r="G9" s="197"/>
      <c r="H9" s="197"/>
      <c r="I9" s="197"/>
      <c r="J9" s="196"/>
      <c r="K9" s="195"/>
      <c r="L9" s="197"/>
      <c r="M9" s="197"/>
      <c r="N9" s="197"/>
      <c r="O9" s="197"/>
      <c r="P9" s="197"/>
      <c r="Q9" s="197"/>
      <c r="R9" s="196"/>
      <c r="S9" s="195"/>
      <c r="T9" s="197"/>
      <c r="U9" s="197"/>
      <c r="V9" s="197"/>
      <c r="W9" s="197"/>
      <c r="X9" s="197"/>
      <c r="Y9" s="196"/>
      <c r="Z9" s="195"/>
      <c r="AA9" s="197"/>
      <c r="AB9" s="197"/>
      <c r="AC9" s="197"/>
      <c r="AD9" s="197"/>
      <c r="AE9" s="197"/>
      <c r="AF9" s="196"/>
    </row>
    <row r="10" spans="2:35" ht="213.75" customHeight="1" x14ac:dyDescent="0.2">
      <c r="B10" s="213">
        <v>1</v>
      </c>
      <c r="C10" s="214"/>
      <c r="D10" s="215" t="s">
        <v>1627</v>
      </c>
      <c r="E10" s="216"/>
      <c r="F10" s="216"/>
      <c r="G10" s="216"/>
      <c r="H10" s="216"/>
      <c r="I10" s="216"/>
      <c r="J10" s="217"/>
      <c r="K10" s="215" t="s">
        <v>1628</v>
      </c>
      <c r="L10" s="216"/>
      <c r="M10" s="216"/>
      <c r="N10" s="216"/>
      <c r="O10" s="216"/>
      <c r="P10" s="216"/>
      <c r="Q10" s="216"/>
      <c r="R10" s="217"/>
      <c r="S10" s="215" t="s">
        <v>1629</v>
      </c>
      <c r="T10" s="216"/>
      <c r="U10" s="216"/>
      <c r="V10" s="216"/>
      <c r="W10" s="216"/>
      <c r="X10" s="216"/>
      <c r="Y10" s="217"/>
      <c r="Z10" s="218">
        <v>46203</v>
      </c>
      <c r="AA10" s="216"/>
      <c r="AB10" s="216"/>
      <c r="AC10" s="216"/>
      <c r="AD10" s="216"/>
      <c r="AE10" s="216"/>
      <c r="AF10" s="217"/>
      <c r="AI10" s="5"/>
    </row>
    <row r="11" spans="2:35" x14ac:dyDescent="0.2">
      <c r="B11" s="219"/>
      <c r="C11" s="220"/>
      <c r="D11" s="136"/>
      <c r="E11" s="137"/>
      <c r="F11" s="137"/>
      <c r="G11" s="137"/>
      <c r="H11" s="137"/>
      <c r="I11" s="137"/>
      <c r="J11" s="138"/>
      <c r="K11" s="136"/>
      <c r="L11" s="137"/>
      <c r="M11" s="137"/>
      <c r="N11" s="137"/>
      <c r="O11" s="137"/>
      <c r="P11" s="137"/>
      <c r="Q11" s="137"/>
      <c r="R11" s="138"/>
      <c r="S11" s="136"/>
      <c r="T11" s="137"/>
      <c r="U11" s="137"/>
      <c r="V11" s="137"/>
      <c r="W11" s="137"/>
      <c r="X11" s="137"/>
      <c r="Y11" s="138"/>
      <c r="Z11" s="136"/>
      <c r="AA11" s="137"/>
      <c r="AB11" s="137"/>
      <c r="AC11" s="137"/>
      <c r="AD11" s="137"/>
      <c r="AE11" s="137"/>
      <c r="AF11" s="138"/>
    </row>
    <row r="12" spans="2:35" ht="15.75" customHeight="1" thickBot="1" x14ac:dyDescent="0.25">
      <c r="B12" s="211"/>
      <c r="C12" s="212"/>
      <c r="D12" s="126"/>
      <c r="E12" s="127"/>
      <c r="F12" s="127"/>
      <c r="G12" s="127"/>
      <c r="H12" s="127"/>
      <c r="I12" s="127"/>
      <c r="J12" s="128"/>
      <c r="K12" s="126"/>
      <c r="L12" s="127"/>
      <c r="M12" s="127"/>
      <c r="N12" s="127"/>
      <c r="O12" s="127"/>
      <c r="P12" s="127"/>
      <c r="Q12" s="127"/>
      <c r="R12" s="128"/>
      <c r="S12" s="126"/>
      <c r="T12" s="127"/>
      <c r="U12" s="127"/>
      <c r="V12" s="127"/>
      <c r="W12" s="127"/>
      <c r="X12" s="127"/>
      <c r="Y12" s="128"/>
      <c r="Z12" s="126"/>
      <c r="AA12" s="127"/>
      <c r="AB12" s="127"/>
      <c r="AC12" s="127"/>
      <c r="AD12" s="127"/>
      <c r="AE12" s="127"/>
      <c r="AF12" s="128"/>
    </row>
  </sheetData>
  <mergeCells count="30">
    <mergeCell ref="Z9:AF9"/>
    <mergeCell ref="Z7:AF7"/>
    <mergeCell ref="D10:J10"/>
    <mergeCell ref="S10:Y10"/>
    <mergeCell ref="D12:J12"/>
    <mergeCell ref="K10:R10"/>
    <mergeCell ref="K12:R12"/>
    <mergeCell ref="D11:J11"/>
    <mergeCell ref="K11:R11"/>
    <mergeCell ref="S12:Y12"/>
    <mergeCell ref="Z10:AF10"/>
    <mergeCell ref="Z12:AF12"/>
    <mergeCell ref="S11:Y11"/>
    <mergeCell ref="Z11:AF11"/>
    <mergeCell ref="B11:C11"/>
    <mergeCell ref="B12:C12"/>
    <mergeCell ref="C4:AF5"/>
    <mergeCell ref="B7:C7"/>
    <mergeCell ref="B8:C9"/>
    <mergeCell ref="B10:C10"/>
    <mergeCell ref="D7:J7"/>
    <mergeCell ref="D8:J8"/>
    <mergeCell ref="D9:J9"/>
    <mergeCell ref="K7:R7"/>
    <mergeCell ref="K8:R8"/>
    <mergeCell ref="K9:R9"/>
    <mergeCell ref="S7:Y7"/>
    <mergeCell ref="S8:Y8"/>
    <mergeCell ref="S9:Y9"/>
    <mergeCell ref="Z8:AF8"/>
  </mergeCells>
  <pageMargins left="0.7" right="0.7" top="1.25" bottom="0.75" header="0.3" footer="0.3"/>
  <pageSetup scale="87" fitToHeight="0" orientation="portrait" horizontalDpi="1200" verticalDpi="1200" r:id="rId1"/>
  <headerFooter>
    <oddHeader>&amp;L&amp;G
Client: Keyera
Project No: F3KY&amp;C&amp;G&amp;RDesigned By: CW
Checked By: JS
Date: 13-MAY-2026
Revision: 0</oddHeader>
    <oddFooter>&amp;LContractor Document No:  F3KY-215-CAL-047</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6C71E-C881-4AC2-9FA8-E14DF7E9496D}">
  <sheetPr codeName="Sheet3">
    <pageSetUpPr fitToPage="1"/>
  </sheetPr>
  <dimension ref="B1:AO29"/>
  <sheetViews>
    <sheetView view="pageBreakPreview" zoomScale="115" zoomScaleNormal="100" zoomScaleSheetLayoutView="115" workbookViewId="0">
      <selection activeCell="AG57" sqref="AG57"/>
    </sheetView>
  </sheetViews>
  <sheetFormatPr defaultRowHeight="14.25" x14ac:dyDescent="0.2"/>
  <cols>
    <col min="1" max="33" width="3.140625" style="1" customWidth="1"/>
    <col min="34" max="16384" width="9.140625" style="1"/>
  </cols>
  <sheetData>
    <row r="1" spans="2:41" x14ac:dyDescent="0.2">
      <c r="AI1" s="1" t="s">
        <v>0</v>
      </c>
    </row>
    <row r="2" spans="2:41" ht="15" x14ac:dyDescent="0.25">
      <c r="B2" s="4" t="s">
        <v>61</v>
      </c>
    </row>
    <row r="3" spans="2:41" ht="14.25" customHeight="1" x14ac:dyDescent="0.2">
      <c r="AI3" s="113" t="s">
        <v>65</v>
      </c>
      <c r="AJ3" s="113"/>
      <c r="AK3" s="113"/>
      <c r="AL3" s="113"/>
      <c r="AM3" s="113"/>
      <c r="AN3" s="113"/>
      <c r="AO3" s="113"/>
    </row>
    <row r="4" spans="2:41" ht="15" x14ac:dyDescent="0.25">
      <c r="B4" s="4" t="s">
        <v>62</v>
      </c>
      <c r="D4" s="114" t="str">
        <f>'CP, RH, TofC'!A9</f>
        <v>CWA 250 PM-6008 &amp; PM-6009 Raw Feed Booster Pump Foundation Design</v>
      </c>
      <c r="E4" s="114"/>
      <c r="F4" s="114"/>
      <c r="G4" s="114"/>
      <c r="H4" s="114"/>
      <c r="I4" s="114"/>
      <c r="J4" s="114"/>
      <c r="K4" s="114"/>
      <c r="L4" s="114"/>
      <c r="M4" s="114"/>
      <c r="N4" s="114"/>
      <c r="O4" s="114"/>
      <c r="P4" s="114"/>
      <c r="Q4" s="114"/>
      <c r="R4" s="114"/>
      <c r="S4" s="114"/>
      <c r="T4" s="114"/>
      <c r="U4" s="114"/>
      <c r="V4" s="114"/>
      <c r="W4" s="114"/>
      <c r="X4" s="114"/>
      <c r="Y4" s="114"/>
      <c r="Z4" s="114"/>
      <c r="AA4" s="114"/>
      <c r="AB4" s="114"/>
      <c r="AC4" s="114"/>
      <c r="AD4" s="114"/>
      <c r="AE4" s="114"/>
      <c r="AI4" s="113"/>
      <c r="AJ4" s="113"/>
      <c r="AK4" s="113"/>
      <c r="AL4" s="113"/>
      <c r="AM4" s="113"/>
      <c r="AN4" s="113"/>
      <c r="AO4" s="113"/>
    </row>
    <row r="5" spans="2:41" x14ac:dyDescent="0.2">
      <c r="AI5" s="113"/>
      <c r="AJ5" s="113"/>
      <c r="AK5" s="113"/>
      <c r="AL5" s="113"/>
      <c r="AM5" s="113"/>
      <c r="AN5" s="113"/>
      <c r="AO5" s="113"/>
    </row>
    <row r="6" spans="2:41" ht="15" x14ac:dyDescent="0.25">
      <c r="B6" s="4" t="s">
        <v>63</v>
      </c>
      <c r="I6" s="114" t="str">
        <f>'CP, RH, TofC'!A12</f>
        <v>F3KY-215-CAL-047</v>
      </c>
      <c r="J6" s="114"/>
      <c r="K6" s="114"/>
      <c r="L6" s="114"/>
      <c r="M6" s="114"/>
      <c r="N6" s="114"/>
      <c r="O6" s="114"/>
      <c r="P6" s="114"/>
      <c r="Q6" s="114"/>
      <c r="R6" s="114"/>
      <c r="S6" s="114"/>
      <c r="T6" s="114"/>
      <c r="U6" s="114"/>
      <c r="V6" s="114"/>
      <c r="W6" s="114"/>
      <c r="X6" s="114"/>
      <c r="Y6" s="114"/>
      <c r="Z6" s="114"/>
      <c r="AA6" s="114"/>
      <c r="AB6" s="114"/>
      <c r="AC6" s="114"/>
      <c r="AD6" s="114"/>
      <c r="AE6" s="114"/>
      <c r="AI6" s="2"/>
      <c r="AJ6" s="2"/>
      <c r="AK6" s="2"/>
      <c r="AL6" s="2"/>
      <c r="AM6" s="2"/>
      <c r="AN6" s="2"/>
      <c r="AO6" s="2"/>
    </row>
    <row r="8" spans="2:41" x14ac:dyDescent="0.2">
      <c r="B8" s="115" t="s">
        <v>64</v>
      </c>
      <c r="C8" s="115"/>
      <c r="D8" s="115"/>
      <c r="E8" s="115"/>
      <c r="F8" s="115"/>
      <c r="G8" s="115"/>
      <c r="H8" s="115"/>
      <c r="I8" s="115"/>
      <c r="J8" s="115"/>
      <c r="K8" s="115"/>
      <c r="L8" s="115"/>
      <c r="M8" s="115"/>
      <c r="N8" s="115"/>
      <c r="O8" s="115"/>
      <c r="P8" s="115"/>
      <c r="Q8" s="115"/>
      <c r="R8" s="115"/>
      <c r="S8" s="115"/>
      <c r="T8" s="115"/>
      <c r="U8" s="115"/>
      <c r="V8" s="115"/>
      <c r="W8" s="115"/>
      <c r="X8" s="115"/>
      <c r="Y8" s="115"/>
      <c r="Z8" s="115"/>
      <c r="AA8" s="115"/>
      <c r="AB8" s="115"/>
      <c r="AC8" s="115"/>
      <c r="AD8" s="115"/>
      <c r="AE8" s="115"/>
      <c r="AF8" s="115"/>
    </row>
    <row r="9" spans="2:41" x14ac:dyDescent="0.2">
      <c r="B9" s="115"/>
      <c r="C9" s="115"/>
      <c r="D9" s="115"/>
      <c r="E9" s="115"/>
      <c r="F9" s="115"/>
      <c r="G9" s="115"/>
      <c r="H9" s="115"/>
      <c r="I9" s="115"/>
      <c r="J9" s="115"/>
      <c r="K9" s="115"/>
      <c r="L9" s="115"/>
      <c r="M9" s="115"/>
      <c r="N9" s="115"/>
      <c r="O9" s="115"/>
      <c r="P9" s="115"/>
      <c r="Q9" s="115"/>
      <c r="R9" s="115"/>
      <c r="S9" s="115"/>
      <c r="T9" s="115"/>
      <c r="U9" s="115"/>
      <c r="V9" s="115"/>
      <c r="W9" s="115"/>
      <c r="X9" s="115"/>
      <c r="Y9" s="115"/>
      <c r="Z9" s="115"/>
      <c r="AA9" s="115"/>
      <c r="AB9" s="115"/>
      <c r="AC9" s="115"/>
      <c r="AD9" s="115"/>
      <c r="AE9" s="115"/>
      <c r="AF9" s="115"/>
    </row>
    <row r="10" spans="2:41" x14ac:dyDescent="0.2">
      <c r="B10" s="115"/>
      <c r="C10" s="115"/>
      <c r="D10" s="115"/>
      <c r="E10" s="115"/>
      <c r="F10" s="115"/>
      <c r="G10" s="115"/>
      <c r="H10" s="115"/>
      <c r="I10" s="115"/>
      <c r="J10" s="115"/>
      <c r="K10" s="115"/>
      <c r="L10" s="115"/>
      <c r="M10" s="115"/>
      <c r="N10" s="115"/>
      <c r="O10" s="115"/>
      <c r="P10" s="115"/>
      <c r="Q10" s="115"/>
      <c r="R10" s="115"/>
      <c r="S10" s="115"/>
      <c r="T10" s="115"/>
      <c r="U10" s="115"/>
      <c r="V10" s="115"/>
      <c r="W10" s="115"/>
      <c r="X10" s="115"/>
      <c r="Y10" s="115"/>
      <c r="Z10" s="115"/>
      <c r="AA10" s="115"/>
      <c r="AB10" s="115"/>
      <c r="AC10" s="115"/>
      <c r="AD10" s="115"/>
      <c r="AE10" s="115"/>
      <c r="AF10" s="115"/>
    </row>
    <row r="12" spans="2:41" x14ac:dyDescent="0.2">
      <c r="B12" s="115" t="s">
        <v>207</v>
      </c>
      <c r="C12" s="115"/>
      <c r="D12" s="115"/>
      <c r="E12" s="115"/>
      <c r="F12" s="115"/>
      <c r="G12" s="115"/>
      <c r="H12" s="115"/>
      <c r="I12" s="115"/>
      <c r="J12" s="115"/>
      <c r="K12" s="115"/>
      <c r="L12" s="115"/>
      <c r="M12" s="115"/>
      <c r="N12" s="115"/>
      <c r="O12" s="115"/>
      <c r="P12" s="115"/>
      <c r="Q12" s="115"/>
      <c r="R12" s="115"/>
      <c r="S12" s="115"/>
      <c r="T12" s="115"/>
      <c r="U12" s="115"/>
      <c r="V12" s="115"/>
      <c r="W12" s="115"/>
      <c r="X12" s="115"/>
      <c r="Y12" s="115"/>
      <c r="Z12" s="115"/>
      <c r="AA12" s="115"/>
      <c r="AB12" s="115"/>
      <c r="AC12" s="115"/>
      <c r="AD12" s="115"/>
      <c r="AE12" s="115"/>
      <c r="AF12" s="115"/>
    </row>
    <row r="13" spans="2:41" x14ac:dyDescent="0.2">
      <c r="B13" s="115"/>
      <c r="C13" s="115"/>
      <c r="D13" s="115"/>
      <c r="E13" s="115"/>
      <c r="F13" s="115"/>
      <c r="G13" s="115"/>
      <c r="H13" s="115"/>
      <c r="I13" s="115"/>
      <c r="J13" s="115"/>
      <c r="K13" s="115"/>
      <c r="L13" s="115"/>
      <c r="M13" s="115"/>
      <c r="N13" s="115"/>
      <c r="O13" s="115"/>
      <c r="P13" s="115"/>
      <c r="Q13" s="115"/>
      <c r="R13" s="115"/>
      <c r="S13" s="115"/>
      <c r="T13" s="115"/>
      <c r="U13" s="115"/>
      <c r="V13" s="115"/>
      <c r="W13" s="115"/>
      <c r="X13" s="115"/>
      <c r="Y13" s="115"/>
      <c r="Z13" s="115"/>
      <c r="AA13" s="115"/>
      <c r="AB13" s="115"/>
      <c r="AC13" s="115"/>
      <c r="AD13" s="115"/>
      <c r="AE13" s="115"/>
      <c r="AF13" s="115"/>
    </row>
    <row r="15" spans="2:41" x14ac:dyDescent="0.2">
      <c r="B15" s="7" t="s">
        <v>1037</v>
      </c>
    </row>
    <row r="17" spans="2:35" x14ac:dyDescent="0.2">
      <c r="B17" s="2"/>
      <c r="C17" s="2"/>
      <c r="D17" s="2"/>
      <c r="E17" s="2" t="s">
        <v>214</v>
      </c>
      <c r="F17" s="2"/>
      <c r="G17" s="2"/>
      <c r="H17" s="2"/>
      <c r="I17" s="2" t="s">
        <v>223</v>
      </c>
      <c r="J17" s="2"/>
      <c r="K17" s="2"/>
      <c r="L17" s="2"/>
      <c r="M17" s="2"/>
      <c r="N17" s="2"/>
      <c r="O17" s="2"/>
      <c r="P17" s="2"/>
      <c r="Q17" s="2"/>
      <c r="R17" s="2"/>
      <c r="S17" s="2"/>
      <c r="T17" s="2"/>
      <c r="U17" s="2"/>
      <c r="V17" s="2"/>
      <c r="W17" s="2"/>
      <c r="X17" s="2"/>
      <c r="Y17" s="2"/>
      <c r="Z17" s="2"/>
      <c r="AA17" s="2"/>
      <c r="AB17" s="2"/>
      <c r="AC17" s="2"/>
      <c r="AD17" s="2"/>
      <c r="AE17" s="2"/>
      <c r="AF17" s="2"/>
      <c r="AG17" s="2"/>
    </row>
    <row r="18" spans="2:35" x14ac:dyDescent="0.2">
      <c r="B18" s="2"/>
      <c r="C18" s="2"/>
      <c r="D18" s="2"/>
      <c r="E18" s="2"/>
      <c r="F18" s="2"/>
      <c r="G18" s="2"/>
      <c r="H18" s="2"/>
      <c r="I18" s="2" t="s">
        <v>221</v>
      </c>
      <c r="J18" s="2"/>
      <c r="K18" s="2"/>
      <c r="L18" s="2"/>
      <c r="M18" s="2"/>
      <c r="N18" s="2"/>
      <c r="O18" s="2"/>
      <c r="P18" s="2"/>
      <c r="Q18" s="2"/>
      <c r="R18" s="2"/>
      <c r="S18" s="2"/>
      <c r="T18" s="2"/>
      <c r="U18" s="2"/>
      <c r="V18" s="2"/>
      <c r="W18" s="2"/>
      <c r="X18" s="2"/>
      <c r="Y18" s="2"/>
      <c r="Z18" s="2"/>
      <c r="AA18" s="2"/>
      <c r="AB18" s="2"/>
      <c r="AC18" s="2"/>
      <c r="AD18" s="2"/>
      <c r="AE18" s="2"/>
      <c r="AF18" s="2"/>
      <c r="AG18" s="2"/>
    </row>
    <row r="19" spans="2:35" x14ac:dyDescent="0.2">
      <c r="B19" s="2"/>
      <c r="C19" s="2"/>
      <c r="D19" s="2"/>
      <c r="E19" s="2"/>
      <c r="F19" s="2"/>
      <c r="G19" s="2"/>
      <c r="H19" s="2"/>
      <c r="I19" s="2" t="s">
        <v>220</v>
      </c>
      <c r="J19" s="2"/>
      <c r="K19" s="2"/>
      <c r="L19" s="2"/>
      <c r="M19" s="2"/>
      <c r="N19" s="2"/>
      <c r="O19" s="2"/>
      <c r="P19" s="2"/>
      <c r="Q19" s="2"/>
      <c r="R19" s="2"/>
      <c r="S19" s="2"/>
      <c r="T19" s="2"/>
      <c r="U19" s="2"/>
      <c r="V19" s="2"/>
      <c r="W19" s="2"/>
      <c r="X19" s="2"/>
      <c r="Y19" s="2"/>
      <c r="Z19" s="2"/>
      <c r="AA19" s="2"/>
      <c r="AB19" s="2"/>
      <c r="AC19" s="2"/>
      <c r="AD19" s="2"/>
      <c r="AE19" s="2"/>
      <c r="AF19" s="2"/>
      <c r="AG19" s="2"/>
    </row>
    <row r="20" spans="2:35" x14ac:dyDescent="0.2">
      <c r="B20" s="2"/>
      <c r="C20" s="2"/>
      <c r="D20" s="2"/>
      <c r="E20" s="2"/>
      <c r="F20" s="2"/>
      <c r="G20" s="2"/>
      <c r="H20" s="2"/>
      <c r="I20" s="2" t="s">
        <v>215</v>
      </c>
      <c r="J20" s="2"/>
      <c r="K20" s="2"/>
      <c r="L20" s="2"/>
      <c r="M20" s="2"/>
      <c r="N20" s="2"/>
      <c r="O20" s="2"/>
      <c r="P20" s="2"/>
      <c r="Q20" s="2"/>
      <c r="R20" s="2"/>
      <c r="S20" s="2"/>
      <c r="T20" s="2"/>
      <c r="U20" s="2"/>
      <c r="V20" s="2"/>
      <c r="W20" s="2"/>
      <c r="X20" s="2"/>
      <c r="Y20" s="2"/>
      <c r="Z20" s="2"/>
      <c r="AA20" s="2"/>
      <c r="AB20" s="2"/>
      <c r="AC20" s="2"/>
      <c r="AD20" s="2"/>
      <c r="AE20" s="2"/>
      <c r="AF20" s="2"/>
      <c r="AG20" s="2"/>
    </row>
    <row r="21" spans="2:35" x14ac:dyDescent="0.2">
      <c r="B21" s="2"/>
      <c r="C21" s="2"/>
      <c r="D21" s="2"/>
      <c r="E21" s="2"/>
      <c r="F21" s="2"/>
      <c r="G21" s="2"/>
      <c r="H21" s="2"/>
      <c r="I21" s="2" t="s">
        <v>216</v>
      </c>
      <c r="J21" s="2"/>
      <c r="K21" s="2"/>
      <c r="L21" s="2"/>
      <c r="M21" s="2"/>
      <c r="N21" s="2"/>
      <c r="O21" s="2"/>
      <c r="P21" s="2"/>
      <c r="Q21" s="2"/>
      <c r="R21" s="2"/>
      <c r="S21" s="2"/>
      <c r="T21" s="2"/>
      <c r="U21" s="2"/>
      <c r="V21" s="2"/>
      <c r="W21" s="2"/>
      <c r="X21" s="2"/>
      <c r="Y21" s="2"/>
      <c r="Z21" s="2"/>
      <c r="AA21" s="2"/>
      <c r="AB21" s="2"/>
      <c r="AC21" s="2"/>
      <c r="AD21" s="2"/>
      <c r="AE21" s="2"/>
      <c r="AF21" s="2"/>
      <c r="AG21" s="2"/>
    </row>
    <row r="22" spans="2:35" x14ac:dyDescent="0.2">
      <c r="B22" s="2"/>
      <c r="C22" s="2"/>
      <c r="D22" s="2"/>
      <c r="E22" s="2"/>
      <c r="F22" s="2"/>
      <c r="G22" s="2"/>
      <c r="H22" s="2"/>
      <c r="I22" s="2" t="s">
        <v>217</v>
      </c>
      <c r="J22" s="2"/>
      <c r="K22" s="2"/>
      <c r="L22" s="2"/>
      <c r="M22" s="2"/>
      <c r="N22" s="2"/>
      <c r="O22" s="2"/>
      <c r="P22" s="2"/>
      <c r="Q22" s="2"/>
      <c r="R22" s="2"/>
      <c r="S22" s="2"/>
      <c r="T22" s="2"/>
      <c r="U22" s="2"/>
      <c r="V22" s="2"/>
      <c r="W22" s="2"/>
      <c r="X22" s="2"/>
      <c r="Y22" s="2"/>
      <c r="Z22" s="2"/>
      <c r="AA22" s="2"/>
      <c r="AB22" s="2"/>
      <c r="AC22" s="2"/>
      <c r="AD22" s="2"/>
      <c r="AE22" s="2"/>
      <c r="AF22" s="2"/>
      <c r="AG22" s="2"/>
    </row>
    <row r="23" spans="2:35" x14ac:dyDescent="0.2">
      <c r="B23" s="2"/>
      <c r="C23" s="2"/>
      <c r="D23" s="2"/>
      <c r="E23" s="2"/>
      <c r="F23" s="2"/>
      <c r="G23" s="2"/>
      <c r="H23" s="2"/>
      <c r="I23" s="2" t="s">
        <v>219</v>
      </c>
      <c r="J23" s="2"/>
      <c r="K23" s="2"/>
      <c r="L23" s="2"/>
      <c r="M23" s="2"/>
      <c r="N23" s="2"/>
      <c r="O23" s="2"/>
      <c r="P23" s="2"/>
      <c r="Q23" s="2"/>
      <c r="R23" s="2"/>
      <c r="S23" s="2"/>
      <c r="T23" s="2"/>
      <c r="U23" s="2"/>
      <c r="V23" s="2"/>
      <c r="W23" s="2"/>
      <c r="X23" s="2"/>
      <c r="Y23" s="2"/>
      <c r="Z23" s="2"/>
      <c r="AA23" s="2"/>
      <c r="AB23" s="2"/>
      <c r="AC23" s="2"/>
      <c r="AD23" s="2"/>
      <c r="AE23" s="2"/>
      <c r="AF23" s="2"/>
      <c r="AG23" s="2"/>
    </row>
    <row r="24" spans="2:35" x14ac:dyDescent="0.2">
      <c r="B24" s="2"/>
      <c r="C24" s="2"/>
      <c r="D24" s="2"/>
      <c r="E24" s="2"/>
      <c r="F24" s="2"/>
      <c r="G24" s="2"/>
      <c r="H24" s="2"/>
      <c r="I24" s="2" t="s">
        <v>218</v>
      </c>
      <c r="J24" s="2"/>
      <c r="K24" s="2"/>
      <c r="L24" s="2"/>
      <c r="M24" s="2"/>
      <c r="N24" s="2"/>
      <c r="O24" s="2"/>
      <c r="P24" s="2"/>
      <c r="Q24" s="2"/>
      <c r="R24" s="2"/>
      <c r="S24" s="2"/>
      <c r="T24" s="2"/>
      <c r="U24" s="2"/>
      <c r="V24" s="2"/>
      <c r="W24" s="2"/>
      <c r="X24" s="2"/>
      <c r="Y24" s="2"/>
      <c r="Z24" s="2"/>
      <c r="AA24" s="2"/>
      <c r="AB24" s="2"/>
      <c r="AC24" s="2"/>
      <c r="AD24" s="2"/>
      <c r="AE24" s="2"/>
      <c r="AF24" s="2"/>
      <c r="AG24" s="2"/>
    </row>
    <row r="25" spans="2:35" ht="15" thickBot="1" x14ac:dyDescent="0.25"/>
    <row r="26" spans="2:35" ht="15.75" thickBot="1" x14ac:dyDescent="0.3">
      <c r="B26" s="116" t="s">
        <v>66</v>
      </c>
      <c r="C26" s="117"/>
      <c r="D26" s="117"/>
      <c r="E26" s="117"/>
      <c r="F26" s="117"/>
      <c r="G26" s="117"/>
      <c r="H26" s="117"/>
      <c r="I26" s="117"/>
      <c r="J26" s="117"/>
      <c r="K26" s="118"/>
      <c r="L26" s="116" t="s">
        <v>67</v>
      </c>
      <c r="M26" s="117"/>
      <c r="N26" s="117"/>
      <c r="O26" s="117"/>
      <c r="P26" s="117"/>
      <c r="Q26" s="117"/>
      <c r="R26" s="117"/>
      <c r="S26" s="117"/>
      <c r="T26" s="117"/>
      <c r="U26" s="118"/>
      <c r="V26" s="116" t="s">
        <v>68</v>
      </c>
      <c r="W26" s="117"/>
      <c r="X26" s="117"/>
      <c r="Y26" s="117"/>
      <c r="Z26" s="117"/>
      <c r="AA26" s="117"/>
      <c r="AB26" s="117"/>
      <c r="AC26" s="117"/>
      <c r="AD26" s="117"/>
      <c r="AE26" s="117"/>
      <c r="AF26" s="118"/>
    </row>
    <row r="27" spans="2:35" ht="28.5" customHeight="1" x14ac:dyDescent="0.2">
      <c r="B27" s="92" t="s">
        <v>1036</v>
      </c>
      <c r="C27" s="93"/>
      <c r="D27" s="93"/>
      <c r="E27" s="93"/>
      <c r="F27" s="93"/>
      <c r="G27" s="93"/>
      <c r="H27" s="93"/>
      <c r="I27" s="93"/>
      <c r="J27" s="93"/>
      <c r="K27" s="94"/>
      <c r="L27" s="95" t="s">
        <v>222</v>
      </c>
      <c r="M27" s="96"/>
      <c r="N27" s="96"/>
      <c r="O27" s="96"/>
      <c r="P27" s="96"/>
      <c r="Q27" s="96"/>
      <c r="R27" s="96"/>
      <c r="S27" s="96"/>
      <c r="T27" s="96"/>
      <c r="U27" s="97"/>
      <c r="V27" s="98" t="s">
        <v>1035</v>
      </c>
      <c r="W27" s="99"/>
      <c r="X27" s="99"/>
      <c r="Y27" s="99"/>
      <c r="Z27" s="99"/>
      <c r="AA27" s="99"/>
      <c r="AB27" s="99"/>
      <c r="AC27" s="99"/>
      <c r="AD27" s="99"/>
      <c r="AE27" s="99"/>
      <c r="AF27" s="100"/>
      <c r="AI27" s="1" t="s">
        <v>70</v>
      </c>
    </row>
    <row r="28" spans="2:35" ht="30.75" customHeight="1" x14ac:dyDescent="0.2">
      <c r="B28" s="107" t="s">
        <v>1477</v>
      </c>
      <c r="C28" s="108"/>
      <c r="D28" s="108"/>
      <c r="E28" s="108"/>
      <c r="F28" s="108"/>
      <c r="G28" s="108"/>
      <c r="H28" s="108"/>
      <c r="I28" s="108"/>
      <c r="J28" s="108"/>
      <c r="K28" s="109"/>
      <c r="L28" s="107" t="s">
        <v>1478</v>
      </c>
      <c r="M28" s="108"/>
      <c r="N28" s="108"/>
      <c r="O28" s="108"/>
      <c r="P28" s="108"/>
      <c r="Q28" s="108"/>
      <c r="R28" s="108"/>
      <c r="S28" s="108"/>
      <c r="T28" s="108"/>
      <c r="U28" s="109"/>
      <c r="V28" s="101"/>
      <c r="W28" s="102"/>
      <c r="X28" s="102"/>
      <c r="Y28" s="102"/>
      <c r="Z28" s="102"/>
      <c r="AA28" s="102"/>
      <c r="AB28" s="102"/>
      <c r="AC28" s="102"/>
      <c r="AD28" s="102"/>
      <c r="AE28" s="102"/>
      <c r="AF28" s="103"/>
      <c r="AI28" s="1" t="s">
        <v>71</v>
      </c>
    </row>
    <row r="29" spans="2:35" ht="30.75" customHeight="1" thickBot="1" x14ac:dyDescent="0.25">
      <c r="B29" s="110"/>
      <c r="C29" s="111"/>
      <c r="D29" s="111"/>
      <c r="E29" s="111"/>
      <c r="F29" s="111"/>
      <c r="G29" s="111"/>
      <c r="H29" s="111"/>
      <c r="I29" s="111"/>
      <c r="J29" s="111"/>
      <c r="K29" s="112"/>
      <c r="L29" s="110"/>
      <c r="M29" s="111"/>
      <c r="N29" s="111"/>
      <c r="O29" s="111"/>
      <c r="P29" s="111"/>
      <c r="Q29" s="111"/>
      <c r="R29" s="111"/>
      <c r="S29" s="111"/>
      <c r="T29" s="111"/>
      <c r="U29" s="112"/>
      <c r="V29" s="104"/>
      <c r="W29" s="105"/>
      <c r="X29" s="105"/>
      <c r="Y29" s="105"/>
      <c r="Z29" s="105"/>
      <c r="AA29" s="105"/>
      <c r="AB29" s="105"/>
      <c r="AC29" s="105"/>
      <c r="AD29" s="105"/>
      <c r="AE29" s="105"/>
      <c r="AF29" s="106"/>
    </row>
  </sheetData>
  <mergeCells count="15">
    <mergeCell ref="AI3:AO5"/>
    <mergeCell ref="B29:K29"/>
    <mergeCell ref="L29:U29"/>
    <mergeCell ref="V27:AF29"/>
    <mergeCell ref="B26:K26"/>
    <mergeCell ref="L26:U26"/>
    <mergeCell ref="V26:AF26"/>
    <mergeCell ref="B27:K27"/>
    <mergeCell ref="B28:K28"/>
    <mergeCell ref="L27:U27"/>
    <mergeCell ref="L28:U28"/>
    <mergeCell ref="D4:AE4"/>
    <mergeCell ref="I6:AE6"/>
    <mergeCell ref="B8:AF10"/>
    <mergeCell ref="B12:AF13"/>
  </mergeCells>
  <pageMargins left="0.7" right="0.7" top="1.25" bottom="0.75" header="0.3" footer="0.3"/>
  <pageSetup scale="87" fitToHeight="0" orientation="portrait" horizontalDpi="1200" verticalDpi="1200" r:id="rId1"/>
  <headerFooter>
    <oddHeader>&amp;L&amp;G
Client: Keyera
Project No: F3KY&amp;C&amp;G&amp;RDesigned By: CW
Checked By: JS
Date: 13-MAY-2026
Revision: 0</oddHeader>
    <oddFooter>&amp;LContractor Document No:  F3KY-215-CAL-047</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A30B6-9BF1-4076-9629-01F12717E1E9}">
  <sheetPr codeName="Sheet4">
    <pageSetUpPr fitToPage="1"/>
  </sheetPr>
  <dimension ref="B1:AI199"/>
  <sheetViews>
    <sheetView view="pageBreakPreview" topLeftCell="A111" zoomScale="115" zoomScaleNormal="100" zoomScaleSheetLayoutView="115" workbookViewId="0">
      <selection activeCell="AG57" sqref="AG57"/>
    </sheetView>
  </sheetViews>
  <sheetFormatPr defaultRowHeight="14.25" x14ac:dyDescent="0.2"/>
  <cols>
    <col min="1" max="33" width="3.140625" style="1" customWidth="1"/>
    <col min="34" max="16384" width="9.140625" style="1"/>
  </cols>
  <sheetData>
    <row r="1" spans="2:35" x14ac:dyDescent="0.2">
      <c r="AI1" s="1" t="s">
        <v>0</v>
      </c>
    </row>
    <row r="2" spans="2:35" ht="15" x14ac:dyDescent="0.25">
      <c r="B2" s="4" t="s">
        <v>73</v>
      </c>
    </row>
    <row r="3" spans="2:35" x14ac:dyDescent="0.2">
      <c r="AI3" s="1" t="s">
        <v>77</v>
      </c>
    </row>
    <row r="4" spans="2:35" x14ac:dyDescent="0.2">
      <c r="C4" s="240" t="s">
        <v>1038</v>
      </c>
      <c r="D4" s="240"/>
      <c r="E4" s="240"/>
      <c r="F4" s="240"/>
      <c r="G4" s="240"/>
      <c r="H4" s="240"/>
      <c r="I4" s="240"/>
      <c r="J4" s="240"/>
      <c r="K4" s="240"/>
      <c r="L4" s="240"/>
      <c r="M4" s="240"/>
      <c r="N4" s="240"/>
      <c r="O4" s="240"/>
      <c r="P4" s="240"/>
      <c r="Q4" s="240"/>
      <c r="R4" s="240"/>
      <c r="S4" s="240"/>
      <c r="T4" s="240"/>
      <c r="U4" s="240"/>
      <c r="V4" s="240"/>
      <c r="W4" s="240"/>
      <c r="X4" s="240"/>
      <c r="Y4" s="240"/>
      <c r="Z4" s="240"/>
      <c r="AA4" s="240"/>
      <c r="AB4" s="240"/>
      <c r="AC4" s="240"/>
      <c r="AD4" s="240"/>
      <c r="AE4" s="240"/>
      <c r="AF4" s="240"/>
    </row>
    <row r="5" spans="2:35" x14ac:dyDescent="0.2">
      <c r="C5" s="240"/>
      <c r="D5" s="240"/>
      <c r="E5" s="240"/>
      <c r="F5" s="240"/>
      <c r="G5" s="240"/>
      <c r="H5" s="240"/>
      <c r="I5" s="240"/>
      <c r="J5" s="240"/>
      <c r="K5" s="240"/>
      <c r="L5" s="240"/>
      <c r="M5" s="240"/>
      <c r="N5" s="240"/>
      <c r="O5" s="240"/>
      <c r="P5" s="240"/>
      <c r="Q5" s="240"/>
      <c r="R5" s="240"/>
      <c r="S5" s="240"/>
      <c r="T5" s="240"/>
      <c r="U5" s="240"/>
      <c r="V5" s="240"/>
      <c r="W5" s="240"/>
      <c r="X5" s="240"/>
      <c r="Y5" s="240"/>
      <c r="Z5" s="240"/>
      <c r="AA5" s="240"/>
      <c r="AB5" s="240"/>
      <c r="AC5" s="240"/>
      <c r="AD5" s="240"/>
      <c r="AE5" s="240"/>
      <c r="AF5" s="240"/>
    </row>
    <row r="6" spans="2:35" x14ac:dyDescent="0.2">
      <c r="C6" s="240"/>
      <c r="D6" s="240"/>
      <c r="E6" s="240"/>
      <c r="F6" s="240"/>
      <c r="G6" s="240"/>
      <c r="H6" s="240"/>
      <c r="I6" s="240"/>
      <c r="J6" s="240"/>
      <c r="K6" s="240"/>
      <c r="L6" s="240"/>
      <c r="M6" s="240"/>
      <c r="N6" s="240"/>
      <c r="O6" s="240"/>
      <c r="P6" s="240"/>
      <c r="Q6" s="240"/>
      <c r="R6" s="240"/>
      <c r="S6" s="240"/>
      <c r="T6" s="240"/>
      <c r="U6" s="240"/>
      <c r="V6" s="240"/>
      <c r="W6" s="240"/>
      <c r="X6" s="240"/>
      <c r="Y6" s="240"/>
      <c r="Z6" s="240"/>
      <c r="AA6" s="240"/>
      <c r="AB6" s="240"/>
      <c r="AC6" s="240"/>
      <c r="AD6" s="240"/>
      <c r="AE6" s="240"/>
      <c r="AF6" s="240"/>
    </row>
    <row r="7" spans="2:35" x14ac:dyDescent="0.2">
      <c r="C7" s="240"/>
      <c r="D7" s="240"/>
      <c r="E7" s="240"/>
      <c r="F7" s="240"/>
      <c r="G7" s="240"/>
      <c r="H7" s="240"/>
      <c r="I7" s="240"/>
      <c r="J7" s="240"/>
      <c r="K7" s="240"/>
      <c r="L7" s="240"/>
      <c r="M7" s="240"/>
      <c r="N7" s="240"/>
      <c r="O7" s="240"/>
      <c r="P7" s="240"/>
      <c r="Q7" s="240"/>
      <c r="R7" s="240"/>
      <c r="S7" s="240"/>
      <c r="T7" s="240"/>
      <c r="U7" s="240"/>
      <c r="V7" s="240"/>
      <c r="W7" s="240"/>
      <c r="X7" s="240"/>
      <c r="Y7" s="240"/>
      <c r="Z7" s="240"/>
      <c r="AA7" s="240"/>
      <c r="AB7" s="240"/>
      <c r="AC7" s="240"/>
      <c r="AD7" s="240"/>
      <c r="AE7" s="240"/>
      <c r="AF7" s="240"/>
    </row>
    <row r="8" spans="2:35" x14ac:dyDescent="0.2">
      <c r="C8" s="240"/>
      <c r="D8" s="240"/>
      <c r="E8" s="240"/>
      <c r="F8" s="240"/>
      <c r="G8" s="240"/>
      <c r="H8" s="240"/>
      <c r="I8" s="240"/>
      <c r="J8" s="240"/>
      <c r="K8" s="240"/>
      <c r="L8" s="240"/>
      <c r="M8" s="240"/>
      <c r="N8" s="240"/>
      <c r="O8" s="240"/>
      <c r="P8" s="240"/>
      <c r="Q8" s="240"/>
      <c r="R8" s="240"/>
      <c r="S8" s="240"/>
      <c r="T8" s="240"/>
      <c r="U8" s="240"/>
      <c r="V8" s="240"/>
      <c r="W8" s="240"/>
      <c r="X8" s="240"/>
      <c r="Y8" s="240"/>
      <c r="Z8" s="240"/>
      <c r="AA8" s="240"/>
      <c r="AB8" s="240"/>
      <c r="AC8" s="240"/>
      <c r="AD8" s="240"/>
      <c r="AE8" s="240"/>
      <c r="AF8" s="240"/>
    </row>
    <row r="9" spans="2:35" x14ac:dyDescent="0.2">
      <c r="C9" s="240"/>
      <c r="D9" s="240"/>
      <c r="E9" s="240"/>
      <c r="F9" s="240"/>
      <c r="G9" s="240"/>
      <c r="H9" s="240"/>
      <c r="I9" s="240"/>
      <c r="J9" s="240"/>
      <c r="K9" s="240"/>
      <c r="L9" s="240"/>
      <c r="M9" s="240"/>
      <c r="N9" s="240"/>
      <c r="O9" s="240"/>
      <c r="P9" s="240"/>
      <c r="Q9" s="240"/>
      <c r="R9" s="240"/>
      <c r="S9" s="240"/>
      <c r="T9" s="240"/>
      <c r="U9" s="240"/>
      <c r="V9" s="240"/>
      <c r="W9" s="240"/>
      <c r="X9" s="240"/>
      <c r="Y9" s="240"/>
      <c r="Z9" s="240"/>
      <c r="AA9" s="240"/>
      <c r="AB9" s="240"/>
      <c r="AC9" s="240"/>
      <c r="AD9" s="240"/>
      <c r="AE9" s="240"/>
      <c r="AF9" s="240"/>
    </row>
    <row r="10" spans="2:35" x14ac:dyDescent="0.2">
      <c r="C10" s="240"/>
      <c r="D10" s="240"/>
      <c r="E10" s="240"/>
      <c r="F10" s="240"/>
      <c r="G10" s="240"/>
      <c r="H10" s="240"/>
      <c r="I10" s="240"/>
      <c r="J10" s="240"/>
      <c r="K10" s="240"/>
      <c r="L10" s="240"/>
      <c r="M10" s="240"/>
      <c r="N10" s="240"/>
      <c r="O10" s="240"/>
      <c r="P10" s="240"/>
      <c r="Q10" s="240"/>
      <c r="R10" s="240"/>
      <c r="S10" s="240"/>
      <c r="T10" s="240"/>
      <c r="U10" s="240"/>
      <c r="V10" s="240"/>
      <c r="W10" s="240"/>
      <c r="X10" s="240"/>
      <c r="Y10" s="240"/>
      <c r="Z10" s="240"/>
      <c r="AA10" s="240"/>
      <c r="AB10" s="240"/>
      <c r="AC10" s="240"/>
      <c r="AD10" s="240"/>
      <c r="AE10" s="240"/>
      <c r="AF10" s="240"/>
    </row>
    <row r="11" spans="2:35" x14ac:dyDescent="0.2">
      <c r="C11" s="240"/>
      <c r="D11" s="240"/>
      <c r="E11" s="240"/>
      <c r="F11" s="240"/>
      <c r="G11" s="240"/>
      <c r="H11" s="240"/>
      <c r="I11" s="240"/>
      <c r="J11" s="240"/>
      <c r="K11" s="240"/>
      <c r="L11" s="240"/>
      <c r="M11" s="240"/>
      <c r="N11" s="240"/>
      <c r="O11" s="240"/>
      <c r="P11" s="240"/>
      <c r="Q11" s="240"/>
      <c r="R11" s="240"/>
      <c r="S11" s="240"/>
      <c r="T11" s="240"/>
      <c r="U11" s="240"/>
      <c r="V11" s="240"/>
      <c r="W11" s="240"/>
      <c r="X11" s="240"/>
      <c r="Y11" s="240"/>
      <c r="Z11" s="240"/>
      <c r="AA11" s="240"/>
      <c r="AB11" s="240"/>
      <c r="AC11" s="240"/>
      <c r="AD11" s="240"/>
      <c r="AE11" s="240"/>
      <c r="AF11" s="240"/>
    </row>
    <row r="12" spans="2:35" x14ac:dyDescent="0.2">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row>
    <row r="13" spans="2:35" x14ac:dyDescent="0.2">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row>
    <row r="14" spans="2:35" x14ac:dyDescent="0.2">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row>
    <row r="15" spans="2:35" x14ac:dyDescent="0.2">
      <c r="C15" s="11"/>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row>
    <row r="16" spans="2:35" x14ac:dyDescent="0.2">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row>
    <row r="17" spans="3:32" x14ac:dyDescent="0.2">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row>
    <row r="18" spans="3:32" x14ac:dyDescent="0.2">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row>
    <row r="19" spans="3:32" x14ac:dyDescent="0.2">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row>
    <row r="20" spans="3:32" x14ac:dyDescent="0.2">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row>
    <row r="21" spans="3:32" ht="14.25" customHeight="1" x14ac:dyDescent="0.2">
      <c r="C21" s="240" t="s">
        <v>1388</v>
      </c>
      <c r="D21" s="240"/>
      <c r="E21" s="240"/>
      <c r="F21" s="240"/>
      <c r="G21" s="240"/>
      <c r="H21" s="240"/>
      <c r="I21" s="240"/>
      <c r="J21" s="240"/>
      <c r="K21" s="240"/>
      <c r="L21" s="240"/>
      <c r="M21" s="240"/>
      <c r="N21" s="240"/>
      <c r="O21" s="240"/>
      <c r="P21" s="240"/>
      <c r="Q21" s="240"/>
      <c r="R21" s="240"/>
      <c r="S21" s="240"/>
      <c r="T21" s="240"/>
      <c r="U21" s="240"/>
      <c r="V21" s="240"/>
      <c r="W21" s="240"/>
      <c r="X21" s="240"/>
      <c r="Y21" s="240"/>
      <c r="Z21" s="240"/>
      <c r="AA21" s="240"/>
      <c r="AB21" s="240"/>
      <c r="AC21" s="240"/>
      <c r="AD21" s="240"/>
      <c r="AE21" s="240"/>
      <c r="AF21" s="240"/>
    </row>
    <row r="22" spans="3:32" x14ac:dyDescent="0.2">
      <c r="C22" s="240"/>
      <c r="D22" s="240"/>
      <c r="E22" s="240"/>
      <c r="F22" s="240"/>
      <c r="G22" s="240"/>
      <c r="H22" s="240"/>
      <c r="I22" s="240"/>
      <c r="J22" s="240"/>
      <c r="K22" s="240"/>
      <c r="L22" s="240"/>
      <c r="M22" s="240"/>
      <c r="N22" s="240"/>
      <c r="O22" s="240"/>
      <c r="P22" s="240"/>
      <c r="Q22" s="240"/>
      <c r="R22" s="240"/>
      <c r="S22" s="240"/>
      <c r="T22" s="240"/>
      <c r="U22" s="240"/>
      <c r="V22" s="240"/>
      <c r="W22" s="240"/>
      <c r="X22" s="240"/>
      <c r="Y22" s="240"/>
      <c r="Z22" s="240"/>
      <c r="AA22" s="240"/>
      <c r="AB22" s="240"/>
      <c r="AC22" s="240"/>
      <c r="AD22" s="240"/>
      <c r="AE22" s="240"/>
      <c r="AF22" s="240"/>
    </row>
    <row r="23" spans="3:32" x14ac:dyDescent="0.2">
      <c r="C23" s="240"/>
      <c r="D23" s="240"/>
      <c r="E23" s="240"/>
      <c r="F23" s="240"/>
      <c r="G23" s="240"/>
      <c r="H23" s="240"/>
      <c r="I23" s="240"/>
      <c r="J23" s="240"/>
      <c r="K23" s="240"/>
      <c r="L23" s="240"/>
      <c r="M23" s="240"/>
      <c r="N23" s="240"/>
      <c r="O23" s="240"/>
      <c r="P23" s="240"/>
      <c r="Q23" s="240"/>
      <c r="R23" s="240"/>
      <c r="S23" s="240"/>
      <c r="T23" s="240"/>
      <c r="U23" s="240"/>
      <c r="V23" s="240"/>
      <c r="W23" s="240"/>
      <c r="X23" s="240"/>
      <c r="Y23" s="240"/>
      <c r="Z23" s="240"/>
      <c r="AA23" s="240"/>
      <c r="AB23" s="240"/>
      <c r="AC23" s="240"/>
      <c r="AD23" s="240"/>
      <c r="AE23" s="240"/>
      <c r="AF23" s="240"/>
    </row>
    <row r="24" spans="3:32" x14ac:dyDescent="0.2">
      <c r="C24" s="240"/>
      <c r="D24" s="240"/>
      <c r="E24" s="240"/>
      <c r="F24" s="240"/>
      <c r="G24" s="240"/>
      <c r="H24" s="240"/>
      <c r="I24" s="240"/>
      <c r="J24" s="240"/>
      <c r="K24" s="240"/>
      <c r="L24" s="240"/>
      <c r="M24" s="240"/>
      <c r="N24" s="240"/>
      <c r="O24" s="240"/>
      <c r="P24" s="240"/>
      <c r="Q24" s="240"/>
      <c r="R24" s="240"/>
      <c r="S24" s="240"/>
      <c r="T24" s="240"/>
      <c r="U24" s="240"/>
      <c r="V24" s="240"/>
      <c r="W24" s="240"/>
      <c r="X24" s="240"/>
      <c r="Y24" s="240"/>
      <c r="Z24" s="240"/>
      <c r="AA24" s="240"/>
      <c r="AB24" s="240"/>
      <c r="AC24" s="240"/>
      <c r="AD24" s="240"/>
      <c r="AE24" s="240"/>
      <c r="AF24" s="240"/>
    </row>
    <row r="25" spans="3:32" x14ac:dyDescent="0.2">
      <c r="C25" s="240"/>
      <c r="D25" s="240"/>
      <c r="E25" s="240"/>
      <c r="F25" s="240"/>
      <c r="G25" s="240"/>
      <c r="H25" s="240"/>
      <c r="I25" s="240"/>
      <c r="J25" s="240"/>
      <c r="K25" s="240"/>
      <c r="L25" s="240"/>
      <c r="M25" s="240"/>
      <c r="N25" s="240"/>
      <c r="O25" s="240"/>
      <c r="P25" s="240"/>
      <c r="Q25" s="240"/>
      <c r="R25" s="240"/>
      <c r="S25" s="240"/>
      <c r="T25" s="240"/>
      <c r="U25" s="240"/>
      <c r="V25" s="240"/>
      <c r="W25" s="240"/>
      <c r="X25" s="240"/>
      <c r="Y25" s="240"/>
      <c r="Z25" s="240"/>
      <c r="AA25" s="240"/>
      <c r="AB25" s="240"/>
      <c r="AC25" s="240"/>
      <c r="AD25" s="240"/>
      <c r="AE25" s="240"/>
      <c r="AF25" s="240"/>
    </row>
    <row r="26" spans="3:32" x14ac:dyDescent="0.2">
      <c r="C26" s="240"/>
      <c r="D26" s="240"/>
      <c r="E26" s="240"/>
      <c r="F26" s="240"/>
      <c r="G26" s="240"/>
      <c r="H26" s="240"/>
      <c r="I26" s="240"/>
      <c r="J26" s="240"/>
      <c r="K26" s="240"/>
      <c r="L26" s="240"/>
      <c r="M26" s="240"/>
      <c r="N26" s="240"/>
      <c r="O26" s="240"/>
      <c r="P26" s="240"/>
      <c r="Q26" s="240"/>
      <c r="R26" s="240"/>
      <c r="S26" s="240"/>
      <c r="T26" s="240"/>
      <c r="U26" s="240"/>
      <c r="V26" s="240"/>
      <c r="W26" s="240"/>
      <c r="X26" s="240"/>
      <c r="Y26" s="240"/>
      <c r="Z26" s="240"/>
      <c r="AA26" s="240"/>
      <c r="AB26" s="240"/>
      <c r="AC26" s="240"/>
      <c r="AD26" s="240"/>
      <c r="AE26" s="240"/>
      <c r="AF26" s="240"/>
    </row>
    <row r="27" spans="3:32" x14ac:dyDescent="0.2">
      <c r="C27" s="240"/>
      <c r="D27" s="240"/>
      <c r="E27" s="240"/>
      <c r="F27" s="240"/>
      <c r="G27" s="240"/>
      <c r="H27" s="240"/>
      <c r="I27" s="240"/>
      <c r="J27" s="240"/>
      <c r="K27" s="240"/>
      <c r="L27" s="240"/>
      <c r="M27" s="240"/>
      <c r="N27" s="240"/>
      <c r="O27" s="240"/>
      <c r="P27" s="240"/>
      <c r="Q27" s="240"/>
      <c r="R27" s="240"/>
      <c r="S27" s="240"/>
      <c r="T27" s="240"/>
      <c r="U27" s="240"/>
      <c r="V27" s="240"/>
      <c r="W27" s="240"/>
      <c r="X27" s="240"/>
      <c r="Y27" s="240"/>
      <c r="Z27" s="240"/>
      <c r="AA27" s="240"/>
      <c r="AB27" s="240"/>
      <c r="AC27" s="240"/>
      <c r="AD27" s="240"/>
      <c r="AE27" s="240"/>
      <c r="AF27" s="240"/>
    </row>
    <row r="28" spans="3:32" x14ac:dyDescent="0.2">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row>
    <row r="29" spans="3:32" x14ac:dyDescent="0.2">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row>
    <row r="30" spans="3:32" x14ac:dyDescent="0.2">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row>
    <row r="31" spans="3:32" x14ac:dyDescent="0.2">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row>
    <row r="32" spans="3:32" x14ac:dyDescent="0.2">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row>
    <row r="33" spans="3:32" x14ac:dyDescent="0.2">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row>
    <row r="34" spans="3:32" x14ac:dyDescent="0.2">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row>
    <row r="35" spans="3:32" x14ac:dyDescent="0.2">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row>
    <row r="36" spans="3:32" x14ac:dyDescent="0.2">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row>
    <row r="37" spans="3:32" x14ac:dyDescent="0.2">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row>
    <row r="38" spans="3:32" x14ac:dyDescent="0.2">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row>
    <row r="39" spans="3:32" x14ac:dyDescent="0.2">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row>
    <row r="40" spans="3:32" x14ac:dyDescent="0.2">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row>
    <row r="41" spans="3:32" x14ac:dyDescent="0.2">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row>
    <row r="42" spans="3:32" x14ac:dyDescent="0.2">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row>
    <row r="43" spans="3:32" x14ac:dyDescent="0.2">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row>
    <row r="44" spans="3:32" x14ac:dyDescent="0.2">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row>
    <row r="45" spans="3:32" x14ac:dyDescent="0.2">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row>
    <row r="46" spans="3:32" x14ac:dyDescent="0.2">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row>
    <row r="47" spans="3:32" x14ac:dyDescent="0.2">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row>
    <row r="48" spans="3:32" x14ac:dyDescent="0.2">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row>
    <row r="49" spans="2:32" x14ac:dyDescent="0.2">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row>
    <row r="50" spans="2:32" x14ac:dyDescent="0.2">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row>
    <row r="51" spans="2:32" x14ac:dyDescent="0.2">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row>
    <row r="52" spans="2:32" x14ac:dyDescent="0.2">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row>
    <row r="54" spans="2:32" ht="15" x14ac:dyDescent="0.25">
      <c r="B54" s="4" t="s">
        <v>74</v>
      </c>
    </row>
    <row r="56" spans="2:32" x14ac:dyDescent="0.2">
      <c r="H56" s="9"/>
    </row>
    <row r="84" spans="2:32" ht="15" customHeight="1" x14ac:dyDescent="0.2">
      <c r="B84" s="241" t="s">
        <v>224</v>
      </c>
      <c r="C84" s="241"/>
      <c r="D84" s="241"/>
      <c r="E84" s="241"/>
      <c r="F84" s="241"/>
      <c r="G84" s="241"/>
      <c r="H84" s="241"/>
      <c r="I84" s="241"/>
      <c r="J84" s="241"/>
      <c r="K84" s="241"/>
      <c r="L84" s="241"/>
      <c r="M84" s="241"/>
      <c r="N84" s="241"/>
      <c r="O84" s="241"/>
      <c r="P84" s="241"/>
      <c r="Q84" s="241"/>
      <c r="R84" s="241"/>
      <c r="S84" s="241"/>
      <c r="T84" s="241"/>
      <c r="U84" s="241"/>
      <c r="V84" s="241"/>
      <c r="W84" s="241"/>
      <c r="X84" s="241"/>
      <c r="Y84" s="241"/>
      <c r="Z84" s="241"/>
      <c r="AA84" s="241"/>
      <c r="AB84" s="241"/>
      <c r="AC84" s="241"/>
      <c r="AD84" s="241"/>
      <c r="AE84" s="241"/>
      <c r="AF84" s="241"/>
    </row>
    <row r="92" spans="2:32" ht="15" x14ac:dyDescent="0.25">
      <c r="B92" s="4" t="s">
        <v>75</v>
      </c>
    </row>
    <row r="93" spans="2:32" ht="14.25" customHeight="1" x14ac:dyDescent="0.2">
      <c r="C93" s="240" t="s">
        <v>1389</v>
      </c>
      <c r="D93" s="240"/>
      <c r="E93" s="240"/>
      <c r="F93" s="240"/>
      <c r="G93" s="240"/>
      <c r="H93" s="240"/>
      <c r="I93" s="240"/>
      <c r="J93" s="240"/>
      <c r="K93" s="240"/>
      <c r="L93" s="240"/>
      <c r="M93" s="240"/>
      <c r="N93" s="240"/>
      <c r="O93" s="240"/>
      <c r="P93" s="240"/>
      <c r="Q93" s="240"/>
      <c r="R93" s="240"/>
      <c r="S93" s="240"/>
      <c r="T93" s="240"/>
      <c r="U93" s="240"/>
      <c r="V93" s="240"/>
      <c r="W93" s="240"/>
      <c r="X93" s="240"/>
      <c r="Y93" s="240"/>
      <c r="Z93" s="240"/>
      <c r="AA93" s="240"/>
      <c r="AB93" s="240"/>
      <c r="AC93" s="240"/>
      <c r="AD93" s="240"/>
      <c r="AE93" s="240"/>
      <c r="AF93" s="240"/>
    </row>
    <row r="94" spans="2:32" x14ac:dyDescent="0.2">
      <c r="C94" s="240"/>
      <c r="D94" s="240"/>
      <c r="E94" s="240"/>
      <c r="F94" s="240"/>
      <c r="G94" s="240"/>
      <c r="H94" s="240"/>
      <c r="I94" s="240"/>
      <c r="J94" s="240"/>
      <c r="K94" s="240"/>
      <c r="L94" s="240"/>
      <c r="M94" s="240"/>
      <c r="N94" s="240"/>
      <c r="O94" s="240"/>
      <c r="P94" s="240"/>
      <c r="Q94" s="240"/>
      <c r="R94" s="240"/>
      <c r="S94" s="240"/>
      <c r="T94" s="240"/>
      <c r="U94" s="240"/>
      <c r="V94" s="240"/>
      <c r="W94" s="240"/>
      <c r="X94" s="240"/>
      <c r="Y94" s="240"/>
      <c r="Z94" s="240"/>
      <c r="AA94" s="240"/>
      <c r="AB94" s="240"/>
      <c r="AC94" s="240"/>
      <c r="AD94" s="240"/>
      <c r="AE94" s="240"/>
      <c r="AF94" s="240"/>
    </row>
    <row r="95" spans="2:32" x14ac:dyDescent="0.2">
      <c r="C95" s="240"/>
      <c r="D95" s="240"/>
      <c r="E95" s="240"/>
      <c r="F95" s="240"/>
      <c r="G95" s="240"/>
      <c r="H95" s="240"/>
      <c r="I95" s="240"/>
      <c r="J95" s="240"/>
      <c r="K95" s="240"/>
      <c r="L95" s="240"/>
      <c r="M95" s="240"/>
      <c r="N95" s="240"/>
      <c r="O95" s="240"/>
      <c r="P95" s="240"/>
      <c r="Q95" s="240"/>
      <c r="R95" s="240"/>
      <c r="S95" s="240"/>
      <c r="T95" s="240"/>
      <c r="U95" s="240"/>
      <c r="V95" s="240"/>
      <c r="W95" s="240"/>
      <c r="X95" s="240"/>
      <c r="Y95" s="240"/>
      <c r="Z95" s="240"/>
      <c r="AA95" s="240"/>
      <c r="AB95" s="240"/>
      <c r="AC95" s="240"/>
      <c r="AD95" s="240"/>
      <c r="AE95" s="240"/>
      <c r="AF95" s="240"/>
    </row>
    <row r="96" spans="2:32" x14ac:dyDescent="0.2">
      <c r="C96" s="240"/>
      <c r="D96" s="240"/>
      <c r="E96" s="240"/>
      <c r="F96" s="240"/>
      <c r="G96" s="240"/>
      <c r="H96" s="240"/>
      <c r="I96" s="240"/>
      <c r="J96" s="240"/>
      <c r="K96" s="240"/>
      <c r="L96" s="240"/>
      <c r="M96" s="240"/>
      <c r="N96" s="240"/>
      <c r="O96" s="240"/>
      <c r="P96" s="240"/>
      <c r="Q96" s="240"/>
      <c r="R96" s="240"/>
      <c r="S96" s="240"/>
      <c r="T96" s="240"/>
      <c r="U96" s="240"/>
      <c r="V96" s="240"/>
      <c r="W96" s="240"/>
      <c r="X96" s="240"/>
      <c r="Y96" s="240"/>
      <c r="Z96" s="240"/>
      <c r="AA96" s="240"/>
      <c r="AB96" s="240"/>
      <c r="AC96" s="240"/>
      <c r="AD96" s="240"/>
      <c r="AE96" s="240"/>
      <c r="AF96" s="240"/>
    </row>
    <row r="97" spans="2:32" x14ac:dyDescent="0.2">
      <c r="C97" s="240"/>
      <c r="D97" s="240"/>
      <c r="E97" s="240"/>
      <c r="F97" s="240"/>
      <c r="G97" s="240"/>
      <c r="H97" s="240"/>
      <c r="I97" s="240"/>
      <c r="J97" s="240"/>
      <c r="K97" s="240"/>
      <c r="L97" s="240"/>
      <c r="M97" s="240"/>
      <c r="N97" s="240"/>
      <c r="O97" s="240"/>
      <c r="P97" s="240"/>
      <c r="Q97" s="240"/>
      <c r="R97" s="240"/>
      <c r="S97" s="240"/>
      <c r="T97" s="240"/>
      <c r="U97" s="240"/>
      <c r="V97" s="240"/>
      <c r="W97" s="240"/>
      <c r="X97" s="240"/>
      <c r="Y97" s="240"/>
      <c r="Z97" s="240"/>
      <c r="AA97" s="240"/>
      <c r="AB97" s="240"/>
      <c r="AC97" s="240"/>
      <c r="AD97" s="240"/>
      <c r="AE97" s="240"/>
      <c r="AF97" s="240"/>
    </row>
    <row r="98" spans="2:32" x14ac:dyDescent="0.2">
      <c r="C98" s="240"/>
      <c r="D98" s="240"/>
      <c r="E98" s="240"/>
      <c r="F98" s="240"/>
      <c r="G98" s="240"/>
      <c r="H98" s="240"/>
      <c r="I98" s="240"/>
      <c r="J98" s="240"/>
      <c r="K98" s="240"/>
      <c r="L98" s="240"/>
      <c r="M98" s="240"/>
      <c r="N98" s="240"/>
      <c r="O98" s="240"/>
      <c r="P98" s="240"/>
      <c r="Q98" s="240"/>
      <c r="R98" s="240"/>
      <c r="S98" s="240"/>
      <c r="T98" s="240"/>
      <c r="U98" s="240"/>
      <c r="V98" s="240"/>
      <c r="W98" s="240"/>
      <c r="X98" s="240"/>
      <c r="Y98" s="240"/>
      <c r="Z98" s="240"/>
      <c r="AA98" s="240"/>
      <c r="AB98" s="240"/>
      <c r="AC98" s="240"/>
      <c r="AD98" s="240"/>
      <c r="AE98" s="240"/>
      <c r="AF98" s="240"/>
    </row>
    <row r="99" spans="2:32" x14ac:dyDescent="0.2">
      <c r="C99" s="240"/>
      <c r="D99" s="240"/>
      <c r="E99" s="240"/>
      <c r="F99" s="240"/>
      <c r="G99" s="240"/>
      <c r="H99" s="240"/>
      <c r="I99" s="240"/>
      <c r="J99" s="240"/>
      <c r="K99" s="240"/>
      <c r="L99" s="240"/>
      <c r="M99" s="240"/>
      <c r="N99" s="240"/>
      <c r="O99" s="240"/>
      <c r="P99" s="240"/>
      <c r="Q99" s="240"/>
      <c r="R99" s="240"/>
      <c r="S99" s="240"/>
      <c r="T99" s="240"/>
      <c r="U99" s="240"/>
      <c r="V99" s="240"/>
      <c r="W99" s="240"/>
      <c r="X99" s="240"/>
      <c r="Y99" s="240"/>
      <c r="Z99" s="240"/>
      <c r="AA99" s="240"/>
      <c r="AB99" s="240"/>
      <c r="AC99" s="240"/>
      <c r="AD99" s="240"/>
      <c r="AE99" s="240"/>
      <c r="AF99" s="240"/>
    </row>
    <row r="100" spans="2:32" x14ac:dyDescent="0.2">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row>
    <row r="101" spans="2:32" x14ac:dyDescent="0.2">
      <c r="C101" s="8"/>
    </row>
    <row r="102" spans="2:32" x14ac:dyDescent="0.2">
      <c r="C102" s="8"/>
    </row>
    <row r="103" spans="2:32" x14ac:dyDescent="0.2">
      <c r="C103" s="8"/>
    </row>
    <row r="104" spans="2:32" x14ac:dyDescent="0.2">
      <c r="C104" s="8"/>
    </row>
    <row r="105" spans="2:32" ht="15" x14ac:dyDescent="0.25">
      <c r="B105" s="4"/>
    </row>
    <row r="106" spans="2:32" ht="15" x14ac:dyDescent="0.25">
      <c r="B106" s="4" t="s">
        <v>76</v>
      </c>
    </row>
    <row r="108" spans="2:32" ht="15" x14ac:dyDescent="0.25">
      <c r="D108" s="4" t="s">
        <v>225</v>
      </c>
    </row>
    <row r="125" spans="5:5" x14ac:dyDescent="0.2">
      <c r="E125" s="3"/>
    </row>
    <row r="126" spans="5:5" x14ac:dyDescent="0.2">
      <c r="E126" s="3"/>
    </row>
    <row r="127" spans="5:5" x14ac:dyDescent="0.2">
      <c r="E127" s="3" t="s">
        <v>838</v>
      </c>
    </row>
    <row r="128" spans="5:5" x14ac:dyDescent="0.2">
      <c r="E128" s="3"/>
    </row>
    <row r="129" spans="5:5" x14ac:dyDescent="0.2">
      <c r="E129" s="3"/>
    </row>
    <row r="130" spans="5:5" x14ac:dyDescent="0.2">
      <c r="E130" s="3"/>
    </row>
    <row r="131" spans="5:5" x14ac:dyDescent="0.2">
      <c r="E131" s="72" t="s">
        <v>837</v>
      </c>
    </row>
    <row r="132" spans="5:5" x14ac:dyDescent="0.2">
      <c r="E132" s="3"/>
    </row>
    <row r="133" spans="5:5" x14ac:dyDescent="0.2">
      <c r="E133" s="3"/>
    </row>
    <row r="134" spans="5:5" x14ac:dyDescent="0.2">
      <c r="E134" s="3"/>
    </row>
    <row r="135" spans="5:5" x14ac:dyDescent="0.2">
      <c r="E135" s="3"/>
    </row>
    <row r="136" spans="5:5" x14ac:dyDescent="0.2">
      <c r="E136" s="3"/>
    </row>
    <row r="137" spans="5:5" x14ac:dyDescent="0.2">
      <c r="E137" s="3"/>
    </row>
    <row r="138" spans="5:5" x14ac:dyDescent="0.2">
      <c r="E138" s="3"/>
    </row>
    <row r="139" spans="5:5" x14ac:dyDescent="0.2">
      <c r="E139" s="3"/>
    </row>
    <row r="140" spans="5:5" x14ac:dyDescent="0.2">
      <c r="E140" s="3"/>
    </row>
    <row r="141" spans="5:5" x14ac:dyDescent="0.2">
      <c r="E141" s="3"/>
    </row>
    <row r="142" spans="5:5" x14ac:dyDescent="0.2">
      <c r="E142" s="3"/>
    </row>
    <row r="143" spans="5:5" x14ac:dyDescent="0.2">
      <c r="E143" s="3"/>
    </row>
    <row r="144" spans="5:5" x14ac:dyDescent="0.2">
      <c r="E144" s="3"/>
    </row>
    <row r="145" spans="4:5" x14ac:dyDescent="0.2">
      <c r="E145" s="3"/>
    </row>
    <row r="146" spans="4:5" x14ac:dyDescent="0.2">
      <c r="E146" s="3"/>
    </row>
    <row r="147" spans="4:5" x14ac:dyDescent="0.2">
      <c r="E147" s="3"/>
    </row>
    <row r="148" spans="4:5" x14ac:dyDescent="0.2">
      <c r="E148" s="3"/>
    </row>
    <row r="149" spans="4:5" x14ac:dyDescent="0.2">
      <c r="E149" s="3"/>
    </row>
    <row r="150" spans="4:5" x14ac:dyDescent="0.2">
      <c r="E150" s="3"/>
    </row>
    <row r="151" spans="4:5" x14ac:dyDescent="0.2">
      <c r="E151" s="3" t="s">
        <v>839</v>
      </c>
    </row>
    <row r="152" spans="4:5" x14ac:dyDescent="0.2">
      <c r="E152" s="3"/>
    </row>
    <row r="153" spans="4:5" x14ac:dyDescent="0.2">
      <c r="E153" s="3"/>
    </row>
    <row r="154" spans="4:5" x14ac:dyDescent="0.2">
      <c r="E154" s="3"/>
    </row>
    <row r="155" spans="4:5" x14ac:dyDescent="0.2">
      <c r="E155" s="3"/>
    </row>
    <row r="156" spans="4:5" x14ac:dyDescent="0.2">
      <c r="E156" s="3"/>
    </row>
    <row r="157" spans="4:5" x14ac:dyDescent="0.2">
      <c r="E157" s="3"/>
    </row>
    <row r="158" spans="4:5" ht="15" x14ac:dyDescent="0.25">
      <c r="D158" s="4" t="s">
        <v>226</v>
      </c>
      <c r="E158" s="3"/>
    </row>
    <row r="159" spans="4:5" x14ac:dyDescent="0.2">
      <c r="E159" s="3"/>
    </row>
    <row r="160" spans="4:5" x14ac:dyDescent="0.2">
      <c r="E160" s="3"/>
    </row>
    <row r="161" spans="5:5" x14ac:dyDescent="0.2">
      <c r="E161" s="3"/>
    </row>
    <row r="162" spans="5:5" x14ac:dyDescent="0.2">
      <c r="E162" s="3"/>
    </row>
    <row r="163" spans="5:5" x14ac:dyDescent="0.2">
      <c r="E163" s="3"/>
    </row>
    <row r="164" spans="5:5" x14ac:dyDescent="0.2">
      <c r="E164" s="3"/>
    </row>
    <row r="165" spans="5:5" x14ac:dyDescent="0.2">
      <c r="E165" s="3"/>
    </row>
    <row r="166" spans="5:5" x14ac:dyDescent="0.2">
      <c r="E166" s="3"/>
    </row>
    <row r="167" spans="5:5" x14ac:dyDescent="0.2">
      <c r="E167" s="3"/>
    </row>
    <row r="168" spans="5:5" x14ac:dyDescent="0.2">
      <c r="E168" s="3"/>
    </row>
    <row r="169" spans="5:5" x14ac:dyDescent="0.2">
      <c r="E169" s="3"/>
    </row>
    <row r="170" spans="5:5" x14ac:dyDescent="0.2">
      <c r="E170" s="3"/>
    </row>
    <row r="171" spans="5:5" x14ac:dyDescent="0.2">
      <c r="E171" s="3"/>
    </row>
    <row r="172" spans="5:5" x14ac:dyDescent="0.2">
      <c r="E172" s="3"/>
    </row>
    <row r="174" spans="5:5" x14ac:dyDescent="0.2">
      <c r="E174" s="3" t="s">
        <v>840</v>
      </c>
    </row>
    <row r="175" spans="5:5" x14ac:dyDescent="0.2">
      <c r="E175" s="3"/>
    </row>
    <row r="176" spans="5:5" x14ac:dyDescent="0.2">
      <c r="E176" s="3"/>
    </row>
    <row r="177" spans="4:5" x14ac:dyDescent="0.2">
      <c r="E177" s="3"/>
    </row>
    <row r="178" spans="4:5" ht="15" x14ac:dyDescent="0.25">
      <c r="D178" s="4" t="s">
        <v>227</v>
      </c>
      <c r="E178" s="3"/>
    </row>
    <row r="179" spans="4:5" x14ac:dyDescent="0.2">
      <c r="E179" s="3"/>
    </row>
    <row r="180" spans="4:5" x14ac:dyDescent="0.2">
      <c r="E180" s="3"/>
    </row>
    <row r="181" spans="4:5" x14ac:dyDescent="0.2">
      <c r="E181" s="3"/>
    </row>
    <row r="182" spans="4:5" x14ac:dyDescent="0.2">
      <c r="E182" s="3"/>
    </row>
    <row r="183" spans="4:5" x14ac:dyDescent="0.2">
      <c r="E183" s="3"/>
    </row>
    <row r="184" spans="4:5" x14ac:dyDescent="0.2">
      <c r="E184" s="3"/>
    </row>
    <row r="185" spans="4:5" x14ac:dyDescent="0.2">
      <c r="E185" s="3"/>
    </row>
    <row r="186" spans="4:5" x14ac:dyDescent="0.2">
      <c r="E186" s="3"/>
    </row>
    <row r="187" spans="4:5" x14ac:dyDescent="0.2">
      <c r="E187" s="3"/>
    </row>
    <row r="188" spans="4:5" x14ac:dyDescent="0.2">
      <c r="E188" s="3"/>
    </row>
    <row r="189" spans="4:5" x14ac:dyDescent="0.2">
      <c r="E189" s="3"/>
    </row>
    <row r="190" spans="4:5" x14ac:dyDescent="0.2">
      <c r="E190" s="3"/>
    </row>
    <row r="191" spans="4:5" x14ac:dyDescent="0.2">
      <c r="E191" s="3"/>
    </row>
    <row r="192" spans="4:5" x14ac:dyDescent="0.2">
      <c r="E192" s="3"/>
    </row>
    <row r="193" spans="5:5" x14ac:dyDescent="0.2">
      <c r="E193" s="3"/>
    </row>
    <row r="194" spans="5:5" x14ac:dyDescent="0.2">
      <c r="E194" s="3"/>
    </row>
    <row r="195" spans="5:5" x14ac:dyDescent="0.2">
      <c r="E195" s="3"/>
    </row>
    <row r="196" spans="5:5" x14ac:dyDescent="0.2">
      <c r="E196" s="3" t="s">
        <v>1039</v>
      </c>
    </row>
    <row r="197" spans="5:5" x14ac:dyDescent="0.2">
      <c r="E197" s="3"/>
    </row>
    <row r="198" spans="5:5" x14ac:dyDescent="0.2">
      <c r="E198" s="3"/>
    </row>
    <row r="199" spans="5:5" x14ac:dyDescent="0.2">
      <c r="E199" s="3"/>
    </row>
  </sheetData>
  <mergeCells count="4">
    <mergeCell ref="C4:AF11"/>
    <mergeCell ref="B84:AF84"/>
    <mergeCell ref="C21:AF27"/>
    <mergeCell ref="C93:AF99"/>
  </mergeCells>
  <pageMargins left="0.7" right="0.7" top="1.25" bottom="0.75" header="0.3" footer="0.3"/>
  <pageSetup scale="90" fitToHeight="0" orientation="portrait" horizontalDpi="1200" verticalDpi="1200" r:id="rId1"/>
  <headerFooter>
    <oddHeader>&amp;L&amp;G
Client: Keyera
Project No: F3KY&amp;C&amp;G&amp;RDesigned By: CW
Checked By: JS
Date: 13-MAY-2026
Revision: 0</oddHeader>
    <oddFooter>&amp;LContractor Document No:  F3KY-215-CAL-047</oddFooter>
  </headerFooter>
  <drawing r:id="rId2"/>
  <legacyDrawingHF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BD7BA-8209-43B4-BAEF-D35719D0C8B3}">
  <sheetPr codeName="Sheet5">
    <pageSetUpPr fitToPage="1"/>
  </sheetPr>
  <dimension ref="B1:AI239"/>
  <sheetViews>
    <sheetView view="pageBreakPreview" topLeftCell="A144" zoomScale="115" zoomScaleNormal="100" zoomScaleSheetLayoutView="115" workbookViewId="0">
      <selection activeCell="N168" sqref="N168"/>
    </sheetView>
  </sheetViews>
  <sheetFormatPr defaultRowHeight="14.25" x14ac:dyDescent="0.2"/>
  <cols>
    <col min="1" max="33" width="3.140625" style="1" customWidth="1"/>
    <col min="34" max="16384" width="9.140625" style="1"/>
  </cols>
  <sheetData>
    <row r="1" spans="2:35" x14ac:dyDescent="0.2">
      <c r="AI1" s="1" t="s">
        <v>0</v>
      </c>
    </row>
    <row r="2" spans="2:35" ht="15" x14ac:dyDescent="0.25">
      <c r="B2" s="4" t="s">
        <v>79</v>
      </c>
      <c r="AI2" s="1" t="s">
        <v>77</v>
      </c>
    </row>
    <row r="4" spans="2:35" ht="15" x14ac:dyDescent="0.25">
      <c r="B4" s="4" t="s">
        <v>81</v>
      </c>
      <c r="AI4" s="2" t="s">
        <v>78</v>
      </c>
    </row>
    <row r="5" spans="2:35" ht="15" x14ac:dyDescent="0.25">
      <c r="B5" s="4"/>
      <c r="AI5" s="2"/>
    </row>
    <row r="6" spans="2:35" x14ac:dyDescent="0.2">
      <c r="C6" s="232" t="s">
        <v>228</v>
      </c>
      <c r="D6" s="232"/>
      <c r="E6" s="232"/>
      <c r="F6" s="232"/>
      <c r="G6" s="232"/>
      <c r="H6" s="232"/>
      <c r="I6" s="232"/>
      <c r="J6" s="232"/>
      <c r="K6" s="232"/>
      <c r="L6" s="232"/>
      <c r="M6" s="232"/>
      <c r="N6" s="232"/>
      <c r="O6" s="232"/>
      <c r="P6" s="232"/>
      <c r="Q6" s="232"/>
      <c r="R6" s="232"/>
      <c r="S6" s="232"/>
      <c r="T6" s="232"/>
      <c r="U6" s="232"/>
      <c r="V6" s="232"/>
      <c r="W6" s="232"/>
      <c r="X6" s="232"/>
      <c r="Y6" s="232"/>
      <c r="Z6" s="232"/>
      <c r="AA6" s="232"/>
      <c r="AB6" s="232"/>
      <c r="AC6" s="232"/>
      <c r="AD6" s="232"/>
      <c r="AE6" s="232"/>
      <c r="AF6" s="232"/>
      <c r="AG6" s="232"/>
    </row>
    <row r="7" spans="2:35" x14ac:dyDescent="0.2">
      <c r="C7" s="232"/>
      <c r="D7" s="232"/>
      <c r="E7" s="232"/>
      <c r="F7" s="232"/>
      <c r="G7" s="232"/>
      <c r="H7" s="232"/>
      <c r="I7" s="232"/>
      <c r="J7" s="232"/>
      <c r="K7" s="232"/>
      <c r="L7" s="232"/>
      <c r="M7" s="232"/>
      <c r="N7" s="232"/>
      <c r="O7" s="232"/>
      <c r="P7" s="232"/>
      <c r="Q7" s="232"/>
      <c r="R7" s="232"/>
      <c r="S7" s="232"/>
      <c r="T7" s="232"/>
      <c r="U7" s="232"/>
      <c r="V7" s="232"/>
      <c r="W7" s="232"/>
      <c r="X7" s="232"/>
      <c r="Y7" s="232"/>
      <c r="Z7" s="232"/>
      <c r="AA7" s="232"/>
      <c r="AB7" s="232"/>
      <c r="AC7" s="232"/>
      <c r="AD7" s="232"/>
      <c r="AE7" s="232"/>
      <c r="AF7" s="232"/>
      <c r="AG7" s="232"/>
    </row>
    <row r="8" spans="2:35" x14ac:dyDescent="0.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row>
    <row r="9" spans="2:35" x14ac:dyDescent="0.2">
      <c r="C9" s="15" t="s">
        <v>229</v>
      </c>
      <c r="D9" s="2"/>
      <c r="E9" s="2"/>
      <c r="F9" s="2"/>
      <c r="G9" s="2"/>
      <c r="H9" s="2"/>
      <c r="I9" s="2"/>
      <c r="J9" s="2"/>
      <c r="K9" s="2"/>
      <c r="L9" s="2"/>
      <c r="M9" s="2"/>
      <c r="N9" s="2"/>
      <c r="O9" s="2"/>
      <c r="P9" s="2"/>
      <c r="Q9" s="2"/>
      <c r="R9" s="2"/>
      <c r="S9" s="2"/>
      <c r="T9" s="2"/>
      <c r="U9" s="2"/>
      <c r="V9" s="2"/>
      <c r="W9" s="2"/>
      <c r="X9" s="2"/>
      <c r="Y9" s="2"/>
      <c r="Z9" s="2"/>
      <c r="AA9" s="2"/>
      <c r="AB9" s="2"/>
      <c r="AC9" s="2"/>
      <c r="AD9" s="2"/>
      <c r="AE9" s="2"/>
      <c r="AF9" s="2"/>
      <c r="AG9" s="2"/>
    </row>
    <row r="12" spans="2:35" ht="15" x14ac:dyDescent="0.25">
      <c r="B12" s="4" t="s">
        <v>80</v>
      </c>
    </row>
    <row r="13" spans="2:35" x14ac:dyDescent="0.2">
      <c r="AI13" s="1" t="s">
        <v>82</v>
      </c>
    </row>
    <row r="14" spans="2:35" ht="15.75" customHeight="1" x14ac:dyDescent="0.2">
      <c r="C14" s="232" t="s">
        <v>83</v>
      </c>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c r="AF14" s="232"/>
    </row>
    <row r="15" spans="2:35" x14ac:dyDescent="0.2">
      <c r="C15" s="232"/>
      <c r="D15" s="232"/>
      <c r="E15" s="232"/>
      <c r="F15" s="232"/>
      <c r="G15" s="232"/>
      <c r="H15" s="232"/>
      <c r="I15" s="232"/>
      <c r="J15" s="232"/>
      <c r="K15" s="232"/>
      <c r="L15" s="232"/>
      <c r="M15" s="232"/>
      <c r="N15" s="232"/>
      <c r="O15" s="232"/>
      <c r="P15" s="232"/>
      <c r="Q15" s="232"/>
      <c r="R15" s="232"/>
      <c r="S15" s="232"/>
      <c r="T15" s="232"/>
      <c r="U15" s="232"/>
      <c r="V15" s="232"/>
      <c r="W15" s="232"/>
      <c r="X15" s="232"/>
      <c r="Y15" s="232"/>
      <c r="Z15" s="232"/>
      <c r="AA15" s="232"/>
      <c r="AB15" s="232"/>
      <c r="AC15" s="232"/>
      <c r="AD15" s="232"/>
      <c r="AE15" s="232"/>
      <c r="AF15" s="232"/>
    </row>
    <row r="16" spans="2:35" ht="15" thickBot="1" x14ac:dyDescent="0.25"/>
    <row r="17" spans="2:35" ht="45.75" customHeight="1" thickBot="1" x14ac:dyDescent="0.3">
      <c r="D17" s="252" t="s">
        <v>85</v>
      </c>
      <c r="E17" s="253"/>
      <c r="F17" s="253"/>
      <c r="G17" s="254"/>
      <c r="H17" s="255" t="s">
        <v>43</v>
      </c>
      <c r="I17" s="256"/>
      <c r="J17" s="256"/>
      <c r="K17" s="257"/>
      <c r="L17" s="258" t="s">
        <v>86</v>
      </c>
      <c r="M17" s="259"/>
      <c r="N17" s="259"/>
      <c r="O17" s="259"/>
      <c r="P17" s="259"/>
      <c r="Q17" s="259"/>
      <c r="R17" s="259"/>
      <c r="S17" s="259"/>
      <c r="T17" s="259"/>
      <c r="U17" s="259"/>
      <c r="V17" s="259"/>
      <c r="W17" s="259"/>
      <c r="X17" s="259"/>
      <c r="Y17" s="259"/>
      <c r="Z17" s="259"/>
      <c r="AA17" s="259"/>
      <c r="AB17" s="259"/>
      <c r="AC17" s="259"/>
      <c r="AD17" s="259"/>
      <c r="AE17" s="259"/>
      <c r="AF17" s="260"/>
    </row>
    <row r="18" spans="2:35" x14ac:dyDescent="0.2">
      <c r="D18" s="189"/>
      <c r="E18" s="191"/>
      <c r="F18" s="191"/>
      <c r="G18" s="190"/>
      <c r="H18" s="261" t="s">
        <v>33</v>
      </c>
      <c r="I18" s="262"/>
      <c r="J18" s="262"/>
      <c r="K18" s="263"/>
      <c r="L18" s="160" t="s">
        <v>87</v>
      </c>
      <c r="M18" s="161"/>
      <c r="N18" s="161"/>
      <c r="O18" s="161"/>
      <c r="P18" s="161"/>
      <c r="Q18" s="161"/>
      <c r="R18" s="161"/>
      <c r="S18" s="161"/>
      <c r="T18" s="161"/>
      <c r="U18" s="161"/>
      <c r="V18" s="161"/>
      <c r="W18" s="161"/>
      <c r="X18" s="161"/>
      <c r="Y18" s="161"/>
      <c r="Z18" s="161"/>
      <c r="AA18" s="161"/>
      <c r="AB18" s="161"/>
      <c r="AC18" s="161"/>
      <c r="AD18" s="161"/>
      <c r="AE18" s="161"/>
      <c r="AF18" s="162"/>
      <c r="AI18" s="1" t="s">
        <v>84</v>
      </c>
    </row>
    <row r="19" spans="2:35" x14ac:dyDescent="0.2">
      <c r="D19" s="183"/>
      <c r="E19" s="185"/>
      <c r="F19" s="185"/>
      <c r="G19" s="184"/>
      <c r="H19" s="264" t="s">
        <v>208</v>
      </c>
      <c r="I19" s="265"/>
      <c r="J19" s="265"/>
      <c r="K19" s="266"/>
      <c r="L19" s="245" t="s">
        <v>88</v>
      </c>
      <c r="M19" s="246"/>
      <c r="N19" s="246"/>
      <c r="O19" s="246"/>
      <c r="P19" s="246"/>
      <c r="Q19" s="246"/>
      <c r="R19" s="246"/>
      <c r="S19" s="246"/>
      <c r="T19" s="246"/>
      <c r="U19" s="246"/>
      <c r="V19" s="246"/>
      <c r="W19" s="246"/>
      <c r="X19" s="246"/>
      <c r="Y19" s="246"/>
      <c r="Z19" s="246"/>
      <c r="AA19" s="246"/>
      <c r="AB19" s="246"/>
      <c r="AC19" s="246"/>
      <c r="AD19" s="246"/>
      <c r="AE19" s="246"/>
      <c r="AF19" s="247"/>
    </row>
    <row r="20" spans="2:35" x14ac:dyDescent="0.2">
      <c r="D20" s="183"/>
      <c r="E20" s="185"/>
      <c r="F20" s="185"/>
      <c r="G20" s="184"/>
      <c r="H20" s="264" t="s">
        <v>209</v>
      </c>
      <c r="I20" s="265"/>
      <c r="J20" s="265"/>
      <c r="K20" s="266"/>
      <c r="L20" s="245" t="s">
        <v>89</v>
      </c>
      <c r="M20" s="246"/>
      <c r="N20" s="246"/>
      <c r="O20" s="246"/>
      <c r="P20" s="246"/>
      <c r="Q20" s="246"/>
      <c r="R20" s="246"/>
      <c r="S20" s="246"/>
      <c r="T20" s="246"/>
      <c r="U20" s="246"/>
      <c r="V20" s="246"/>
      <c r="W20" s="246"/>
      <c r="X20" s="246"/>
      <c r="Y20" s="246"/>
      <c r="Z20" s="246"/>
      <c r="AA20" s="246"/>
      <c r="AB20" s="246"/>
      <c r="AC20" s="246"/>
      <c r="AD20" s="246"/>
      <c r="AE20" s="246"/>
      <c r="AF20" s="247"/>
    </row>
    <row r="21" spans="2:35" ht="15.75" customHeight="1" thickBot="1" x14ac:dyDescent="0.25">
      <c r="D21" s="242"/>
      <c r="E21" s="243"/>
      <c r="F21" s="243"/>
      <c r="G21" s="244"/>
      <c r="H21" s="267" t="s">
        <v>210</v>
      </c>
      <c r="I21" s="268"/>
      <c r="J21" s="268"/>
      <c r="K21" s="269"/>
      <c r="L21" s="248" t="s">
        <v>90</v>
      </c>
      <c r="M21" s="249"/>
      <c r="N21" s="249"/>
      <c r="O21" s="249"/>
      <c r="P21" s="249"/>
      <c r="Q21" s="249"/>
      <c r="R21" s="249"/>
      <c r="S21" s="249"/>
      <c r="T21" s="249"/>
      <c r="U21" s="249"/>
      <c r="V21" s="249"/>
      <c r="W21" s="249"/>
      <c r="X21" s="249"/>
      <c r="Y21" s="249"/>
      <c r="Z21" s="249"/>
      <c r="AA21" s="249"/>
      <c r="AB21" s="249"/>
      <c r="AC21" s="249"/>
      <c r="AD21" s="249"/>
      <c r="AE21" s="249"/>
      <c r="AF21" s="250"/>
    </row>
    <row r="23" spans="2:35" ht="14.25" customHeight="1" x14ac:dyDescent="0.2">
      <c r="C23" s="232" t="s">
        <v>1390</v>
      </c>
      <c r="D23" s="232"/>
      <c r="E23" s="232"/>
      <c r="F23" s="232"/>
      <c r="G23" s="232"/>
      <c r="H23" s="232"/>
      <c r="I23" s="232"/>
      <c r="J23" s="232"/>
      <c r="K23" s="232"/>
      <c r="L23" s="232"/>
      <c r="M23" s="232"/>
      <c r="N23" s="232"/>
      <c r="O23" s="232"/>
      <c r="P23" s="232"/>
      <c r="Q23" s="232"/>
      <c r="R23" s="232"/>
      <c r="S23" s="232"/>
      <c r="T23" s="232"/>
      <c r="U23" s="232"/>
      <c r="V23" s="232"/>
      <c r="W23" s="232"/>
      <c r="X23" s="232"/>
      <c r="Y23" s="232"/>
      <c r="Z23" s="232"/>
      <c r="AA23" s="232"/>
      <c r="AB23" s="232"/>
      <c r="AC23" s="232"/>
      <c r="AD23" s="232"/>
      <c r="AE23" s="232"/>
      <c r="AF23" s="232"/>
      <c r="AG23" s="232"/>
    </row>
    <row r="24" spans="2:35" x14ac:dyDescent="0.2">
      <c r="C24" s="232"/>
      <c r="D24" s="232"/>
      <c r="E24" s="232"/>
      <c r="F24" s="232"/>
      <c r="G24" s="232"/>
      <c r="H24" s="232"/>
      <c r="I24" s="232"/>
      <c r="J24" s="232"/>
      <c r="K24" s="232"/>
      <c r="L24" s="232"/>
      <c r="M24" s="232"/>
      <c r="N24" s="232"/>
      <c r="O24" s="232"/>
      <c r="P24" s="232"/>
      <c r="Q24" s="232"/>
      <c r="R24" s="232"/>
      <c r="S24" s="232"/>
      <c r="T24" s="232"/>
      <c r="U24" s="232"/>
      <c r="V24" s="232"/>
      <c r="W24" s="232"/>
      <c r="X24" s="232"/>
      <c r="Y24" s="232"/>
      <c r="Z24" s="232"/>
      <c r="AA24" s="232"/>
      <c r="AB24" s="232"/>
      <c r="AC24" s="232"/>
      <c r="AD24" s="232"/>
      <c r="AE24" s="232"/>
      <c r="AF24" s="232"/>
      <c r="AG24" s="232"/>
    </row>
    <row r="26" spans="2:35" x14ac:dyDescent="0.2">
      <c r="AI26" s="1" t="s">
        <v>91</v>
      </c>
    </row>
    <row r="27" spans="2:35" ht="15" x14ac:dyDescent="0.25">
      <c r="B27" s="4" t="s">
        <v>92</v>
      </c>
    </row>
    <row r="29" spans="2:35" ht="15" x14ac:dyDescent="0.25">
      <c r="C29" s="4" t="s">
        <v>154</v>
      </c>
    </row>
    <row r="31" spans="2:35" x14ac:dyDescent="0.2">
      <c r="E31" s="2" t="s">
        <v>153</v>
      </c>
    </row>
    <row r="32" spans="2:35" x14ac:dyDescent="0.2">
      <c r="E32" s="2" t="s">
        <v>230</v>
      </c>
    </row>
    <row r="33" spans="3:35" x14ac:dyDescent="0.2">
      <c r="E33" s="2"/>
    </row>
    <row r="34" spans="3:35" x14ac:dyDescent="0.2">
      <c r="E34" s="2" t="s">
        <v>231</v>
      </c>
    </row>
    <row r="35" spans="3:35" x14ac:dyDescent="0.2">
      <c r="E35" s="2"/>
    </row>
    <row r="36" spans="3:35" x14ac:dyDescent="0.2">
      <c r="E36" s="2" t="s">
        <v>232</v>
      </c>
    </row>
    <row r="37" spans="3:35" x14ac:dyDescent="0.2">
      <c r="E37" s="2" t="s">
        <v>1391</v>
      </c>
    </row>
    <row r="39" spans="3:35" ht="15" x14ac:dyDescent="0.25">
      <c r="C39" s="4" t="s">
        <v>93</v>
      </c>
    </row>
    <row r="40" spans="3:35" x14ac:dyDescent="0.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I40" s="1" t="s">
        <v>95</v>
      </c>
    </row>
    <row r="41" spans="3:35" x14ac:dyDescent="0.2">
      <c r="C41" s="2"/>
      <c r="D41" s="2"/>
      <c r="E41" s="17" t="s">
        <v>233</v>
      </c>
      <c r="F41" s="17"/>
      <c r="G41" s="17"/>
      <c r="H41" s="17"/>
      <c r="I41" s="17"/>
      <c r="J41" s="17"/>
      <c r="K41" s="17"/>
      <c r="L41" s="17"/>
      <c r="M41" s="17"/>
      <c r="N41" s="17"/>
      <c r="O41" s="17"/>
      <c r="P41" s="17" t="s">
        <v>234</v>
      </c>
      <c r="Q41" s="17"/>
      <c r="R41" s="17"/>
      <c r="S41" s="17"/>
      <c r="T41" s="17"/>
      <c r="U41" s="17"/>
      <c r="V41" s="17"/>
      <c r="W41" s="17"/>
      <c r="X41" s="17"/>
      <c r="Y41" s="17"/>
      <c r="Z41" s="17"/>
      <c r="AA41" s="2"/>
      <c r="AB41" s="2"/>
      <c r="AC41" s="2"/>
      <c r="AD41" s="2"/>
      <c r="AE41" s="2"/>
      <c r="AF41" s="2"/>
      <c r="AG41" s="2"/>
    </row>
    <row r="42" spans="3:35" x14ac:dyDescent="0.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row>
    <row r="43" spans="3:35" x14ac:dyDescent="0.2">
      <c r="C43" s="2"/>
      <c r="D43" s="2"/>
      <c r="E43" s="16" t="s">
        <v>995</v>
      </c>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row>
    <row r="44" spans="3:35" x14ac:dyDescent="0.2">
      <c r="C44" s="2"/>
      <c r="D44" s="2"/>
      <c r="E44" s="2" t="s">
        <v>235</v>
      </c>
      <c r="F44" s="2"/>
      <c r="G44" s="2"/>
      <c r="H44" s="2"/>
      <c r="I44" s="2"/>
      <c r="J44" s="2"/>
      <c r="K44" s="2"/>
      <c r="L44" s="2"/>
      <c r="M44" s="2"/>
      <c r="N44" s="2"/>
      <c r="O44" s="2"/>
      <c r="P44" s="2" t="s">
        <v>236</v>
      </c>
      <c r="Q44" s="2"/>
      <c r="R44" s="2"/>
      <c r="S44" s="2"/>
      <c r="T44" s="2"/>
      <c r="U44" s="2"/>
      <c r="V44" s="2"/>
      <c r="W44" s="2"/>
      <c r="X44" s="2"/>
      <c r="Y44" s="2"/>
      <c r="Z44" s="2"/>
      <c r="AA44" s="2"/>
      <c r="AB44" s="2"/>
      <c r="AC44" s="2"/>
      <c r="AD44" s="2"/>
      <c r="AE44" s="2"/>
      <c r="AF44" s="2"/>
      <c r="AG44" s="2"/>
    </row>
    <row r="45" spans="3:35" x14ac:dyDescent="0.2">
      <c r="C45" s="2"/>
      <c r="D45" s="2"/>
      <c r="E45" s="2" t="s">
        <v>237</v>
      </c>
      <c r="F45" s="2"/>
      <c r="G45" s="2"/>
      <c r="H45" s="2"/>
      <c r="I45" s="2"/>
      <c r="J45" s="2"/>
      <c r="K45" s="2"/>
      <c r="L45" s="2"/>
      <c r="M45" s="2"/>
      <c r="N45" s="2"/>
      <c r="O45" s="2"/>
      <c r="P45" s="2" t="s">
        <v>238</v>
      </c>
      <c r="Q45" s="2"/>
      <c r="R45" s="2"/>
      <c r="S45" s="2"/>
      <c r="T45" s="2"/>
      <c r="U45" s="2"/>
      <c r="V45" s="2"/>
      <c r="W45" s="2"/>
      <c r="X45" s="2"/>
      <c r="Y45" s="2"/>
      <c r="Z45" s="2"/>
      <c r="AA45" s="2"/>
      <c r="AB45" s="2"/>
      <c r="AC45" s="2"/>
      <c r="AD45" s="2"/>
      <c r="AE45" s="2"/>
      <c r="AF45" s="2"/>
      <c r="AG45" s="2"/>
    </row>
    <row r="46" spans="3:35" x14ac:dyDescent="0.2">
      <c r="C46" s="2"/>
      <c r="D46" s="2"/>
      <c r="E46" s="2" t="s">
        <v>239</v>
      </c>
      <c r="F46" s="2"/>
      <c r="G46" s="2"/>
      <c r="H46" s="2"/>
      <c r="I46" s="2"/>
      <c r="J46" s="2"/>
      <c r="K46" s="2"/>
      <c r="L46" s="2"/>
      <c r="M46" s="2"/>
      <c r="N46" s="2"/>
      <c r="O46" s="2"/>
      <c r="P46" s="2" t="s">
        <v>240</v>
      </c>
      <c r="Q46" s="2"/>
      <c r="R46" s="2"/>
      <c r="S46" s="2"/>
      <c r="T46" s="2"/>
      <c r="U46" s="2"/>
      <c r="V46" s="2"/>
      <c r="W46" s="2"/>
      <c r="X46" s="2"/>
      <c r="Y46" s="2"/>
      <c r="Z46" s="2"/>
      <c r="AA46" s="2"/>
      <c r="AB46" s="2"/>
      <c r="AC46" s="2"/>
      <c r="AD46" s="2"/>
      <c r="AE46" s="2"/>
      <c r="AF46" s="2"/>
      <c r="AG46" s="2"/>
    </row>
    <row r="47" spans="3:35" x14ac:dyDescent="0.2">
      <c r="C47" s="2"/>
      <c r="D47" s="2"/>
      <c r="E47" s="2" t="s">
        <v>241</v>
      </c>
      <c r="F47" s="2"/>
      <c r="G47" s="2"/>
      <c r="H47" s="2"/>
      <c r="I47" s="2"/>
      <c r="J47" s="2"/>
      <c r="K47" s="2"/>
      <c r="L47" s="2"/>
      <c r="M47" s="2"/>
      <c r="N47" s="2"/>
      <c r="O47" s="2"/>
      <c r="P47" s="2" t="s">
        <v>242</v>
      </c>
      <c r="Q47" s="2"/>
      <c r="R47" s="2"/>
      <c r="S47" s="2"/>
      <c r="T47" s="2"/>
      <c r="U47" s="2"/>
      <c r="V47" s="2"/>
      <c r="W47" s="2"/>
      <c r="X47" s="2"/>
      <c r="Y47" s="2"/>
      <c r="Z47" s="2"/>
      <c r="AA47" s="2"/>
      <c r="AB47" s="2"/>
      <c r="AC47" s="2"/>
      <c r="AD47" s="2"/>
      <c r="AE47" s="2"/>
      <c r="AF47" s="2"/>
      <c r="AG47" s="2"/>
    </row>
    <row r="48" spans="3:35" x14ac:dyDescent="0.2">
      <c r="C48" s="2"/>
      <c r="D48" s="2"/>
      <c r="E48" s="2" t="s">
        <v>243</v>
      </c>
      <c r="F48" s="2"/>
      <c r="G48" s="2"/>
      <c r="H48" s="2"/>
      <c r="I48" s="2"/>
      <c r="J48" s="2"/>
      <c r="K48" s="2"/>
      <c r="L48" s="2"/>
      <c r="M48" s="2"/>
      <c r="N48" s="2"/>
      <c r="O48" s="2"/>
      <c r="P48" s="2" t="s">
        <v>244</v>
      </c>
      <c r="Q48" s="2"/>
      <c r="R48" s="2"/>
      <c r="S48" s="2"/>
      <c r="T48" s="2"/>
      <c r="U48" s="2"/>
      <c r="V48" s="2"/>
      <c r="W48" s="2"/>
      <c r="X48" s="2"/>
      <c r="Y48" s="2"/>
      <c r="Z48" s="2"/>
      <c r="AA48" s="2"/>
      <c r="AB48" s="2"/>
      <c r="AC48" s="2"/>
      <c r="AD48" s="2"/>
      <c r="AE48" s="2"/>
      <c r="AF48" s="2"/>
      <c r="AG48" s="2"/>
    </row>
    <row r="49" spans="3:33" x14ac:dyDescent="0.2">
      <c r="C49" s="2"/>
      <c r="D49" s="2"/>
      <c r="E49" s="2" t="s">
        <v>245</v>
      </c>
      <c r="F49" s="2"/>
      <c r="G49" s="2"/>
      <c r="H49" s="2"/>
      <c r="I49" s="2"/>
      <c r="J49" s="2"/>
      <c r="K49" s="2"/>
      <c r="L49" s="2"/>
      <c r="M49" s="2"/>
      <c r="N49" s="2"/>
      <c r="O49" s="2"/>
      <c r="P49" s="2" t="s">
        <v>246</v>
      </c>
      <c r="Q49" s="2"/>
      <c r="R49" s="2"/>
      <c r="S49" s="2"/>
      <c r="T49" s="2"/>
      <c r="U49" s="2"/>
      <c r="V49" s="2"/>
      <c r="W49" s="2"/>
      <c r="X49" s="2"/>
      <c r="Y49" s="2"/>
      <c r="Z49" s="2"/>
      <c r="AA49" s="2"/>
      <c r="AB49" s="2"/>
      <c r="AC49" s="2"/>
      <c r="AD49" s="2"/>
      <c r="AE49" s="2"/>
      <c r="AF49" s="2"/>
      <c r="AG49" s="2"/>
    </row>
    <row r="50" spans="3:33" x14ac:dyDescent="0.2">
      <c r="C50" s="2"/>
      <c r="D50" s="2"/>
      <c r="E50" s="2" t="s">
        <v>1008</v>
      </c>
      <c r="F50" s="2"/>
      <c r="G50" s="2"/>
      <c r="H50" s="2"/>
      <c r="I50" s="2"/>
      <c r="J50" s="2"/>
      <c r="K50" s="2"/>
      <c r="L50" s="2"/>
      <c r="M50" s="2"/>
      <c r="N50" s="2"/>
      <c r="O50" s="2"/>
      <c r="P50" s="2" t="s">
        <v>1009</v>
      </c>
      <c r="Q50" s="2"/>
      <c r="R50" s="2"/>
      <c r="S50" s="2"/>
      <c r="T50" s="2"/>
      <c r="U50" s="2"/>
      <c r="V50" s="2"/>
      <c r="W50" s="2"/>
      <c r="X50" s="2"/>
      <c r="Y50" s="2"/>
      <c r="Z50" s="2"/>
      <c r="AA50" s="2"/>
      <c r="AB50" s="2"/>
      <c r="AC50" s="2"/>
      <c r="AD50" s="2"/>
      <c r="AE50" s="2"/>
      <c r="AF50" s="2"/>
      <c r="AG50" s="2"/>
    </row>
    <row r="53" spans="3:33" ht="15" x14ac:dyDescent="0.25">
      <c r="C53" s="4" t="s">
        <v>96</v>
      </c>
    </row>
    <row r="55" spans="3:33" x14ac:dyDescent="0.2">
      <c r="E55" s="16" t="s">
        <v>249</v>
      </c>
    </row>
    <row r="56" spans="3:33" x14ac:dyDescent="0.2">
      <c r="E56" s="2" t="s">
        <v>250</v>
      </c>
    </row>
    <row r="57" spans="3:33" x14ac:dyDescent="0.2">
      <c r="E57" s="2" t="s">
        <v>251</v>
      </c>
    </row>
    <row r="58" spans="3:33" x14ac:dyDescent="0.2">
      <c r="E58" s="2" t="s">
        <v>252</v>
      </c>
    </row>
    <row r="59" spans="3:33" x14ac:dyDescent="0.2">
      <c r="E59" s="2"/>
    </row>
    <row r="60" spans="3:33" x14ac:dyDescent="0.2">
      <c r="E60" s="2" t="s">
        <v>256</v>
      </c>
    </row>
    <row r="61" spans="3:33" x14ac:dyDescent="0.2">
      <c r="E61" s="251" t="s">
        <v>255</v>
      </c>
      <c r="F61" s="251"/>
      <c r="G61" s="251"/>
      <c r="H61" s="251"/>
      <c r="I61" s="251"/>
      <c r="J61" s="251"/>
      <c r="K61" s="251"/>
      <c r="L61" s="251"/>
    </row>
    <row r="62" spans="3:33" x14ac:dyDescent="0.2">
      <c r="E62" s="2" t="s">
        <v>257</v>
      </c>
    </row>
    <row r="63" spans="3:33" x14ac:dyDescent="0.2">
      <c r="E63" s="2" t="s">
        <v>253</v>
      </c>
    </row>
    <row r="64" spans="3:33" x14ac:dyDescent="0.2">
      <c r="E64" s="2" t="s">
        <v>254</v>
      </c>
    </row>
    <row r="67" spans="5:33" x14ac:dyDescent="0.2">
      <c r="E67" s="16" t="s">
        <v>248</v>
      </c>
    </row>
    <row r="68" spans="5:33" x14ac:dyDescent="0.2">
      <c r="E68" s="17" t="s">
        <v>273</v>
      </c>
      <c r="F68" s="17"/>
      <c r="G68" s="17"/>
      <c r="H68" s="17"/>
      <c r="I68" s="17"/>
      <c r="J68" s="17"/>
      <c r="K68" s="17"/>
      <c r="L68" s="17"/>
      <c r="M68" s="17"/>
      <c r="N68" s="17"/>
      <c r="O68" s="17"/>
      <c r="P68" s="17" t="s">
        <v>274</v>
      </c>
      <c r="Q68" s="17"/>
      <c r="R68" s="17"/>
      <c r="S68" s="17"/>
      <c r="T68" s="17"/>
      <c r="U68" s="17"/>
      <c r="V68" s="17"/>
      <c r="W68" s="17"/>
      <c r="X68" s="17"/>
      <c r="Y68" s="17"/>
      <c r="Z68" s="17"/>
      <c r="AA68" s="17"/>
      <c r="AB68" s="2"/>
      <c r="AC68" s="2"/>
      <c r="AD68" s="2"/>
      <c r="AE68" s="2"/>
      <c r="AF68" s="2"/>
      <c r="AG68" s="2"/>
    </row>
    <row r="69" spans="5:33" x14ac:dyDescent="0.2">
      <c r="E69" s="17" t="s">
        <v>260</v>
      </c>
      <c r="F69" s="17"/>
      <c r="G69" s="17"/>
      <c r="H69" s="17"/>
      <c r="I69" s="17"/>
      <c r="J69" s="17"/>
      <c r="K69" s="17"/>
      <c r="L69" s="17"/>
      <c r="M69" s="17"/>
      <c r="N69" s="17"/>
      <c r="O69" s="17"/>
      <c r="P69" s="17" t="s">
        <v>258</v>
      </c>
      <c r="Q69" s="17"/>
      <c r="R69" s="17"/>
      <c r="S69" s="17"/>
      <c r="T69" s="17"/>
      <c r="U69" s="17"/>
      <c r="V69" s="17"/>
      <c r="W69" s="17"/>
      <c r="X69" s="17"/>
      <c r="Y69" s="17"/>
      <c r="Z69" s="17"/>
      <c r="AA69" s="17"/>
      <c r="AB69" s="2"/>
      <c r="AC69" s="2"/>
      <c r="AD69" s="2"/>
      <c r="AE69" s="2"/>
      <c r="AF69" s="2"/>
      <c r="AG69" s="2"/>
    </row>
    <row r="70" spans="5:33" x14ac:dyDescent="0.2">
      <c r="E70" s="17" t="s">
        <v>259</v>
      </c>
      <c r="F70" s="17"/>
      <c r="G70" s="17"/>
      <c r="H70" s="17"/>
      <c r="I70" s="17"/>
      <c r="J70" s="17"/>
      <c r="K70" s="17"/>
      <c r="L70" s="17"/>
      <c r="M70" s="17"/>
      <c r="N70" s="17"/>
      <c r="O70" s="17"/>
      <c r="P70" s="17" t="s">
        <v>261</v>
      </c>
      <c r="Q70" s="17"/>
      <c r="R70" s="17"/>
      <c r="S70" s="17"/>
      <c r="T70" s="17"/>
      <c r="U70" s="17"/>
      <c r="V70" s="17"/>
      <c r="W70" s="17"/>
      <c r="X70" s="17"/>
      <c r="Y70" s="17"/>
      <c r="Z70" s="17"/>
      <c r="AA70" s="17"/>
      <c r="AB70" s="2"/>
      <c r="AC70" s="2"/>
      <c r="AD70" s="2"/>
      <c r="AE70" s="2"/>
      <c r="AF70" s="2"/>
      <c r="AG70" s="2"/>
    </row>
    <row r="71" spans="5:33" x14ac:dyDescent="0.2">
      <c r="E71" s="17" t="s">
        <v>263</v>
      </c>
      <c r="F71" s="17"/>
      <c r="G71" s="17"/>
      <c r="H71" s="17"/>
      <c r="I71" s="17"/>
      <c r="J71" s="17"/>
      <c r="K71" s="17"/>
      <c r="L71" s="17"/>
      <c r="M71" s="17"/>
      <c r="N71" s="17"/>
      <c r="O71" s="17"/>
      <c r="P71" s="17" t="s">
        <v>262</v>
      </c>
      <c r="Q71" s="17"/>
      <c r="R71" s="17"/>
      <c r="S71" s="17"/>
      <c r="T71" s="17"/>
      <c r="U71" s="17"/>
      <c r="V71" s="17"/>
      <c r="W71" s="17"/>
      <c r="X71" s="17"/>
      <c r="Y71" s="17"/>
      <c r="Z71" s="17"/>
      <c r="AA71" s="17"/>
      <c r="AB71" s="2"/>
      <c r="AC71" s="2"/>
      <c r="AD71" s="2"/>
      <c r="AE71" s="2"/>
      <c r="AF71" s="2"/>
      <c r="AG71" s="2"/>
    </row>
    <row r="72" spans="5:33" x14ac:dyDescent="0.2">
      <c r="E72" s="17" t="s">
        <v>267</v>
      </c>
      <c r="F72" s="17"/>
      <c r="G72" s="17"/>
      <c r="H72" s="17"/>
      <c r="I72" s="17"/>
      <c r="J72" s="17"/>
      <c r="K72" s="17"/>
      <c r="L72" s="17"/>
      <c r="M72" s="17"/>
      <c r="N72" s="17"/>
      <c r="O72" s="17"/>
      <c r="P72" s="17" t="s">
        <v>266</v>
      </c>
      <c r="Q72" s="17"/>
      <c r="R72" s="17"/>
      <c r="S72" s="17"/>
      <c r="T72" s="17"/>
      <c r="U72" s="17"/>
      <c r="V72" s="17"/>
      <c r="W72" s="17"/>
      <c r="X72" s="17"/>
      <c r="Y72" s="17"/>
      <c r="Z72" s="17"/>
      <c r="AA72" s="17"/>
      <c r="AB72" s="2"/>
      <c r="AC72" s="2"/>
      <c r="AD72" s="2"/>
      <c r="AE72" s="2"/>
      <c r="AF72" s="2"/>
      <c r="AG72" s="2"/>
    </row>
    <row r="73" spans="5:33" x14ac:dyDescent="0.2">
      <c r="E73" s="17" t="s">
        <v>265</v>
      </c>
      <c r="F73" s="17"/>
      <c r="G73" s="17"/>
      <c r="H73" s="17"/>
      <c r="I73" s="17"/>
      <c r="J73" s="17"/>
      <c r="K73" s="17"/>
      <c r="L73" s="17"/>
      <c r="M73" s="17"/>
      <c r="N73" s="17"/>
      <c r="O73" s="17"/>
      <c r="P73" s="17" t="s">
        <v>264</v>
      </c>
      <c r="Q73" s="17"/>
      <c r="R73" s="17"/>
      <c r="S73" s="17"/>
      <c r="T73" s="17"/>
      <c r="U73" s="17"/>
      <c r="V73" s="17"/>
      <c r="W73" s="17"/>
      <c r="X73" s="17"/>
      <c r="Y73" s="17"/>
      <c r="Z73" s="17"/>
      <c r="AA73" s="17"/>
      <c r="AB73" s="2"/>
      <c r="AC73" s="2"/>
      <c r="AD73" s="2"/>
      <c r="AE73" s="2"/>
      <c r="AF73" s="2"/>
      <c r="AG73" s="2"/>
    </row>
    <row r="74" spans="5:33" x14ac:dyDescent="0.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row>
    <row r="75" spans="5:33" x14ac:dyDescent="0.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row>
    <row r="76" spans="5:33" x14ac:dyDescent="0.2">
      <c r="E76" s="16" t="s">
        <v>247</v>
      </c>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row>
    <row r="77" spans="5:33" x14ac:dyDescent="0.2">
      <c r="E77" s="2" t="s">
        <v>270</v>
      </c>
      <c r="F77" s="2"/>
      <c r="G77" s="2"/>
      <c r="H77" s="2"/>
      <c r="I77" s="2"/>
      <c r="J77" s="2"/>
      <c r="K77" s="2"/>
      <c r="L77" s="2"/>
      <c r="M77" s="2"/>
      <c r="N77" s="2"/>
      <c r="O77" s="2"/>
      <c r="P77" s="2" t="s">
        <v>816</v>
      </c>
      <c r="Q77" s="2"/>
      <c r="R77" s="2"/>
      <c r="S77" s="2"/>
      <c r="T77" s="2"/>
      <c r="U77" s="2"/>
      <c r="V77" s="2"/>
      <c r="W77" s="2"/>
      <c r="X77" s="2"/>
      <c r="Y77" s="2"/>
      <c r="Z77" s="2"/>
      <c r="AA77" s="2"/>
      <c r="AB77" s="2"/>
      <c r="AC77" s="2"/>
      <c r="AD77" s="2"/>
      <c r="AE77" s="2"/>
      <c r="AF77" s="2"/>
      <c r="AG77" s="2"/>
    </row>
    <row r="78" spans="5:33" x14ac:dyDescent="0.2">
      <c r="E78" s="2" t="s">
        <v>268</v>
      </c>
      <c r="F78" s="2"/>
      <c r="G78" s="2"/>
      <c r="H78" s="2"/>
      <c r="I78" s="2"/>
      <c r="J78" s="2"/>
      <c r="K78" s="2"/>
      <c r="L78" s="2"/>
      <c r="M78" s="2"/>
      <c r="N78" s="2"/>
      <c r="O78" s="2"/>
      <c r="P78" s="2" t="s">
        <v>269</v>
      </c>
      <c r="Q78" s="2"/>
      <c r="R78" s="2"/>
      <c r="S78" s="2"/>
      <c r="T78" s="2"/>
      <c r="U78" s="2"/>
      <c r="V78" s="2"/>
      <c r="W78" s="2"/>
      <c r="X78" s="2"/>
      <c r="Y78" s="2"/>
      <c r="Z78" s="2"/>
      <c r="AA78" s="2"/>
      <c r="AB78" s="2"/>
      <c r="AC78" s="2"/>
      <c r="AD78" s="2"/>
      <c r="AE78" s="2"/>
      <c r="AF78" s="2"/>
      <c r="AG78" s="2"/>
    </row>
    <row r="79" spans="5:33" x14ac:dyDescent="0.2">
      <c r="M79" s="2"/>
      <c r="N79" s="2"/>
      <c r="O79" s="2"/>
      <c r="P79" s="2"/>
      <c r="Q79" s="2"/>
      <c r="R79" s="2"/>
      <c r="S79" s="2"/>
      <c r="T79" s="2"/>
      <c r="U79" s="2"/>
      <c r="V79" s="2"/>
      <c r="W79" s="2"/>
      <c r="X79" s="2"/>
      <c r="Y79" s="2"/>
      <c r="Z79" s="2"/>
      <c r="AA79" s="2"/>
      <c r="AB79" s="2"/>
      <c r="AC79" s="2"/>
      <c r="AD79" s="2"/>
      <c r="AE79" s="2"/>
      <c r="AF79" s="2"/>
      <c r="AG79" s="2"/>
    </row>
    <row r="80" spans="5:33" x14ac:dyDescent="0.2">
      <c r="M80" s="2"/>
      <c r="N80" s="2"/>
      <c r="O80" s="2"/>
      <c r="P80" s="2"/>
      <c r="Q80" s="2"/>
      <c r="R80" s="2"/>
      <c r="S80" s="2"/>
      <c r="T80" s="2"/>
      <c r="U80" s="2"/>
      <c r="V80" s="2"/>
      <c r="W80" s="2"/>
      <c r="X80" s="2"/>
      <c r="Y80" s="2"/>
      <c r="Z80" s="2"/>
      <c r="AA80" s="2"/>
      <c r="AB80" s="2"/>
      <c r="AC80" s="2"/>
      <c r="AD80" s="2"/>
      <c r="AE80" s="2"/>
      <c r="AF80" s="2"/>
      <c r="AG80" s="2"/>
    </row>
    <row r="81" spans="5:33" x14ac:dyDescent="0.2">
      <c r="M81" s="2"/>
      <c r="N81" s="2"/>
      <c r="O81" s="2"/>
      <c r="P81" s="2"/>
      <c r="Q81" s="2"/>
      <c r="R81" s="2"/>
      <c r="S81" s="2"/>
      <c r="T81" s="2"/>
      <c r="U81" s="2"/>
      <c r="V81" s="2"/>
      <c r="W81" s="2"/>
      <c r="X81" s="2"/>
      <c r="Y81" s="2"/>
      <c r="Z81" s="2"/>
      <c r="AA81" s="2"/>
      <c r="AB81" s="2"/>
      <c r="AC81" s="2"/>
      <c r="AD81" s="2"/>
      <c r="AE81" s="2"/>
      <c r="AF81" s="2"/>
      <c r="AG81" s="2"/>
    </row>
    <row r="82" spans="5:33" x14ac:dyDescent="0.2">
      <c r="M82" s="2"/>
      <c r="N82" s="2"/>
      <c r="O82" s="2"/>
      <c r="P82" s="2"/>
      <c r="Q82" s="2"/>
      <c r="R82" s="2"/>
      <c r="S82" s="2"/>
      <c r="T82" s="2"/>
      <c r="U82" s="2"/>
      <c r="V82" s="2"/>
      <c r="W82" s="2"/>
      <c r="X82" s="2"/>
      <c r="Y82" s="2"/>
      <c r="Z82" s="2"/>
      <c r="AA82" s="2"/>
      <c r="AB82" s="2"/>
      <c r="AC82" s="2"/>
      <c r="AD82" s="2"/>
      <c r="AE82" s="2"/>
      <c r="AF82" s="2"/>
      <c r="AG82" s="2"/>
    </row>
    <row r="83" spans="5:33" x14ac:dyDescent="0.2">
      <c r="M83" s="2"/>
      <c r="N83" s="2"/>
      <c r="O83" s="2"/>
      <c r="P83" s="2"/>
      <c r="Q83" s="2"/>
      <c r="R83" s="2"/>
      <c r="S83" s="2"/>
      <c r="T83" s="2"/>
      <c r="U83" s="2"/>
      <c r="V83" s="2"/>
      <c r="W83" s="2"/>
      <c r="X83" s="2"/>
      <c r="Y83" s="2"/>
      <c r="Z83" s="2"/>
      <c r="AA83" s="2"/>
      <c r="AB83" s="2"/>
      <c r="AC83" s="2"/>
      <c r="AD83" s="2"/>
      <c r="AE83" s="2"/>
      <c r="AF83" s="2"/>
      <c r="AG83" s="2"/>
    </row>
    <row r="84" spans="5:33" x14ac:dyDescent="0.2">
      <c r="M84" s="2"/>
      <c r="N84" s="2"/>
      <c r="O84" s="2"/>
      <c r="P84" s="2"/>
      <c r="Q84" s="2"/>
      <c r="R84" s="2"/>
      <c r="S84" s="2"/>
      <c r="T84" s="2"/>
      <c r="U84" s="2"/>
      <c r="V84" s="2"/>
      <c r="W84" s="2"/>
      <c r="X84" s="2"/>
      <c r="Y84" s="2"/>
      <c r="Z84" s="2"/>
      <c r="AA84" s="2"/>
      <c r="AB84" s="2"/>
      <c r="AC84" s="2"/>
      <c r="AD84" s="2"/>
      <c r="AE84" s="2"/>
      <c r="AF84" s="2"/>
      <c r="AG84" s="2"/>
    </row>
    <row r="85" spans="5:33" x14ac:dyDescent="0.2">
      <c r="M85" s="2"/>
      <c r="N85" s="2"/>
      <c r="O85" s="2"/>
      <c r="P85" s="2"/>
      <c r="Q85" s="2"/>
      <c r="R85" s="2"/>
      <c r="S85" s="2"/>
      <c r="T85" s="2"/>
      <c r="U85" s="2"/>
      <c r="V85" s="2"/>
      <c r="W85" s="2"/>
      <c r="X85" s="2"/>
      <c r="Y85" s="2"/>
      <c r="Z85" s="2"/>
      <c r="AA85" s="2"/>
      <c r="AB85" s="2"/>
      <c r="AC85" s="2"/>
      <c r="AD85" s="2"/>
      <c r="AE85" s="2"/>
      <c r="AF85" s="2"/>
      <c r="AG85" s="2"/>
    </row>
    <row r="86" spans="5:33" x14ac:dyDescent="0.2">
      <c r="M86" s="2"/>
      <c r="N86" s="2"/>
      <c r="O86" s="2"/>
      <c r="P86" s="2"/>
      <c r="Q86" s="2"/>
      <c r="R86" s="2"/>
      <c r="S86" s="2"/>
      <c r="T86" s="2"/>
      <c r="U86" s="2"/>
      <c r="V86" s="2"/>
      <c r="W86" s="2"/>
      <c r="X86" s="2"/>
      <c r="Y86" s="2"/>
      <c r="Z86" s="2"/>
      <c r="AA86" s="2"/>
      <c r="AB86" s="2"/>
      <c r="AC86" s="2"/>
      <c r="AD86" s="2"/>
      <c r="AE86" s="2"/>
      <c r="AF86" s="2"/>
      <c r="AG86" s="2"/>
    </row>
    <row r="87" spans="5:33" x14ac:dyDescent="0.2">
      <c r="M87" s="2"/>
      <c r="N87" s="2"/>
      <c r="O87" s="2"/>
      <c r="P87" s="2"/>
      <c r="Q87" s="2"/>
      <c r="R87" s="2"/>
      <c r="S87" s="2"/>
      <c r="T87" s="2"/>
      <c r="U87" s="2"/>
      <c r="V87" s="2"/>
      <c r="W87" s="2"/>
      <c r="X87" s="2"/>
      <c r="Y87" s="2"/>
      <c r="Z87" s="2"/>
      <c r="AA87" s="2"/>
      <c r="AB87" s="2"/>
      <c r="AC87" s="2"/>
      <c r="AD87" s="2"/>
      <c r="AE87" s="2"/>
      <c r="AF87" s="2"/>
      <c r="AG87" s="2"/>
    </row>
    <row r="88" spans="5:33" x14ac:dyDescent="0.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row>
    <row r="89" spans="5:33" x14ac:dyDescent="0.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row>
    <row r="90" spans="5:33" x14ac:dyDescent="0.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row>
    <row r="91" spans="5:33" x14ac:dyDescent="0.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row>
    <row r="92" spans="5:33" x14ac:dyDescent="0.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row>
    <row r="93" spans="5:33" x14ac:dyDescent="0.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row>
    <row r="94" spans="5:33" x14ac:dyDescent="0.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row>
    <row r="95" spans="5:33" x14ac:dyDescent="0.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row>
    <row r="96" spans="5:33" x14ac:dyDescent="0.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row>
    <row r="97" spans="2:33" x14ac:dyDescent="0.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row>
    <row r="98" spans="2:33" x14ac:dyDescent="0.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row>
    <row r="99" spans="2:33" x14ac:dyDescent="0.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row>
    <row r="100" spans="2:33" x14ac:dyDescent="0.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row>
    <row r="101" spans="2:33" x14ac:dyDescent="0.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row>
    <row r="102" spans="2:33" x14ac:dyDescent="0.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row>
    <row r="103" spans="2:33" x14ac:dyDescent="0.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row>
    <row r="104" spans="2:33" x14ac:dyDescent="0.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row>
    <row r="105" spans="2:33" x14ac:dyDescent="0.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row>
    <row r="106" spans="2:33" x14ac:dyDescent="0.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row>
    <row r="107" spans="2:33" ht="15" x14ac:dyDescent="0.25">
      <c r="B107" s="4" t="s">
        <v>97</v>
      </c>
    </row>
    <row r="109" spans="2:33" x14ac:dyDescent="0.2">
      <c r="C109" s="2"/>
      <c r="D109" s="2" t="s">
        <v>98</v>
      </c>
      <c r="E109" s="2"/>
      <c r="F109" s="2"/>
      <c r="G109" s="2"/>
      <c r="H109" s="2"/>
      <c r="I109" s="2"/>
      <c r="J109" s="2"/>
      <c r="K109" s="2"/>
      <c r="L109" s="2"/>
      <c r="M109" s="2" t="s">
        <v>1011</v>
      </c>
      <c r="N109" s="2"/>
      <c r="O109" s="2"/>
      <c r="P109" s="2"/>
      <c r="Q109" s="2"/>
      <c r="R109" s="2"/>
      <c r="S109" s="2"/>
      <c r="T109" s="2"/>
      <c r="U109" s="2"/>
      <c r="V109" s="2"/>
      <c r="W109" s="2"/>
      <c r="X109" s="2"/>
      <c r="Y109" s="2"/>
      <c r="Z109" s="2"/>
      <c r="AA109" s="2"/>
      <c r="AB109" s="2"/>
      <c r="AC109" s="2"/>
      <c r="AD109" s="2"/>
      <c r="AE109" s="2"/>
      <c r="AF109" s="2"/>
    </row>
    <row r="110" spans="2:33" x14ac:dyDescent="0.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2:33" x14ac:dyDescent="0.2">
      <c r="C111" s="2"/>
      <c r="D111" s="2" t="s">
        <v>99</v>
      </c>
      <c r="E111" s="2"/>
      <c r="F111" s="2"/>
      <c r="G111" s="2"/>
      <c r="H111" s="2"/>
      <c r="I111" s="2"/>
      <c r="J111" s="2"/>
      <c r="K111" s="2"/>
      <c r="L111" s="2"/>
      <c r="M111" s="2" t="s">
        <v>155</v>
      </c>
      <c r="N111" s="2"/>
      <c r="O111" s="2"/>
      <c r="P111" s="2"/>
      <c r="Q111" s="2"/>
      <c r="R111" s="2"/>
      <c r="S111" s="2"/>
      <c r="T111" s="2"/>
      <c r="U111" s="2"/>
      <c r="V111" s="2"/>
      <c r="W111" s="2"/>
      <c r="X111" s="2"/>
      <c r="Y111" s="2"/>
      <c r="Z111" s="2"/>
      <c r="AA111" s="2"/>
      <c r="AB111" s="2"/>
      <c r="AC111" s="2"/>
      <c r="AD111" s="2"/>
      <c r="AE111" s="2"/>
      <c r="AF111" s="2"/>
    </row>
    <row r="112" spans="2:33" x14ac:dyDescent="0.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3:32" x14ac:dyDescent="0.2">
      <c r="C113" s="2"/>
      <c r="D113" s="2" t="s">
        <v>100</v>
      </c>
      <c r="E113" s="2"/>
      <c r="F113" s="2"/>
      <c r="G113" s="2"/>
      <c r="H113" s="2"/>
      <c r="I113" s="2"/>
      <c r="J113" s="2"/>
      <c r="K113" s="2"/>
      <c r="L113" s="2"/>
      <c r="M113" s="232" t="s">
        <v>156</v>
      </c>
      <c r="N113" s="232"/>
      <c r="O113" s="232"/>
      <c r="P113" s="232"/>
      <c r="Q113" s="232"/>
      <c r="R113" s="232"/>
      <c r="S113" s="232"/>
      <c r="T113" s="232"/>
      <c r="U113" s="232"/>
      <c r="V113" s="232"/>
      <c r="W113" s="232"/>
      <c r="X113" s="232"/>
      <c r="Y113" s="232"/>
      <c r="Z113" s="232"/>
      <c r="AA113" s="232"/>
      <c r="AB113" s="232"/>
      <c r="AC113" s="232"/>
      <c r="AD113" s="232"/>
      <c r="AE113" s="232"/>
      <c r="AF113" s="232"/>
    </row>
    <row r="114" spans="3:32" x14ac:dyDescent="0.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3:32" x14ac:dyDescent="0.2">
      <c r="C115" s="2"/>
      <c r="D115" s="2" t="s">
        <v>101</v>
      </c>
      <c r="E115" s="2"/>
      <c r="F115" s="2"/>
      <c r="G115" s="2"/>
      <c r="H115" s="2"/>
      <c r="I115" s="2"/>
      <c r="J115" s="2"/>
      <c r="K115" s="2"/>
      <c r="L115" s="2"/>
      <c r="M115" s="2" t="s">
        <v>157</v>
      </c>
      <c r="N115" s="2"/>
      <c r="O115" s="2"/>
      <c r="P115" s="2"/>
      <c r="Q115" s="2"/>
      <c r="R115" s="2"/>
      <c r="S115" s="2"/>
      <c r="T115" s="2"/>
      <c r="U115" s="2"/>
      <c r="V115" s="2"/>
      <c r="W115" s="2"/>
      <c r="X115" s="2"/>
      <c r="Y115" s="2"/>
      <c r="Z115" s="2"/>
      <c r="AA115" s="2"/>
      <c r="AB115" s="2"/>
      <c r="AC115" s="2"/>
      <c r="AD115" s="2"/>
      <c r="AE115" s="2"/>
      <c r="AF115" s="2"/>
    </row>
    <row r="116" spans="3:32" x14ac:dyDescent="0.2">
      <c r="C116" s="2"/>
      <c r="D116" s="2"/>
      <c r="E116" s="2"/>
      <c r="F116" s="2"/>
      <c r="G116" s="2"/>
      <c r="H116" s="2"/>
      <c r="I116" s="2"/>
      <c r="J116" s="2"/>
      <c r="K116" s="2"/>
      <c r="L116" s="2"/>
      <c r="M116" s="2" t="s">
        <v>158</v>
      </c>
      <c r="N116" s="2"/>
      <c r="O116" s="2"/>
      <c r="P116" s="2"/>
      <c r="Q116" s="2"/>
      <c r="R116" s="2"/>
      <c r="S116" s="2"/>
      <c r="T116" s="2"/>
      <c r="U116" s="2"/>
      <c r="V116" s="2"/>
      <c r="W116" s="2"/>
      <c r="X116" s="2"/>
      <c r="Y116" s="2"/>
      <c r="Z116" s="2"/>
      <c r="AA116" s="2"/>
      <c r="AB116" s="2"/>
      <c r="AC116" s="2"/>
      <c r="AD116" s="2"/>
      <c r="AE116" s="2"/>
      <c r="AF116" s="2"/>
    </row>
    <row r="117" spans="3:32" x14ac:dyDescent="0.2">
      <c r="C117" s="2"/>
      <c r="D117" s="2"/>
      <c r="E117" s="2"/>
      <c r="F117" s="2"/>
      <c r="G117" s="2"/>
      <c r="H117" s="2"/>
      <c r="I117" s="2"/>
      <c r="J117" s="2"/>
      <c r="K117" s="2"/>
      <c r="L117" s="2"/>
      <c r="M117" s="3" t="s">
        <v>159</v>
      </c>
      <c r="N117" s="2"/>
      <c r="O117" s="2"/>
      <c r="P117" s="2"/>
      <c r="Q117" s="2"/>
      <c r="R117" s="2"/>
      <c r="S117" s="2"/>
      <c r="T117" s="2"/>
      <c r="U117" s="2"/>
      <c r="V117" s="2"/>
      <c r="W117" s="2"/>
      <c r="X117" s="2"/>
      <c r="Y117" s="2"/>
      <c r="Z117" s="2"/>
      <c r="AA117" s="2"/>
      <c r="AB117" s="2"/>
      <c r="AC117" s="2"/>
      <c r="AD117" s="2"/>
      <c r="AE117" s="2"/>
      <c r="AF117" s="2"/>
    </row>
    <row r="118" spans="3:32" x14ac:dyDescent="0.2">
      <c r="C118" s="2"/>
      <c r="D118" s="2"/>
      <c r="E118" s="2"/>
      <c r="F118" s="2"/>
      <c r="G118" s="2"/>
      <c r="H118" s="2"/>
      <c r="I118" s="2"/>
      <c r="J118" s="2"/>
      <c r="K118" s="2"/>
      <c r="L118" s="2"/>
      <c r="M118" s="2" t="s">
        <v>160</v>
      </c>
      <c r="N118" s="2"/>
      <c r="O118" s="2"/>
      <c r="P118" s="2"/>
      <c r="Q118" s="2"/>
      <c r="R118" s="2"/>
      <c r="S118" s="2"/>
      <c r="T118" s="2"/>
      <c r="U118" s="2"/>
      <c r="V118" s="2"/>
      <c r="W118" s="2"/>
      <c r="X118" s="2"/>
      <c r="Y118" s="2"/>
      <c r="Z118" s="2"/>
      <c r="AA118" s="2"/>
      <c r="AB118" s="2"/>
      <c r="AC118" s="2"/>
      <c r="AD118" s="2"/>
      <c r="AE118" s="2"/>
      <c r="AF118" s="2"/>
    </row>
    <row r="119" spans="3:32" x14ac:dyDescent="0.2">
      <c r="C119" s="2"/>
      <c r="D119" s="2"/>
      <c r="E119" s="2"/>
      <c r="F119" s="2"/>
      <c r="G119" s="2"/>
      <c r="H119" s="2"/>
      <c r="I119" s="2"/>
      <c r="J119" s="2"/>
      <c r="K119" s="2"/>
      <c r="L119" s="2"/>
      <c r="M119" s="2" t="s">
        <v>161</v>
      </c>
      <c r="N119" s="2"/>
      <c r="O119" s="2"/>
      <c r="P119" s="2"/>
      <c r="Q119" s="2"/>
      <c r="R119" s="2"/>
      <c r="S119" s="2"/>
      <c r="T119" s="2"/>
      <c r="U119" s="2"/>
      <c r="V119" s="2"/>
      <c r="W119" s="2"/>
      <c r="X119" s="2"/>
      <c r="Y119" s="2"/>
      <c r="Z119" s="2"/>
      <c r="AA119" s="2"/>
      <c r="AB119" s="2"/>
      <c r="AC119" s="2"/>
      <c r="AD119" s="2"/>
      <c r="AE119" s="2"/>
      <c r="AF119" s="2"/>
    </row>
    <row r="120" spans="3:32" x14ac:dyDescent="0.2">
      <c r="C120" s="2"/>
      <c r="D120" s="2"/>
      <c r="E120" s="2"/>
      <c r="F120" s="2"/>
      <c r="G120" s="2"/>
      <c r="H120" s="2"/>
      <c r="I120" s="2"/>
      <c r="J120" s="2"/>
      <c r="K120" s="2"/>
      <c r="L120" s="2"/>
      <c r="M120" s="113" t="s">
        <v>162</v>
      </c>
      <c r="N120" s="113"/>
      <c r="O120" s="113"/>
      <c r="P120" s="113"/>
      <c r="Q120" s="113"/>
      <c r="R120" s="113"/>
      <c r="S120" s="113"/>
      <c r="T120" s="113"/>
      <c r="U120" s="113"/>
      <c r="V120" s="113"/>
      <c r="W120" s="113"/>
      <c r="X120" s="113"/>
      <c r="Y120" s="113"/>
      <c r="Z120" s="113"/>
      <c r="AA120" s="113"/>
      <c r="AB120" s="113"/>
      <c r="AC120" s="113"/>
      <c r="AD120" s="113"/>
      <c r="AE120" s="113"/>
      <c r="AF120" s="113"/>
    </row>
    <row r="121" spans="3:32" x14ac:dyDescent="0.2">
      <c r="C121" s="2"/>
      <c r="D121" s="2"/>
      <c r="E121" s="2"/>
      <c r="F121" s="2"/>
      <c r="G121" s="2"/>
      <c r="H121" s="2"/>
      <c r="I121" s="2"/>
      <c r="J121" s="2"/>
      <c r="K121" s="2"/>
      <c r="L121" s="2"/>
      <c r="M121" s="113"/>
      <c r="N121" s="113"/>
      <c r="O121" s="113"/>
      <c r="P121" s="113"/>
      <c r="Q121" s="113"/>
      <c r="R121" s="113"/>
      <c r="S121" s="113"/>
      <c r="T121" s="113"/>
      <c r="U121" s="113"/>
      <c r="V121" s="113"/>
      <c r="W121" s="113"/>
      <c r="X121" s="113"/>
      <c r="Y121" s="113"/>
      <c r="Z121" s="113"/>
      <c r="AA121" s="113"/>
      <c r="AB121" s="113"/>
      <c r="AC121" s="113"/>
      <c r="AD121" s="113"/>
      <c r="AE121" s="113"/>
      <c r="AF121" s="113"/>
    </row>
    <row r="122" spans="3:32" x14ac:dyDescent="0.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3:32" x14ac:dyDescent="0.2">
      <c r="C123" s="2"/>
      <c r="D123" s="2" t="s">
        <v>102</v>
      </c>
      <c r="E123" s="2"/>
      <c r="F123" s="2"/>
      <c r="G123" s="2"/>
      <c r="H123" s="2"/>
      <c r="I123" s="2"/>
      <c r="J123" s="2"/>
      <c r="K123" s="2"/>
      <c r="L123" s="2"/>
      <c r="M123" s="3" t="s">
        <v>163</v>
      </c>
      <c r="N123" s="2"/>
      <c r="O123" s="2"/>
      <c r="P123" s="2"/>
      <c r="Q123" s="2"/>
      <c r="R123" s="2"/>
      <c r="S123" s="2"/>
      <c r="T123" s="2"/>
      <c r="U123" s="2"/>
      <c r="V123" s="2"/>
      <c r="W123" s="2"/>
      <c r="X123" s="2"/>
      <c r="Y123" s="2"/>
      <c r="Z123" s="2"/>
      <c r="AA123" s="2"/>
      <c r="AB123" s="2"/>
      <c r="AC123" s="2"/>
      <c r="AD123" s="2"/>
      <c r="AE123" s="2"/>
      <c r="AF123" s="2"/>
    </row>
    <row r="124" spans="3:32" x14ac:dyDescent="0.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3:32" x14ac:dyDescent="0.2">
      <c r="C125" s="2"/>
      <c r="D125" s="2" t="s">
        <v>103</v>
      </c>
      <c r="E125" s="2"/>
      <c r="F125" s="2"/>
      <c r="G125" s="2"/>
      <c r="H125" s="2"/>
      <c r="I125" s="2"/>
      <c r="J125" s="2"/>
      <c r="K125" s="2"/>
      <c r="L125" s="2"/>
      <c r="M125" s="2" t="s">
        <v>104</v>
      </c>
      <c r="N125" s="2"/>
      <c r="O125" s="2"/>
      <c r="P125" s="2"/>
      <c r="Q125" s="2"/>
      <c r="R125" s="2"/>
      <c r="S125" s="2"/>
      <c r="T125" s="2"/>
      <c r="U125" s="2"/>
      <c r="V125" s="2"/>
      <c r="W125" s="2"/>
      <c r="X125" s="2"/>
      <c r="Y125" s="2"/>
      <c r="Z125" s="2"/>
      <c r="AA125" s="2"/>
      <c r="AB125" s="2"/>
      <c r="AC125" s="2"/>
      <c r="AD125" s="2"/>
      <c r="AE125" s="2"/>
      <c r="AF125" s="2"/>
    </row>
    <row r="126" spans="3:32" x14ac:dyDescent="0.2">
      <c r="C126" s="2"/>
      <c r="D126" s="2"/>
      <c r="E126" s="2"/>
      <c r="F126" s="2"/>
      <c r="G126" s="2"/>
      <c r="H126" s="2"/>
      <c r="I126" s="2"/>
      <c r="J126" s="2"/>
      <c r="K126" s="2"/>
      <c r="L126" s="2"/>
      <c r="M126" s="232" t="s">
        <v>1010</v>
      </c>
      <c r="N126" s="232"/>
      <c r="O126" s="232"/>
      <c r="P126" s="232"/>
      <c r="Q126" s="232"/>
      <c r="R126" s="232"/>
      <c r="S126" s="232"/>
      <c r="T126" s="232"/>
      <c r="U126" s="232"/>
      <c r="V126" s="232"/>
      <c r="W126" s="232"/>
      <c r="X126" s="232"/>
      <c r="Y126" s="232"/>
      <c r="Z126" s="232"/>
      <c r="AA126" s="232"/>
      <c r="AB126" s="232"/>
      <c r="AC126" s="232"/>
      <c r="AD126" s="232"/>
      <c r="AE126" s="232"/>
      <c r="AF126" s="232"/>
    </row>
    <row r="127" spans="3:32" x14ac:dyDescent="0.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3:32" x14ac:dyDescent="0.2">
      <c r="C128" s="2"/>
      <c r="D128" s="2" t="s">
        <v>164</v>
      </c>
      <c r="E128" s="2"/>
      <c r="F128" s="2"/>
      <c r="G128" s="2"/>
      <c r="H128" s="2"/>
      <c r="I128" s="2"/>
      <c r="J128" s="2"/>
      <c r="K128" s="2"/>
      <c r="L128" s="2"/>
      <c r="M128" s="2" t="s">
        <v>105</v>
      </c>
      <c r="N128" s="2"/>
      <c r="O128" s="2"/>
      <c r="P128" s="2"/>
      <c r="Q128" s="2"/>
      <c r="R128" s="2"/>
      <c r="S128" s="2"/>
      <c r="T128" s="2"/>
      <c r="U128" s="2"/>
      <c r="V128" s="2"/>
      <c r="W128" s="2"/>
      <c r="X128" s="2"/>
      <c r="Y128" s="2"/>
      <c r="Z128" s="2"/>
      <c r="AA128" s="2"/>
      <c r="AB128" s="2"/>
      <c r="AC128" s="2"/>
      <c r="AD128" s="2"/>
      <c r="AE128" s="2"/>
      <c r="AF128" s="2"/>
    </row>
    <row r="129" spans="2:32" x14ac:dyDescent="0.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2:32" x14ac:dyDescent="0.2">
      <c r="C130" s="2"/>
      <c r="D130" s="2" t="s">
        <v>165</v>
      </c>
      <c r="E130" s="2"/>
      <c r="F130" s="2"/>
      <c r="G130" s="2"/>
      <c r="H130" s="2"/>
      <c r="I130" s="2"/>
      <c r="J130" s="2"/>
      <c r="K130" s="2"/>
      <c r="L130" s="2"/>
      <c r="M130" s="2" t="s">
        <v>106</v>
      </c>
      <c r="N130" s="2"/>
      <c r="O130" s="2"/>
      <c r="P130" s="2"/>
      <c r="Q130" s="2"/>
      <c r="R130" s="2"/>
      <c r="S130" s="2"/>
      <c r="T130" s="2"/>
      <c r="U130" s="2"/>
      <c r="V130" s="2"/>
      <c r="W130" s="2"/>
      <c r="X130" s="2"/>
      <c r="Y130" s="2"/>
      <c r="Z130" s="2"/>
      <c r="AA130" s="2"/>
      <c r="AB130" s="2"/>
      <c r="AC130" s="2"/>
      <c r="AD130" s="2"/>
      <c r="AE130" s="2"/>
      <c r="AF130" s="2"/>
    </row>
    <row r="134" spans="2:32" ht="15" x14ac:dyDescent="0.25">
      <c r="B134" s="4" t="s">
        <v>107</v>
      </c>
    </row>
    <row r="135" spans="2:32" x14ac:dyDescent="0.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2:32" x14ac:dyDescent="0.2">
      <c r="C136" s="232" t="s">
        <v>108</v>
      </c>
      <c r="D136" s="232"/>
      <c r="E136" s="232"/>
      <c r="F136" s="232"/>
      <c r="G136" s="232"/>
      <c r="H136" s="232"/>
      <c r="I136" s="232"/>
      <c r="J136" s="232"/>
      <c r="K136" s="232"/>
      <c r="L136" s="232"/>
      <c r="M136" s="232"/>
      <c r="N136" s="232"/>
      <c r="O136" s="232"/>
      <c r="P136" s="232"/>
      <c r="Q136" s="232"/>
      <c r="R136" s="232"/>
      <c r="S136" s="232"/>
      <c r="T136" s="232"/>
      <c r="U136" s="232"/>
      <c r="V136" s="232"/>
      <c r="W136" s="232"/>
      <c r="X136" s="232"/>
      <c r="Y136" s="232"/>
      <c r="Z136" s="232"/>
      <c r="AA136" s="232"/>
      <c r="AB136" s="232"/>
      <c r="AC136" s="232"/>
      <c r="AD136" s="232"/>
      <c r="AE136" s="232"/>
      <c r="AF136" s="232"/>
    </row>
    <row r="137" spans="2:32" x14ac:dyDescent="0.2">
      <c r="C137" s="232"/>
      <c r="D137" s="232"/>
      <c r="E137" s="232"/>
      <c r="F137" s="232"/>
      <c r="G137" s="232"/>
      <c r="H137" s="232"/>
      <c r="I137" s="232"/>
      <c r="J137" s="232"/>
      <c r="K137" s="232"/>
      <c r="L137" s="232"/>
      <c r="M137" s="232"/>
      <c r="N137" s="232"/>
      <c r="O137" s="232"/>
      <c r="P137" s="232"/>
      <c r="Q137" s="232"/>
      <c r="R137" s="232"/>
      <c r="S137" s="232"/>
      <c r="T137" s="232"/>
      <c r="U137" s="232"/>
      <c r="V137" s="232"/>
      <c r="W137" s="232"/>
      <c r="X137" s="232"/>
      <c r="Y137" s="232"/>
      <c r="Z137" s="232"/>
      <c r="AA137" s="232"/>
      <c r="AB137" s="232"/>
      <c r="AC137" s="232"/>
      <c r="AD137" s="232"/>
      <c r="AE137" s="232"/>
      <c r="AF137" s="232"/>
    </row>
    <row r="138" spans="2:32" x14ac:dyDescent="0.2">
      <c r="C138" s="2"/>
      <c r="D138" s="2"/>
      <c r="E138" s="2"/>
      <c r="F138" s="2"/>
      <c r="G138" s="2" t="s">
        <v>271</v>
      </c>
      <c r="H138" s="2"/>
      <c r="I138" s="2"/>
      <c r="J138" s="2"/>
      <c r="K138" s="2"/>
      <c r="L138" s="2"/>
      <c r="M138" s="2" t="s">
        <v>272</v>
      </c>
      <c r="N138" s="2"/>
      <c r="O138" s="2"/>
      <c r="P138" s="2"/>
      <c r="Q138" s="2"/>
      <c r="R138" s="2"/>
      <c r="S138" s="2"/>
      <c r="T138" s="2"/>
      <c r="U138" s="2"/>
      <c r="V138" s="2"/>
      <c r="W138" s="2"/>
      <c r="X138" s="2"/>
      <c r="Y138" s="2"/>
      <c r="Z138" s="2"/>
      <c r="AA138" s="2"/>
      <c r="AB138" s="2"/>
      <c r="AC138" s="2"/>
      <c r="AD138" s="2"/>
      <c r="AE138" s="2"/>
      <c r="AF138" s="2"/>
    </row>
    <row r="139" spans="2:32" x14ac:dyDescent="0.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2:32" x14ac:dyDescent="0.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2:32" x14ac:dyDescent="0.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2:32" ht="15" x14ac:dyDescent="0.25">
      <c r="B142" s="4" t="s">
        <v>1032</v>
      </c>
    </row>
    <row r="143" spans="2:32" x14ac:dyDescent="0.2">
      <c r="C143" s="240" t="s">
        <v>203</v>
      </c>
      <c r="D143" s="240"/>
      <c r="E143" s="240"/>
      <c r="F143" s="240"/>
      <c r="G143" s="240"/>
      <c r="H143" s="240"/>
      <c r="I143" s="240"/>
      <c r="J143" s="240"/>
      <c r="K143" s="240"/>
      <c r="L143" s="240"/>
      <c r="M143" s="240"/>
      <c r="N143" s="240"/>
      <c r="O143" s="240"/>
      <c r="P143" s="240"/>
      <c r="Q143" s="240"/>
      <c r="R143" s="240"/>
      <c r="S143" s="240"/>
      <c r="T143" s="240"/>
      <c r="U143" s="240"/>
      <c r="V143" s="240"/>
      <c r="W143" s="240"/>
      <c r="X143" s="240"/>
      <c r="Y143" s="240"/>
      <c r="Z143" s="240"/>
      <c r="AA143" s="240"/>
      <c r="AB143" s="240"/>
      <c r="AC143" s="240"/>
      <c r="AD143" s="240"/>
      <c r="AE143" s="240"/>
    </row>
    <row r="144" spans="2:32" x14ac:dyDescent="0.2">
      <c r="C144" s="240"/>
      <c r="D144" s="240"/>
      <c r="E144" s="240"/>
      <c r="F144" s="240"/>
      <c r="G144" s="240"/>
      <c r="H144" s="240"/>
      <c r="I144" s="240"/>
      <c r="J144" s="240"/>
      <c r="K144" s="240"/>
      <c r="L144" s="240"/>
      <c r="M144" s="240"/>
      <c r="N144" s="240"/>
      <c r="O144" s="240"/>
      <c r="P144" s="240"/>
      <c r="Q144" s="240"/>
      <c r="R144" s="240"/>
      <c r="S144" s="240"/>
      <c r="T144" s="240"/>
      <c r="U144" s="240"/>
      <c r="V144" s="240"/>
      <c r="W144" s="240"/>
      <c r="X144" s="240"/>
      <c r="Y144" s="240"/>
      <c r="Z144" s="240"/>
      <c r="AA144" s="240"/>
      <c r="AB144" s="240"/>
      <c r="AC144" s="240"/>
      <c r="AD144" s="240"/>
      <c r="AE144" s="240"/>
    </row>
    <row r="145" spans="2:33" x14ac:dyDescent="0.2">
      <c r="C145" s="240"/>
      <c r="D145" s="240"/>
      <c r="E145" s="240"/>
      <c r="F145" s="240"/>
      <c r="G145" s="240"/>
      <c r="H145" s="240"/>
      <c r="I145" s="240"/>
      <c r="J145" s="240"/>
      <c r="K145" s="240"/>
      <c r="L145" s="240"/>
      <c r="M145" s="240"/>
      <c r="N145" s="240"/>
      <c r="O145" s="240"/>
      <c r="P145" s="240"/>
      <c r="Q145" s="240"/>
      <c r="R145" s="240"/>
      <c r="S145" s="240"/>
      <c r="T145" s="240"/>
      <c r="U145" s="240"/>
      <c r="V145" s="240"/>
      <c r="W145" s="240"/>
      <c r="X145" s="240"/>
      <c r="Y145" s="240"/>
      <c r="Z145" s="240"/>
      <c r="AA145" s="240"/>
      <c r="AB145" s="240"/>
      <c r="AC145" s="240"/>
      <c r="AD145" s="240"/>
      <c r="AE145" s="240"/>
    </row>
    <row r="146" spans="2:33" x14ac:dyDescent="0.2">
      <c r="C146" s="240"/>
      <c r="D146" s="240"/>
      <c r="E146" s="240"/>
      <c r="F146" s="240"/>
      <c r="G146" s="240"/>
      <c r="H146" s="240"/>
      <c r="I146" s="240"/>
      <c r="J146" s="240"/>
      <c r="K146" s="240"/>
      <c r="L146" s="240"/>
      <c r="M146" s="240"/>
      <c r="N146" s="240"/>
      <c r="O146" s="240"/>
      <c r="P146" s="240"/>
      <c r="Q146" s="240"/>
      <c r="R146" s="240"/>
      <c r="S146" s="240"/>
      <c r="T146" s="240"/>
      <c r="U146" s="240"/>
      <c r="V146" s="240"/>
      <c r="W146" s="240"/>
      <c r="X146" s="240"/>
      <c r="Y146" s="240"/>
      <c r="Z146" s="240"/>
      <c r="AA146" s="240"/>
      <c r="AB146" s="240"/>
      <c r="AC146" s="240"/>
      <c r="AD146" s="240"/>
      <c r="AE146" s="240"/>
    </row>
    <row r="147" spans="2:33" x14ac:dyDescent="0.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row>
    <row r="148" spans="2:33" x14ac:dyDescent="0.2">
      <c r="C148" s="2" t="s">
        <v>204</v>
      </c>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row>
    <row r="149" spans="2:33" x14ac:dyDescent="0.2">
      <c r="C149" s="2"/>
      <c r="D149" s="2"/>
      <c r="E149" s="2"/>
      <c r="F149" s="2"/>
      <c r="G149" s="2"/>
      <c r="H149" s="2"/>
      <c r="I149" s="2"/>
      <c r="J149" s="2"/>
      <c r="K149" s="2"/>
      <c r="L149" s="2"/>
      <c r="M149" s="2"/>
      <c r="N149" s="2"/>
      <c r="O149" s="2"/>
      <c r="P149" s="2"/>
      <c r="Q149" s="2"/>
      <c r="R149" s="2"/>
      <c r="S149" s="2"/>
      <c r="T149" s="18" t="s">
        <v>24</v>
      </c>
      <c r="U149" s="2"/>
      <c r="V149" s="2"/>
      <c r="W149" s="2"/>
      <c r="X149" s="2"/>
      <c r="Y149" s="2"/>
      <c r="Z149" s="18" t="s">
        <v>25</v>
      </c>
      <c r="AA149" s="2"/>
      <c r="AB149" s="2"/>
      <c r="AC149" s="2"/>
      <c r="AD149" s="2"/>
      <c r="AE149" s="2"/>
    </row>
    <row r="150" spans="2:33" x14ac:dyDescent="0.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row>
    <row r="151" spans="2:33" x14ac:dyDescent="0.2">
      <c r="C151" s="2" t="s">
        <v>205</v>
      </c>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row>
    <row r="152" spans="2:33" x14ac:dyDescent="0.2">
      <c r="C152" s="2"/>
      <c r="D152" s="2"/>
      <c r="E152" s="2"/>
      <c r="F152" s="2"/>
      <c r="G152" s="2"/>
      <c r="H152" s="2"/>
      <c r="I152" s="2"/>
      <c r="J152" s="2"/>
      <c r="K152" s="2"/>
      <c r="L152" s="2"/>
      <c r="M152" s="2"/>
      <c r="N152" s="2"/>
      <c r="O152" s="2"/>
      <c r="P152" s="2"/>
      <c r="Q152" s="2"/>
      <c r="R152" s="2"/>
      <c r="S152" s="2"/>
      <c r="T152" s="18" t="s">
        <v>24</v>
      </c>
      <c r="U152" s="2"/>
      <c r="V152" s="2"/>
      <c r="W152" s="2"/>
      <c r="X152" s="2"/>
      <c r="Y152" s="2"/>
      <c r="Z152" s="18" t="s">
        <v>25</v>
      </c>
      <c r="AA152" s="2"/>
      <c r="AB152" s="2"/>
      <c r="AC152" s="2"/>
      <c r="AD152" s="2"/>
      <c r="AE152" s="2"/>
    </row>
    <row r="153" spans="2:33" x14ac:dyDescent="0.2">
      <c r="C153" s="2"/>
      <c r="D153" s="2"/>
      <c r="E153" s="2"/>
      <c r="F153" s="2"/>
      <c r="G153" s="2"/>
      <c r="H153" s="2"/>
      <c r="I153" s="2"/>
      <c r="J153" s="2"/>
      <c r="K153" s="2"/>
      <c r="L153" s="2"/>
      <c r="M153" s="2"/>
      <c r="N153" s="2"/>
      <c r="O153" s="2"/>
      <c r="P153" s="2"/>
      <c r="Q153" s="2"/>
      <c r="R153" s="2"/>
      <c r="S153" s="2"/>
      <c r="T153" s="18"/>
      <c r="U153" s="2"/>
      <c r="V153" s="2"/>
      <c r="W153" s="2"/>
      <c r="X153" s="2"/>
      <c r="Y153" s="2"/>
      <c r="Z153" s="18"/>
      <c r="AA153" s="2"/>
      <c r="AB153" s="2"/>
      <c r="AC153" s="2"/>
      <c r="AD153" s="2"/>
      <c r="AE153" s="2"/>
    </row>
    <row r="154" spans="2:33" x14ac:dyDescent="0.2">
      <c r="B154" s="2"/>
      <c r="C154" s="2" t="s">
        <v>206</v>
      </c>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row>
    <row r="155" spans="2:33" x14ac:dyDescent="0.2">
      <c r="B155" s="2"/>
      <c r="C155" s="2"/>
      <c r="D155" s="2"/>
      <c r="E155" s="2"/>
      <c r="F155" s="2"/>
      <c r="G155" s="2"/>
      <c r="H155" s="2"/>
      <c r="I155" s="2"/>
      <c r="J155" s="2"/>
      <c r="K155" s="2"/>
      <c r="L155" s="2"/>
      <c r="M155" s="2"/>
      <c r="N155" s="2"/>
      <c r="O155" s="2"/>
      <c r="P155" s="2"/>
      <c r="Q155" s="2"/>
      <c r="R155" s="2"/>
      <c r="S155" s="2"/>
      <c r="T155" s="18" t="s">
        <v>24</v>
      </c>
      <c r="U155" s="2"/>
      <c r="V155" s="2"/>
      <c r="W155" s="2"/>
      <c r="X155" s="2"/>
      <c r="Y155" s="2"/>
      <c r="Z155" s="18" t="s">
        <v>25</v>
      </c>
      <c r="AA155" s="2"/>
      <c r="AB155" s="2"/>
      <c r="AC155" s="2"/>
      <c r="AD155" s="2"/>
      <c r="AE155" s="2"/>
      <c r="AF155" s="2"/>
      <c r="AG155" s="2"/>
    </row>
    <row r="156" spans="2:33" x14ac:dyDescent="0.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row>
    <row r="157" spans="2:33" x14ac:dyDescent="0.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row>
    <row r="158" spans="2:33" x14ac:dyDescent="0.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row>
    <row r="159" spans="2:33" x14ac:dyDescent="0.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row>
    <row r="160" spans="2:33" x14ac:dyDescent="0.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row>
    <row r="161" spans="2:33" x14ac:dyDescent="0.2">
      <c r="B161" s="2"/>
      <c r="C161" s="20" t="s">
        <v>276</v>
      </c>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row>
    <row r="162" spans="2:33" x14ac:dyDescent="0.2">
      <c r="B162" s="2"/>
      <c r="C162" s="232" t="s">
        <v>1055</v>
      </c>
      <c r="D162" s="232"/>
      <c r="E162" s="232"/>
      <c r="F162" s="232"/>
      <c r="G162" s="232"/>
      <c r="H162" s="232"/>
      <c r="I162" s="232"/>
      <c r="J162" s="232"/>
      <c r="K162" s="232"/>
      <c r="L162" s="232"/>
      <c r="M162" s="232"/>
      <c r="N162" s="232"/>
      <c r="O162" s="232"/>
      <c r="P162" s="232"/>
      <c r="Q162" s="232"/>
      <c r="R162" s="232"/>
      <c r="S162" s="232"/>
      <c r="T162" s="232"/>
      <c r="U162" s="232"/>
      <c r="V162" s="232"/>
      <c r="W162" s="232"/>
      <c r="X162" s="232"/>
      <c r="Y162" s="232"/>
      <c r="Z162" s="232"/>
      <c r="AA162" s="232"/>
      <c r="AB162" s="232"/>
      <c r="AC162" s="232"/>
      <c r="AD162" s="232"/>
      <c r="AE162" s="232"/>
      <c r="AF162" s="232"/>
      <c r="AG162" s="232"/>
    </row>
    <row r="163" spans="2:33" x14ac:dyDescent="0.2">
      <c r="B163" s="2"/>
      <c r="C163" s="232"/>
      <c r="D163" s="232"/>
      <c r="E163" s="232"/>
      <c r="F163" s="232"/>
      <c r="G163" s="232"/>
      <c r="H163" s="232"/>
      <c r="I163" s="232"/>
      <c r="J163" s="232"/>
      <c r="K163" s="232"/>
      <c r="L163" s="232"/>
      <c r="M163" s="232"/>
      <c r="N163" s="232"/>
      <c r="O163" s="232"/>
      <c r="P163" s="232"/>
      <c r="Q163" s="232"/>
      <c r="R163" s="232"/>
      <c r="S163" s="232"/>
      <c r="T163" s="232"/>
      <c r="U163" s="232"/>
      <c r="V163" s="232"/>
      <c r="W163" s="232"/>
      <c r="X163" s="232"/>
      <c r="Y163" s="232"/>
      <c r="Z163" s="232"/>
      <c r="AA163" s="232"/>
      <c r="AB163" s="232"/>
      <c r="AC163" s="232"/>
      <c r="AD163" s="232"/>
      <c r="AE163" s="232"/>
      <c r="AF163" s="232"/>
      <c r="AG163" s="232"/>
    </row>
    <row r="164" spans="2:33" x14ac:dyDescent="0.2">
      <c r="B164" s="2"/>
      <c r="C164" s="232"/>
      <c r="D164" s="232"/>
      <c r="E164" s="232"/>
      <c r="F164" s="232"/>
      <c r="G164" s="232"/>
      <c r="H164" s="232"/>
      <c r="I164" s="232"/>
      <c r="J164" s="232"/>
      <c r="K164" s="232"/>
      <c r="L164" s="232"/>
      <c r="M164" s="232"/>
      <c r="N164" s="232"/>
      <c r="O164" s="232"/>
      <c r="P164" s="232"/>
      <c r="Q164" s="232"/>
      <c r="R164" s="232"/>
      <c r="S164" s="232"/>
      <c r="T164" s="232"/>
      <c r="U164" s="232"/>
      <c r="V164" s="232"/>
      <c r="W164" s="232"/>
      <c r="X164" s="232"/>
      <c r="Y164" s="232"/>
      <c r="Z164" s="232"/>
      <c r="AA164" s="232"/>
      <c r="AB164" s="232"/>
      <c r="AC164" s="232"/>
      <c r="AD164" s="232"/>
      <c r="AE164" s="232"/>
      <c r="AF164" s="232"/>
      <c r="AG164" s="232"/>
    </row>
    <row r="165" spans="2:33" ht="13.5" customHeight="1" x14ac:dyDescent="0.2">
      <c r="B165" s="2"/>
      <c r="C165" s="232"/>
      <c r="D165" s="232"/>
      <c r="E165" s="232"/>
      <c r="F165" s="232"/>
      <c r="G165" s="232"/>
      <c r="H165" s="232"/>
      <c r="I165" s="232"/>
      <c r="J165" s="232"/>
      <c r="K165" s="232"/>
      <c r="L165" s="232"/>
      <c r="M165" s="232"/>
      <c r="N165" s="232"/>
      <c r="O165" s="232"/>
      <c r="P165" s="232"/>
      <c r="Q165" s="232"/>
      <c r="R165" s="232"/>
      <c r="S165" s="232"/>
      <c r="T165" s="232"/>
      <c r="U165" s="232"/>
      <c r="V165" s="232"/>
      <c r="W165" s="232"/>
      <c r="X165" s="232"/>
      <c r="Y165" s="232"/>
      <c r="Z165" s="232"/>
      <c r="AA165" s="232"/>
      <c r="AB165" s="232"/>
      <c r="AC165" s="232"/>
      <c r="AD165" s="232"/>
      <c r="AE165" s="232"/>
      <c r="AF165" s="232"/>
      <c r="AG165" s="232"/>
    </row>
    <row r="166" spans="2:33" x14ac:dyDescent="0.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row>
    <row r="167" spans="2:33" x14ac:dyDescent="0.2">
      <c r="B167" s="2"/>
      <c r="C167" s="2" t="s">
        <v>1040</v>
      </c>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row>
    <row r="168" spans="2:33" x14ac:dyDescent="0.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row>
    <row r="169" spans="2:33" x14ac:dyDescent="0.2">
      <c r="B169" s="2"/>
      <c r="C169" s="232" t="s">
        <v>277</v>
      </c>
      <c r="D169" s="232"/>
      <c r="E169" s="232"/>
      <c r="F169" s="232"/>
      <c r="G169" s="232"/>
      <c r="H169" s="232"/>
      <c r="I169" s="232"/>
      <c r="J169" s="232"/>
      <c r="K169" s="232"/>
      <c r="L169" s="232"/>
      <c r="M169" s="232"/>
      <c r="N169" s="232"/>
      <c r="O169" s="232"/>
      <c r="P169" s="232"/>
      <c r="Q169" s="232"/>
      <c r="R169" s="232"/>
      <c r="S169" s="232"/>
      <c r="T169" s="232"/>
      <c r="U169" s="232"/>
      <c r="V169" s="232"/>
      <c r="W169" s="232"/>
      <c r="X169" s="232"/>
      <c r="Y169" s="232"/>
      <c r="Z169" s="232"/>
      <c r="AA169" s="232"/>
      <c r="AB169" s="232"/>
      <c r="AC169" s="232"/>
      <c r="AD169" s="232"/>
      <c r="AE169" s="232"/>
      <c r="AF169" s="232"/>
      <c r="AG169" s="232"/>
    </row>
    <row r="170" spans="2:33" x14ac:dyDescent="0.2">
      <c r="B170" s="2"/>
      <c r="C170" s="232"/>
      <c r="D170" s="232"/>
      <c r="E170" s="232"/>
      <c r="F170" s="232"/>
      <c r="G170" s="232"/>
      <c r="H170" s="232"/>
      <c r="I170" s="232"/>
      <c r="J170" s="232"/>
      <c r="K170" s="232"/>
      <c r="L170" s="232"/>
      <c r="M170" s="232"/>
      <c r="N170" s="232"/>
      <c r="O170" s="232"/>
      <c r="P170" s="232"/>
      <c r="Q170" s="232"/>
      <c r="R170" s="232"/>
      <c r="S170" s="232"/>
      <c r="T170" s="232"/>
      <c r="U170" s="232"/>
      <c r="V170" s="232"/>
      <c r="W170" s="232"/>
      <c r="X170" s="232"/>
      <c r="Y170" s="232"/>
      <c r="Z170" s="232"/>
      <c r="AA170" s="232"/>
      <c r="AB170" s="232"/>
      <c r="AC170" s="232"/>
      <c r="AD170" s="232"/>
      <c r="AE170" s="232"/>
      <c r="AF170" s="232"/>
      <c r="AG170" s="232"/>
    </row>
    <row r="171" spans="2:33" x14ac:dyDescent="0.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row>
    <row r="172" spans="2:33" x14ac:dyDescent="0.2">
      <c r="B172" s="2"/>
      <c r="C172" s="2" t="s">
        <v>278</v>
      </c>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row>
    <row r="173" spans="2:33" x14ac:dyDescent="0.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row>
    <row r="174" spans="2:33" x14ac:dyDescent="0.2">
      <c r="B174" s="2"/>
      <c r="C174" s="2" t="s">
        <v>1644</v>
      </c>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row>
    <row r="175" spans="2:33" x14ac:dyDescent="0.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row>
    <row r="176" spans="2:33" x14ac:dyDescent="0.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row>
    <row r="177" spans="2:33" x14ac:dyDescent="0.2">
      <c r="B177" s="2"/>
      <c r="C177" s="2" t="s">
        <v>971</v>
      </c>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row>
    <row r="178" spans="2:33" x14ac:dyDescent="0.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row>
    <row r="179" spans="2:33" x14ac:dyDescent="0.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row>
    <row r="180" spans="2:33" x14ac:dyDescent="0.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row>
    <row r="181" spans="2:33" x14ac:dyDescent="0.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row>
    <row r="182" spans="2:33" x14ac:dyDescent="0.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row>
    <row r="183" spans="2:33" x14ac:dyDescent="0.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row>
    <row r="184" spans="2:33" x14ac:dyDescent="0.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row>
    <row r="185" spans="2:33" x14ac:dyDescent="0.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row>
    <row r="186" spans="2:33" x14ac:dyDescent="0.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row>
    <row r="187" spans="2:33" x14ac:dyDescent="0.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row>
    <row r="188" spans="2:33" x14ac:dyDescent="0.2">
      <c r="B188" s="2"/>
      <c r="C188" s="2" t="s">
        <v>1041</v>
      </c>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row>
    <row r="189" spans="2:33" x14ac:dyDescent="0.2">
      <c r="B189" s="2"/>
      <c r="C189" s="2" t="s">
        <v>1042</v>
      </c>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row>
    <row r="190" spans="2:33" x14ac:dyDescent="0.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row>
    <row r="191" spans="2:33" x14ac:dyDescent="0.2">
      <c r="B191" s="2"/>
      <c r="C191" s="2"/>
      <c r="D191" s="81" t="s">
        <v>918</v>
      </c>
      <c r="E191" s="232" t="s">
        <v>1043</v>
      </c>
      <c r="F191" s="232"/>
      <c r="G191" s="232"/>
      <c r="H191" s="232"/>
      <c r="I191" s="232"/>
      <c r="J191" s="232"/>
      <c r="K191" s="232"/>
      <c r="L191" s="232"/>
      <c r="M191" s="232"/>
      <c r="N191" s="232"/>
      <c r="O191" s="232"/>
      <c r="P191" s="232"/>
      <c r="Q191" s="232"/>
      <c r="R191" s="232"/>
      <c r="S191" s="232"/>
      <c r="T191" s="232"/>
      <c r="U191" s="232"/>
      <c r="V191" s="232"/>
      <c r="W191" s="232"/>
      <c r="X191" s="232"/>
      <c r="Y191" s="232"/>
      <c r="Z191" s="232"/>
      <c r="AA191" s="232"/>
      <c r="AB191" s="232"/>
      <c r="AC191" s="232"/>
      <c r="AD191" s="232"/>
      <c r="AE191" s="232"/>
      <c r="AF191" s="232"/>
      <c r="AG191" s="232"/>
    </row>
    <row r="192" spans="2:33" x14ac:dyDescent="0.2">
      <c r="B192" s="2"/>
      <c r="C192" s="2"/>
      <c r="D192" s="21"/>
      <c r="E192" s="232"/>
      <c r="F192" s="232"/>
      <c r="G192" s="232"/>
      <c r="H192" s="232"/>
      <c r="I192" s="232"/>
      <c r="J192" s="232"/>
      <c r="K192" s="232"/>
      <c r="L192" s="232"/>
      <c r="M192" s="232"/>
      <c r="N192" s="232"/>
      <c r="O192" s="232"/>
      <c r="P192" s="232"/>
      <c r="Q192" s="232"/>
      <c r="R192" s="232"/>
      <c r="S192" s="232"/>
      <c r="T192" s="232"/>
      <c r="U192" s="232"/>
      <c r="V192" s="232"/>
      <c r="W192" s="232"/>
      <c r="X192" s="232"/>
      <c r="Y192" s="232"/>
      <c r="Z192" s="232"/>
      <c r="AA192" s="232"/>
      <c r="AB192" s="232"/>
      <c r="AC192" s="232"/>
      <c r="AD192" s="232"/>
      <c r="AE192" s="232"/>
      <c r="AF192" s="232"/>
      <c r="AG192" s="232"/>
    </row>
    <row r="193" spans="2:33" x14ac:dyDescent="0.2">
      <c r="B193" s="2"/>
      <c r="C193" s="2"/>
      <c r="D193" s="21"/>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row>
    <row r="194" spans="2:33" ht="14.25" customHeight="1" x14ac:dyDescent="0.2">
      <c r="B194" s="2"/>
      <c r="C194" s="2"/>
      <c r="D194" s="81" t="s">
        <v>919</v>
      </c>
      <c r="E194" s="232" t="s">
        <v>1044</v>
      </c>
      <c r="F194" s="232"/>
      <c r="G194" s="232"/>
      <c r="H194" s="232"/>
      <c r="I194" s="232"/>
      <c r="J194" s="232"/>
      <c r="K194" s="232"/>
      <c r="L194" s="232"/>
      <c r="M194" s="232"/>
      <c r="N194" s="232"/>
      <c r="O194" s="232"/>
      <c r="P194" s="232"/>
      <c r="Q194" s="232"/>
      <c r="R194" s="232"/>
      <c r="S194" s="232"/>
      <c r="T194" s="232"/>
      <c r="U194" s="232"/>
      <c r="V194" s="232"/>
      <c r="W194" s="232"/>
      <c r="X194" s="232"/>
      <c r="Y194" s="232"/>
      <c r="Z194" s="232"/>
      <c r="AA194" s="232"/>
      <c r="AB194" s="232"/>
      <c r="AC194" s="232"/>
      <c r="AD194" s="232"/>
      <c r="AE194" s="232"/>
      <c r="AF194" s="232"/>
      <c r="AG194" s="232"/>
    </row>
    <row r="195" spans="2:33" x14ac:dyDescent="0.2">
      <c r="B195" s="2"/>
      <c r="C195" s="2"/>
      <c r="D195" s="2"/>
      <c r="E195" s="232"/>
      <c r="F195" s="232"/>
      <c r="G195" s="232"/>
      <c r="H195" s="232"/>
      <c r="I195" s="232"/>
      <c r="J195" s="232"/>
      <c r="K195" s="232"/>
      <c r="L195" s="232"/>
      <c r="M195" s="232"/>
      <c r="N195" s="232"/>
      <c r="O195" s="232"/>
      <c r="P195" s="232"/>
      <c r="Q195" s="232"/>
      <c r="R195" s="232"/>
      <c r="S195" s="232"/>
      <c r="T195" s="232"/>
      <c r="U195" s="232"/>
      <c r="V195" s="232"/>
      <c r="W195" s="232"/>
      <c r="X195" s="232"/>
      <c r="Y195" s="232"/>
      <c r="Z195" s="232"/>
      <c r="AA195" s="232"/>
      <c r="AB195" s="232"/>
      <c r="AC195" s="232"/>
      <c r="AD195" s="232"/>
      <c r="AE195" s="232"/>
      <c r="AF195" s="232"/>
      <c r="AG195" s="232"/>
    </row>
    <row r="196" spans="2:33" x14ac:dyDescent="0.2">
      <c r="B196" s="2"/>
      <c r="C196" s="2"/>
      <c r="D196" s="2"/>
      <c r="E196" s="14"/>
      <c r="F196" s="14"/>
      <c r="G196" s="14"/>
      <c r="H196" s="14"/>
      <c r="I196" s="14"/>
      <c r="J196" s="14"/>
      <c r="K196" s="14"/>
      <c r="L196" s="14"/>
      <c r="M196" s="14"/>
      <c r="N196" s="14"/>
      <c r="O196" s="14"/>
      <c r="P196" s="14"/>
      <c r="Q196" s="14"/>
      <c r="R196" s="14"/>
      <c r="S196" s="14"/>
      <c r="T196" s="14"/>
      <c r="U196" s="14"/>
      <c r="V196" s="14"/>
      <c r="W196" s="14"/>
      <c r="X196" s="14"/>
      <c r="Y196" s="14"/>
      <c r="Z196" s="14"/>
      <c r="AA196" s="14"/>
      <c r="AB196" s="14"/>
      <c r="AC196" s="14"/>
      <c r="AD196" s="14"/>
      <c r="AE196" s="14"/>
      <c r="AF196" s="14"/>
      <c r="AG196" s="14"/>
    </row>
    <row r="197" spans="2:33" x14ac:dyDescent="0.2">
      <c r="B197" s="2"/>
      <c r="C197" s="2"/>
      <c r="D197" s="81" t="s">
        <v>920</v>
      </c>
      <c r="E197" s="232" t="s">
        <v>1056</v>
      </c>
      <c r="F197" s="232"/>
      <c r="G197" s="232"/>
      <c r="H197" s="232"/>
      <c r="I197" s="232"/>
      <c r="J197" s="232"/>
      <c r="K197" s="232"/>
      <c r="L197" s="232"/>
      <c r="M197" s="232"/>
      <c r="N197" s="232"/>
      <c r="O197" s="232"/>
      <c r="P197" s="232"/>
      <c r="Q197" s="232"/>
      <c r="R197" s="232"/>
      <c r="S197" s="232"/>
      <c r="T197" s="232"/>
      <c r="U197" s="232"/>
      <c r="V197" s="232"/>
      <c r="W197" s="232"/>
      <c r="X197" s="232"/>
      <c r="Y197" s="232"/>
      <c r="Z197" s="232"/>
      <c r="AA197" s="232"/>
      <c r="AB197" s="232"/>
      <c r="AC197" s="232"/>
      <c r="AD197" s="232"/>
      <c r="AE197" s="232"/>
      <c r="AF197" s="232"/>
      <c r="AG197" s="232"/>
    </row>
    <row r="198" spans="2:33" x14ac:dyDescent="0.2">
      <c r="B198" s="2"/>
      <c r="C198" s="2"/>
      <c r="D198" s="2"/>
      <c r="E198" s="232"/>
      <c r="F198" s="232"/>
      <c r="G198" s="232"/>
      <c r="H198" s="232"/>
      <c r="I198" s="232"/>
      <c r="J198" s="232"/>
      <c r="K198" s="232"/>
      <c r="L198" s="232"/>
      <c r="M198" s="232"/>
      <c r="N198" s="232"/>
      <c r="O198" s="232"/>
      <c r="P198" s="232"/>
      <c r="Q198" s="232"/>
      <c r="R198" s="232"/>
      <c r="S198" s="232"/>
      <c r="T198" s="232"/>
      <c r="U198" s="232"/>
      <c r="V198" s="232"/>
      <c r="W198" s="232"/>
      <c r="X198" s="232"/>
      <c r="Y198" s="232"/>
      <c r="Z198" s="232"/>
      <c r="AA198" s="232"/>
      <c r="AB198" s="232"/>
      <c r="AC198" s="232"/>
      <c r="AD198" s="232"/>
      <c r="AE198" s="232"/>
      <c r="AF198" s="232"/>
      <c r="AG198" s="232"/>
    </row>
    <row r="199" spans="2:33" x14ac:dyDescent="0.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row>
    <row r="200" spans="2:33" x14ac:dyDescent="0.2">
      <c r="B200" s="2"/>
      <c r="C200" s="16" t="s">
        <v>969</v>
      </c>
      <c r="D200" s="2"/>
      <c r="E200" s="2"/>
      <c r="F200" s="2"/>
      <c r="G200" s="2"/>
      <c r="H200" s="2"/>
      <c r="I200" s="2"/>
      <c r="J200" s="2"/>
      <c r="K200" s="2"/>
      <c r="L200" s="2"/>
      <c r="M200" s="2"/>
      <c r="N200" s="2"/>
      <c r="O200" s="2"/>
      <c r="P200" s="2"/>
      <c r="Q200" s="2"/>
      <c r="R200" s="2"/>
      <c r="S200" s="16" t="s">
        <v>970</v>
      </c>
      <c r="T200" s="2"/>
      <c r="U200" s="2"/>
      <c r="V200" s="2"/>
      <c r="W200" s="2"/>
      <c r="X200" s="2"/>
      <c r="Y200" s="2"/>
      <c r="Z200" s="2"/>
      <c r="AA200" s="2"/>
      <c r="AB200" s="2"/>
      <c r="AC200" s="2"/>
      <c r="AD200" s="2"/>
      <c r="AE200" s="2"/>
      <c r="AF200" s="2"/>
      <c r="AG200" s="2"/>
    </row>
    <row r="201" spans="2:33" x14ac:dyDescent="0.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row>
    <row r="202" spans="2:33" x14ac:dyDescent="0.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row>
    <row r="203" spans="2:33" x14ac:dyDescent="0.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row>
    <row r="204" spans="2:33" x14ac:dyDescent="0.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row>
    <row r="205" spans="2:33" x14ac:dyDescent="0.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row>
    <row r="206" spans="2:33" x14ac:dyDescent="0.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row>
    <row r="207" spans="2:33" x14ac:dyDescent="0.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row>
    <row r="208" spans="2:33" x14ac:dyDescent="0.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row>
    <row r="209" spans="2:33" x14ac:dyDescent="0.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row>
    <row r="210" spans="2:33" x14ac:dyDescent="0.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row>
    <row r="211" spans="2:33" x14ac:dyDescent="0.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row>
    <row r="212" spans="2:33" x14ac:dyDescent="0.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row>
    <row r="213" spans="2:33" x14ac:dyDescent="0.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row>
    <row r="214" spans="2:33" x14ac:dyDescent="0.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row>
    <row r="215" spans="2:33" ht="18.75" customHeight="1" x14ac:dyDescent="0.2">
      <c r="B215" s="2"/>
      <c r="C215" s="82" t="s">
        <v>972</v>
      </c>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row>
    <row r="216" spans="2:33" ht="18" customHeight="1" x14ac:dyDescent="0.2">
      <c r="B216" s="2"/>
      <c r="C216" s="271" t="s">
        <v>973</v>
      </c>
      <c r="D216" s="271"/>
      <c r="E216" s="271"/>
      <c r="F216" s="271"/>
      <c r="G216" s="271"/>
      <c r="H216" s="271"/>
      <c r="I216" s="271" t="s">
        <v>974</v>
      </c>
      <c r="J216" s="271"/>
      <c r="K216" s="271"/>
      <c r="L216" s="271"/>
      <c r="M216" s="271"/>
      <c r="N216" s="271" t="s">
        <v>975</v>
      </c>
      <c r="O216" s="271"/>
      <c r="P216" s="271"/>
      <c r="Q216" s="271"/>
      <c r="R216" s="271"/>
      <c r="S216" s="271" t="s">
        <v>976</v>
      </c>
      <c r="T216" s="271"/>
      <c r="U216" s="271"/>
      <c r="V216" s="271"/>
      <c r="W216" s="271"/>
      <c r="X216" s="271"/>
      <c r="Y216" s="271"/>
      <c r="Z216" s="271"/>
      <c r="AA216" s="271"/>
      <c r="AB216" s="271"/>
      <c r="AC216" s="271"/>
      <c r="AD216" s="271"/>
      <c r="AE216" s="271"/>
      <c r="AF216" s="271"/>
      <c r="AG216" s="7"/>
    </row>
    <row r="217" spans="2:33" ht="18" customHeight="1" x14ac:dyDescent="0.2">
      <c r="B217" s="2"/>
      <c r="C217" s="272" t="s">
        <v>977</v>
      </c>
      <c r="D217" s="272"/>
      <c r="E217" s="272"/>
      <c r="F217" s="272"/>
      <c r="G217" s="272"/>
      <c r="H217" s="272"/>
      <c r="I217" s="272">
        <v>4</v>
      </c>
      <c r="J217" s="272"/>
      <c r="K217" s="272"/>
      <c r="L217" s="272"/>
      <c r="M217" s="272"/>
      <c r="N217" s="272">
        <v>4</v>
      </c>
      <c r="O217" s="272"/>
      <c r="P217" s="272"/>
      <c r="Q217" s="272"/>
      <c r="R217" s="272"/>
      <c r="S217" s="270" t="s">
        <v>978</v>
      </c>
      <c r="T217" s="270"/>
      <c r="U217" s="270"/>
      <c r="V217" s="270"/>
      <c r="W217" s="270"/>
      <c r="X217" s="270"/>
      <c r="Y217" s="270"/>
      <c r="Z217" s="270"/>
      <c r="AA217" s="270"/>
      <c r="AB217" s="270"/>
      <c r="AC217" s="270"/>
      <c r="AD217" s="270"/>
      <c r="AE217" s="270"/>
      <c r="AF217" s="270"/>
      <c r="AG217" s="74"/>
    </row>
    <row r="218" spans="2:33" ht="18" customHeight="1" x14ac:dyDescent="0.2">
      <c r="B218" s="2"/>
      <c r="C218" s="272" t="s">
        <v>979</v>
      </c>
      <c r="D218" s="272"/>
      <c r="E218" s="272"/>
      <c r="F218" s="272"/>
      <c r="G218" s="272"/>
      <c r="H218" s="272"/>
      <c r="I218" s="272" t="s">
        <v>1381</v>
      </c>
      <c r="J218" s="272"/>
      <c r="K218" s="272"/>
      <c r="L218" s="272"/>
      <c r="M218" s="272"/>
      <c r="N218" s="272" t="s">
        <v>1381</v>
      </c>
      <c r="O218" s="272"/>
      <c r="P218" s="272"/>
      <c r="Q218" s="272"/>
      <c r="R218" s="272"/>
      <c r="S218" s="270" t="s">
        <v>978</v>
      </c>
      <c r="T218" s="270"/>
      <c r="U218" s="270"/>
      <c r="V218" s="270"/>
      <c r="W218" s="270"/>
      <c r="X218" s="270"/>
      <c r="Y218" s="270"/>
      <c r="Z218" s="270"/>
      <c r="AA218" s="270"/>
      <c r="AB218" s="270"/>
      <c r="AC218" s="270"/>
      <c r="AD218" s="270"/>
      <c r="AE218" s="270"/>
      <c r="AF218" s="270"/>
      <c r="AG218" s="74"/>
    </row>
    <row r="219" spans="2:33" ht="18" customHeight="1" x14ac:dyDescent="0.2">
      <c r="B219" s="2"/>
      <c r="C219" s="272" t="s">
        <v>980</v>
      </c>
      <c r="D219" s="272"/>
      <c r="E219" s="272"/>
      <c r="F219" s="272"/>
      <c r="G219" s="272"/>
      <c r="H219" s="272"/>
      <c r="I219" s="272" t="s">
        <v>1045</v>
      </c>
      <c r="J219" s="272"/>
      <c r="K219" s="272"/>
      <c r="L219" s="272"/>
      <c r="M219" s="272"/>
      <c r="N219" s="272" t="s">
        <v>983</v>
      </c>
      <c r="O219" s="272"/>
      <c r="P219" s="272"/>
      <c r="Q219" s="272"/>
      <c r="R219" s="272"/>
      <c r="S219" s="270" t="s">
        <v>996</v>
      </c>
      <c r="T219" s="270"/>
      <c r="U219" s="270"/>
      <c r="V219" s="270"/>
      <c r="W219" s="270"/>
      <c r="X219" s="270"/>
      <c r="Y219" s="270"/>
      <c r="Z219" s="270"/>
      <c r="AA219" s="270"/>
      <c r="AB219" s="270"/>
      <c r="AC219" s="270"/>
      <c r="AD219" s="270"/>
      <c r="AE219" s="270"/>
      <c r="AF219" s="270"/>
      <c r="AG219" s="74"/>
    </row>
    <row r="220" spans="2:33" ht="18" customHeight="1" x14ac:dyDescent="0.2">
      <c r="B220" s="2"/>
      <c r="C220" s="272" t="s">
        <v>439</v>
      </c>
      <c r="D220" s="272"/>
      <c r="E220" s="272"/>
      <c r="F220" s="272"/>
      <c r="G220" s="272"/>
      <c r="H220" s="272"/>
      <c r="I220" s="272" t="s">
        <v>1047</v>
      </c>
      <c r="J220" s="272"/>
      <c r="K220" s="272"/>
      <c r="L220" s="272"/>
      <c r="M220" s="272"/>
      <c r="N220" s="272" t="s">
        <v>1382</v>
      </c>
      <c r="O220" s="272"/>
      <c r="P220" s="272"/>
      <c r="Q220" s="272"/>
      <c r="R220" s="272"/>
      <c r="S220" s="270" t="s">
        <v>1054</v>
      </c>
      <c r="T220" s="270"/>
      <c r="U220" s="270"/>
      <c r="V220" s="270"/>
      <c r="W220" s="270"/>
      <c r="X220" s="270"/>
      <c r="Y220" s="270"/>
      <c r="Z220" s="270"/>
      <c r="AA220" s="270"/>
      <c r="AB220" s="270"/>
      <c r="AC220" s="270"/>
      <c r="AD220" s="270"/>
      <c r="AE220" s="270"/>
      <c r="AF220" s="270"/>
      <c r="AG220" s="74"/>
    </row>
    <row r="221" spans="2:33" ht="18" customHeight="1" x14ac:dyDescent="0.2">
      <c r="B221" s="2"/>
      <c r="C221" s="272" t="s">
        <v>981</v>
      </c>
      <c r="D221" s="272"/>
      <c r="E221" s="272"/>
      <c r="F221" s="272"/>
      <c r="G221" s="272"/>
      <c r="H221" s="272"/>
      <c r="I221" s="272" t="s">
        <v>1046</v>
      </c>
      <c r="J221" s="272"/>
      <c r="K221" s="272"/>
      <c r="L221" s="272"/>
      <c r="M221" s="272"/>
      <c r="N221" s="272" t="s">
        <v>982</v>
      </c>
      <c r="O221" s="272"/>
      <c r="P221" s="272"/>
      <c r="Q221" s="272"/>
      <c r="R221" s="272"/>
      <c r="S221" s="270" t="s">
        <v>990</v>
      </c>
      <c r="T221" s="270"/>
      <c r="U221" s="270"/>
      <c r="V221" s="270"/>
      <c r="W221" s="270"/>
      <c r="X221" s="270"/>
      <c r="Y221" s="270"/>
      <c r="Z221" s="270"/>
      <c r="AA221" s="270"/>
      <c r="AB221" s="270"/>
      <c r="AC221" s="270"/>
      <c r="AD221" s="270"/>
      <c r="AE221" s="270"/>
      <c r="AF221" s="270"/>
      <c r="AG221" s="74"/>
    </row>
    <row r="222" spans="2:33" x14ac:dyDescent="0.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row>
    <row r="223" spans="2:33" x14ac:dyDescent="0.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row>
    <row r="224" spans="2:33" ht="18.75" customHeight="1" x14ac:dyDescent="0.2">
      <c r="B224" s="2"/>
      <c r="C224" s="82" t="s">
        <v>997</v>
      </c>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row>
    <row r="225" spans="2:33" ht="18" customHeight="1" x14ac:dyDescent="0.2">
      <c r="B225" s="2"/>
      <c r="C225" s="271" t="s">
        <v>973</v>
      </c>
      <c r="D225" s="271"/>
      <c r="E225" s="271"/>
      <c r="F225" s="271"/>
      <c r="G225" s="271"/>
      <c r="H225" s="271"/>
      <c r="I225" s="271" t="s">
        <v>974</v>
      </c>
      <c r="J225" s="271"/>
      <c r="K225" s="271"/>
      <c r="L225" s="271"/>
      <c r="M225" s="271"/>
      <c r="N225" s="271" t="s">
        <v>975</v>
      </c>
      <c r="O225" s="271"/>
      <c r="P225" s="271"/>
      <c r="Q225" s="271"/>
      <c r="R225" s="271"/>
      <c r="S225" s="271" t="s">
        <v>976</v>
      </c>
      <c r="T225" s="271"/>
      <c r="U225" s="271"/>
      <c r="V225" s="271"/>
      <c r="W225" s="271"/>
      <c r="X225" s="271"/>
      <c r="Y225" s="271"/>
      <c r="Z225" s="271"/>
      <c r="AA225" s="271"/>
      <c r="AB225" s="271"/>
      <c r="AC225" s="271"/>
      <c r="AD225" s="271"/>
      <c r="AE225" s="271"/>
      <c r="AF225" s="271"/>
      <c r="AG225" s="2"/>
    </row>
    <row r="226" spans="2:33" ht="18" customHeight="1" x14ac:dyDescent="0.2">
      <c r="B226" s="2"/>
      <c r="C226" s="272" t="s">
        <v>986</v>
      </c>
      <c r="D226" s="272"/>
      <c r="E226" s="272"/>
      <c r="F226" s="272"/>
      <c r="G226" s="272"/>
      <c r="H226" s="272"/>
      <c r="I226" s="272" t="s">
        <v>1048</v>
      </c>
      <c r="J226" s="272"/>
      <c r="K226" s="272"/>
      <c r="L226" s="272"/>
      <c r="M226" s="272"/>
      <c r="N226" s="272" t="s">
        <v>1050</v>
      </c>
      <c r="O226" s="272"/>
      <c r="P226" s="272"/>
      <c r="Q226" s="272"/>
      <c r="R226" s="272"/>
      <c r="S226" s="270" t="s">
        <v>1054</v>
      </c>
      <c r="T226" s="270"/>
      <c r="U226" s="270"/>
      <c r="V226" s="270"/>
      <c r="W226" s="270"/>
      <c r="X226" s="270"/>
      <c r="Y226" s="270"/>
      <c r="Z226" s="270"/>
      <c r="AA226" s="270"/>
      <c r="AB226" s="270"/>
      <c r="AC226" s="270"/>
      <c r="AD226" s="270"/>
      <c r="AE226" s="270"/>
      <c r="AF226" s="270"/>
      <c r="AG226" s="2"/>
    </row>
    <row r="227" spans="2:33" ht="18" customHeight="1" x14ac:dyDescent="0.2">
      <c r="B227" s="2"/>
      <c r="C227" s="272" t="s">
        <v>988</v>
      </c>
      <c r="D227" s="272"/>
      <c r="E227" s="272"/>
      <c r="F227" s="272"/>
      <c r="G227" s="272"/>
      <c r="H227" s="272"/>
      <c r="I227" s="272" t="s">
        <v>1049</v>
      </c>
      <c r="J227" s="272"/>
      <c r="K227" s="272"/>
      <c r="L227" s="272"/>
      <c r="M227" s="272"/>
      <c r="N227" s="272" t="s">
        <v>1049</v>
      </c>
      <c r="O227" s="272"/>
      <c r="P227" s="272"/>
      <c r="Q227" s="272"/>
      <c r="R227" s="272"/>
      <c r="S227" s="270" t="s">
        <v>978</v>
      </c>
      <c r="T227" s="270"/>
      <c r="U227" s="270"/>
      <c r="V227" s="270"/>
      <c r="W227" s="270"/>
      <c r="X227" s="270"/>
      <c r="Y227" s="270"/>
      <c r="Z227" s="270"/>
      <c r="AA227" s="270"/>
      <c r="AB227" s="270"/>
      <c r="AC227" s="270"/>
      <c r="AD227" s="270"/>
      <c r="AE227" s="270"/>
      <c r="AF227" s="270"/>
      <c r="AG227" s="2"/>
    </row>
    <row r="228" spans="2:33" ht="18" customHeight="1" x14ac:dyDescent="0.2">
      <c r="B228" s="2"/>
      <c r="C228" s="272" t="s">
        <v>987</v>
      </c>
      <c r="D228" s="272"/>
      <c r="E228" s="272"/>
      <c r="F228" s="272"/>
      <c r="G228" s="272"/>
      <c r="H228" s="272"/>
      <c r="I228" s="272" t="s">
        <v>991</v>
      </c>
      <c r="J228" s="272"/>
      <c r="K228" s="272"/>
      <c r="L228" s="272"/>
      <c r="M228" s="272"/>
      <c r="N228" s="276" t="s">
        <v>1383</v>
      </c>
      <c r="O228" s="277"/>
      <c r="P228" s="277"/>
      <c r="Q228" s="277"/>
      <c r="R228" s="278"/>
      <c r="S228" s="279" t="s">
        <v>996</v>
      </c>
      <c r="T228" s="280"/>
      <c r="U228" s="280"/>
      <c r="V228" s="280"/>
      <c r="W228" s="280"/>
      <c r="X228" s="280"/>
      <c r="Y228" s="280"/>
      <c r="Z228" s="280"/>
      <c r="AA228" s="280"/>
      <c r="AB228" s="280"/>
      <c r="AC228" s="280"/>
      <c r="AD228" s="280"/>
      <c r="AE228" s="280"/>
      <c r="AF228" s="281"/>
      <c r="AG228" s="2"/>
    </row>
    <row r="229" spans="2:33" ht="18" customHeight="1" x14ac:dyDescent="0.2">
      <c r="B229" s="2"/>
      <c r="C229" s="270" t="s">
        <v>989</v>
      </c>
      <c r="D229" s="270"/>
      <c r="E229" s="270"/>
      <c r="F229" s="270"/>
      <c r="G229" s="270"/>
      <c r="H229" s="270"/>
      <c r="I229" s="270" t="s">
        <v>1051</v>
      </c>
      <c r="J229" s="270"/>
      <c r="K229" s="270"/>
      <c r="L229" s="270"/>
      <c r="M229" s="270"/>
      <c r="N229" s="270" t="s">
        <v>1384</v>
      </c>
      <c r="O229" s="270"/>
      <c r="P229" s="270"/>
      <c r="Q229" s="270"/>
      <c r="R229" s="270"/>
      <c r="S229" s="273" t="s">
        <v>1385</v>
      </c>
      <c r="T229" s="274"/>
      <c r="U229" s="274"/>
      <c r="V229" s="274"/>
      <c r="W229" s="274"/>
      <c r="X229" s="274"/>
      <c r="Y229" s="274"/>
      <c r="Z229" s="274"/>
      <c r="AA229" s="274"/>
      <c r="AB229" s="274"/>
      <c r="AC229" s="274"/>
      <c r="AD229" s="274"/>
      <c r="AE229" s="274"/>
      <c r="AF229" s="275"/>
      <c r="AG229" s="2"/>
    </row>
    <row r="230" spans="2:33" ht="18" customHeight="1" x14ac:dyDescent="0.2">
      <c r="B230" s="2"/>
      <c r="C230" s="272" t="s">
        <v>984</v>
      </c>
      <c r="D230" s="272"/>
      <c r="E230" s="272"/>
      <c r="F230" s="272"/>
      <c r="G230" s="272"/>
      <c r="H230" s="272"/>
      <c r="I230" s="270" t="s">
        <v>1052</v>
      </c>
      <c r="J230" s="270"/>
      <c r="K230" s="270"/>
      <c r="L230" s="270"/>
      <c r="M230" s="270"/>
      <c r="N230" s="270" t="s">
        <v>1052</v>
      </c>
      <c r="O230" s="270"/>
      <c r="P230" s="270"/>
      <c r="Q230" s="270"/>
      <c r="R230" s="270"/>
      <c r="S230" s="270" t="s">
        <v>978</v>
      </c>
      <c r="T230" s="270"/>
      <c r="U230" s="270"/>
      <c r="V230" s="270"/>
      <c r="W230" s="270"/>
      <c r="X230" s="270"/>
      <c r="Y230" s="270"/>
      <c r="Z230" s="270"/>
      <c r="AA230" s="270"/>
      <c r="AB230" s="270"/>
      <c r="AC230" s="270"/>
      <c r="AD230" s="270"/>
      <c r="AE230" s="270"/>
      <c r="AF230" s="270"/>
      <c r="AG230" s="2"/>
    </row>
    <row r="231" spans="2:33" ht="18" customHeight="1" x14ac:dyDescent="0.2">
      <c r="B231" s="2"/>
      <c r="C231" s="272" t="s">
        <v>985</v>
      </c>
      <c r="D231" s="272"/>
      <c r="E231" s="272"/>
      <c r="F231" s="272"/>
      <c r="G231" s="272"/>
      <c r="H231" s="272"/>
      <c r="I231" s="270" t="s">
        <v>1053</v>
      </c>
      <c r="J231" s="270"/>
      <c r="K231" s="270"/>
      <c r="L231" s="270"/>
      <c r="M231" s="270"/>
      <c r="N231" s="270" t="s">
        <v>991</v>
      </c>
      <c r="O231" s="270"/>
      <c r="P231" s="270"/>
      <c r="Q231" s="270"/>
      <c r="R231" s="270"/>
      <c r="S231" s="273" t="s">
        <v>990</v>
      </c>
      <c r="T231" s="274"/>
      <c r="U231" s="274"/>
      <c r="V231" s="274"/>
      <c r="W231" s="274"/>
      <c r="X231" s="274"/>
      <c r="Y231" s="274"/>
      <c r="Z231" s="274"/>
      <c r="AA231" s="274"/>
      <c r="AB231" s="274"/>
      <c r="AC231" s="274"/>
      <c r="AD231" s="274"/>
      <c r="AE231" s="274"/>
      <c r="AF231" s="275"/>
      <c r="AG231" s="2"/>
    </row>
    <row r="232" spans="2:33" ht="18" customHeight="1" x14ac:dyDescent="0.2">
      <c r="B232" s="2"/>
      <c r="C232" s="272" t="s">
        <v>371</v>
      </c>
      <c r="D232" s="272"/>
      <c r="E232" s="272"/>
      <c r="F232" s="272"/>
      <c r="G232" s="272"/>
      <c r="H232" s="272"/>
      <c r="I232" s="270" t="s">
        <v>992</v>
      </c>
      <c r="J232" s="270"/>
      <c r="K232" s="270"/>
      <c r="L232" s="270"/>
      <c r="M232" s="270"/>
      <c r="N232" s="270" t="s">
        <v>993</v>
      </c>
      <c r="O232" s="270"/>
      <c r="P232" s="270"/>
      <c r="Q232" s="270"/>
      <c r="R232" s="270"/>
      <c r="S232" s="270" t="s">
        <v>994</v>
      </c>
      <c r="T232" s="270"/>
      <c r="U232" s="270"/>
      <c r="V232" s="270"/>
      <c r="W232" s="270"/>
      <c r="X232" s="270"/>
      <c r="Y232" s="270"/>
      <c r="Z232" s="270"/>
      <c r="AA232" s="270"/>
      <c r="AB232" s="270"/>
      <c r="AC232" s="270"/>
      <c r="AD232" s="270"/>
      <c r="AE232" s="270"/>
      <c r="AF232" s="270"/>
      <c r="AG232" s="2"/>
    </row>
    <row r="233" spans="2:33" x14ac:dyDescent="0.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row>
    <row r="234" spans="2:33" x14ac:dyDescent="0.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row>
    <row r="235" spans="2:33" x14ac:dyDescent="0.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row>
    <row r="236" spans="2:33" x14ac:dyDescent="0.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row>
    <row r="237" spans="2:33" x14ac:dyDescent="0.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row>
    <row r="238" spans="2:33" x14ac:dyDescent="0.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row>
    <row r="239" spans="2:33" x14ac:dyDescent="0.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row>
  </sheetData>
  <mergeCells count="85">
    <mergeCell ref="S221:AF221"/>
    <mergeCell ref="S216:AF216"/>
    <mergeCell ref="C232:H232"/>
    <mergeCell ref="I232:M232"/>
    <mergeCell ref="N232:R232"/>
    <mergeCell ref="S232:AF232"/>
    <mergeCell ref="C228:H228"/>
    <mergeCell ref="N228:R228"/>
    <mergeCell ref="I228:M228"/>
    <mergeCell ref="S228:AF228"/>
    <mergeCell ref="C230:H230"/>
    <mergeCell ref="I230:M230"/>
    <mergeCell ref="N230:R230"/>
    <mergeCell ref="S230:AF230"/>
    <mergeCell ref="C231:H231"/>
    <mergeCell ref="I231:M231"/>
    <mergeCell ref="N231:R231"/>
    <mergeCell ref="S231:AF231"/>
    <mergeCell ref="C229:H229"/>
    <mergeCell ref="I229:M229"/>
    <mergeCell ref="N229:R229"/>
    <mergeCell ref="S229:AF229"/>
    <mergeCell ref="C227:H227"/>
    <mergeCell ref="I227:M227"/>
    <mergeCell ref="N227:R227"/>
    <mergeCell ref="S227:AF227"/>
    <mergeCell ref="C225:H225"/>
    <mergeCell ref="I225:M225"/>
    <mergeCell ref="N225:R225"/>
    <mergeCell ref="S225:AF225"/>
    <mergeCell ref="C226:H226"/>
    <mergeCell ref="I226:M226"/>
    <mergeCell ref="N226:R226"/>
    <mergeCell ref="S226:AF226"/>
    <mergeCell ref="C221:H221"/>
    <mergeCell ref="I221:M221"/>
    <mergeCell ref="N221:R221"/>
    <mergeCell ref="C217:H217"/>
    <mergeCell ref="I217:M217"/>
    <mergeCell ref="N217:R217"/>
    <mergeCell ref="C218:H218"/>
    <mergeCell ref="I218:M218"/>
    <mergeCell ref="N218:R218"/>
    <mergeCell ref="C219:H219"/>
    <mergeCell ref="I219:M219"/>
    <mergeCell ref="N219:R219"/>
    <mergeCell ref="C220:H220"/>
    <mergeCell ref="I220:M220"/>
    <mergeCell ref="N220:R220"/>
    <mergeCell ref="S217:AF217"/>
    <mergeCell ref="S218:AF218"/>
    <mergeCell ref="S219:AF219"/>
    <mergeCell ref="S220:AF220"/>
    <mergeCell ref="C169:AG170"/>
    <mergeCell ref="E191:AG192"/>
    <mergeCell ref="E194:AG195"/>
    <mergeCell ref="C216:H216"/>
    <mergeCell ref="I216:M216"/>
    <mergeCell ref="N216:R216"/>
    <mergeCell ref="E197:AG198"/>
    <mergeCell ref="C6:AG7"/>
    <mergeCell ref="C23:AG24"/>
    <mergeCell ref="E61:L61"/>
    <mergeCell ref="C162:AG165"/>
    <mergeCell ref="C14:AF15"/>
    <mergeCell ref="D17:G17"/>
    <mergeCell ref="H17:K17"/>
    <mergeCell ref="L17:AF17"/>
    <mergeCell ref="D18:G18"/>
    <mergeCell ref="L18:AF18"/>
    <mergeCell ref="C143:AE146"/>
    <mergeCell ref="H18:K18"/>
    <mergeCell ref="H19:K19"/>
    <mergeCell ref="H20:K20"/>
    <mergeCell ref="H21:K21"/>
    <mergeCell ref="C136:AF137"/>
    <mergeCell ref="M126:AF126"/>
    <mergeCell ref="D19:G19"/>
    <mergeCell ref="D20:G20"/>
    <mergeCell ref="D21:G21"/>
    <mergeCell ref="L19:AF19"/>
    <mergeCell ref="L20:AF20"/>
    <mergeCell ref="L21:AF21"/>
    <mergeCell ref="M113:AF113"/>
    <mergeCell ref="M120:AF121"/>
  </mergeCells>
  <pageMargins left="0.7" right="0.7" top="1.25" bottom="0.75" header="0.3" footer="0.3"/>
  <pageSetup scale="87" fitToHeight="0" orientation="portrait" horizontalDpi="1200" verticalDpi="1200" r:id="rId1"/>
  <headerFooter>
    <oddHeader>&amp;L&amp;G
Client: Keyera
Project No: F3KY&amp;C&amp;G&amp;RDesigned By: CW
Checked By: JS
Date: 13-MAY-2026
Revision: 0</oddHeader>
    <oddFooter>&amp;LContractor Document No:  F3KY-215-CAL-047</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1" r:id="rId5" name="Check Box 1">
              <controlPr defaultSize="0" autoFill="0" autoLine="0" autoPict="0">
                <anchor moveWithCells="1">
                  <from>
                    <xdr:col>4</xdr:col>
                    <xdr:colOff>66675</xdr:colOff>
                    <xdr:row>16</xdr:row>
                    <xdr:rowOff>561975</xdr:rowOff>
                  </from>
                  <to>
                    <xdr:col>5</xdr:col>
                    <xdr:colOff>66675</xdr:colOff>
                    <xdr:row>18</xdr:row>
                    <xdr:rowOff>9525</xdr:rowOff>
                  </to>
                </anchor>
              </controlPr>
            </control>
          </mc:Choice>
        </mc:AlternateContent>
        <mc:AlternateContent xmlns:mc="http://schemas.openxmlformats.org/markup-compatibility/2006">
          <mc:Choice Requires="x14">
            <control shapeId="5122" r:id="rId6" name="Check Box 2">
              <controlPr defaultSize="0" autoFill="0" autoLine="0" autoPict="0">
                <anchor moveWithCells="1">
                  <from>
                    <xdr:col>4</xdr:col>
                    <xdr:colOff>66675</xdr:colOff>
                    <xdr:row>17</xdr:row>
                    <xdr:rowOff>171450</xdr:rowOff>
                  </from>
                  <to>
                    <xdr:col>5</xdr:col>
                    <xdr:colOff>66675</xdr:colOff>
                    <xdr:row>19</xdr:row>
                    <xdr:rowOff>19050</xdr:rowOff>
                  </to>
                </anchor>
              </controlPr>
            </control>
          </mc:Choice>
        </mc:AlternateContent>
        <mc:AlternateContent xmlns:mc="http://schemas.openxmlformats.org/markup-compatibility/2006">
          <mc:Choice Requires="x14">
            <control shapeId="5123" r:id="rId7" name="Check Box 3">
              <controlPr defaultSize="0" autoFill="0" autoLine="0" autoPict="0">
                <anchor moveWithCells="1">
                  <from>
                    <xdr:col>4</xdr:col>
                    <xdr:colOff>66675</xdr:colOff>
                    <xdr:row>18</xdr:row>
                    <xdr:rowOff>171450</xdr:rowOff>
                  </from>
                  <to>
                    <xdr:col>5</xdr:col>
                    <xdr:colOff>66675</xdr:colOff>
                    <xdr:row>20</xdr:row>
                    <xdr:rowOff>9525</xdr:rowOff>
                  </to>
                </anchor>
              </controlPr>
            </control>
          </mc:Choice>
        </mc:AlternateContent>
        <mc:AlternateContent xmlns:mc="http://schemas.openxmlformats.org/markup-compatibility/2006">
          <mc:Choice Requires="x14">
            <control shapeId="5124" r:id="rId8" name="Check Box 4">
              <controlPr defaultSize="0" autoFill="0" autoLine="0" autoPict="0">
                <anchor moveWithCells="1">
                  <from>
                    <xdr:col>4</xdr:col>
                    <xdr:colOff>66675</xdr:colOff>
                    <xdr:row>19</xdr:row>
                    <xdr:rowOff>180975</xdr:rowOff>
                  </from>
                  <to>
                    <xdr:col>5</xdr:col>
                    <xdr:colOff>66675</xdr:colOff>
                    <xdr:row>21</xdr:row>
                    <xdr:rowOff>0</xdr:rowOff>
                  </to>
                </anchor>
              </controlPr>
            </control>
          </mc:Choice>
        </mc:AlternateContent>
        <mc:AlternateContent xmlns:mc="http://schemas.openxmlformats.org/markup-compatibility/2006">
          <mc:Choice Requires="x14">
            <control shapeId="5125" r:id="rId9" name="Check Box 5">
              <controlPr defaultSize="0" autoFill="0" autoLine="0" autoPict="0">
                <anchor moveWithCells="1">
                  <from>
                    <xdr:col>17</xdr:col>
                    <xdr:colOff>200025</xdr:colOff>
                    <xdr:row>148</xdr:row>
                    <xdr:rowOff>0</xdr:rowOff>
                  </from>
                  <to>
                    <xdr:col>19</xdr:col>
                    <xdr:colOff>85725</xdr:colOff>
                    <xdr:row>149</xdr:row>
                    <xdr:rowOff>38100</xdr:rowOff>
                  </to>
                </anchor>
              </controlPr>
            </control>
          </mc:Choice>
        </mc:AlternateContent>
        <mc:AlternateContent xmlns:mc="http://schemas.openxmlformats.org/markup-compatibility/2006">
          <mc:Choice Requires="x14">
            <control shapeId="5126" r:id="rId10" name="Check Box 6">
              <controlPr defaultSize="0" autoFill="0" autoLine="0" autoPict="0">
                <anchor moveWithCells="1">
                  <from>
                    <xdr:col>24</xdr:col>
                    <xdr:colOff>0</xdr:colOff>
                    <xdr:row>148</xdr:row>
                    <xdr:rowOff>0</xdr:rowOff>
                  </from>
                  <to>
                    <xdr:col>25</xdr:col>
                    <xdr:colOff>95250</xdr:colOff>
                    <xdr:row>149</xdr:row>
                    <xdr:rowOff>28575</xdr:rowOff>
                  </to>
                </anchor>
              </controlPr>
            </control>
          </mc:Choice>
        </mc:AlternateContent>
        <mc:AlternateContent xmlns:mc="http://schemas.openxmlformats.org/markup-compatibility/2006">
          <mc:Choice Requires="x14">
            <control shapeId="5127" r:id="rId11" name="Check Box 7">
              <controlPr defaultSize="0" autoFill="0" autoLine="0" autoPict="0">
                <anchor moveWithCells="1">
                  <from>
                    <xdr:col>17</xdr:col>
                    <xdr:colOff>200025</xdr:colOff>
                    <xdr:row>151</xdr:row>
                    <xdr:rowOff>0</xdr:rowOff>
                  </from>
                  <to>
                    <xdr:col>19</xdr:col>
                    <xdr:colOff>85725</xdr:colOff>
                    <xdr:row>152</xdr:row>
                    <xdr:rowOff>47625</xdr:rowOff>
                  </to>
                </anchor>
              </controlPr>
            </control>
          </mc:Choice>
        </mc:AlternateContent>
        <mc:AlternateContent xmlns:mc="http://schemas.openxmlformats.org/markup-compatibility/2006">
          <mc:Choice Requires="x14">
            <control shapeId="5128" r:id="rId12" name="Check Box 8">
              <controlPr defaultSize="0" autoFill="0" autoLine="0" autoPict="0">
                <anchor moveWithCells="1">
                  <from>
                    <xdr:col>24</xdr:col>
                    <xdr:colOff>0</xdr:colOff>
                    <xdr:row>151</xdr:row>
                    <xdr:rowOff>0</xdr:rowOff>
                  </from>
                  <to>
                    <xdr:col>25</xdr:col>
                    <xdr:colOff>95250</xdr:colOff>
                    <xdr:row>152</xdr:row>
                    <xdr:rowOff>47625</xdr:rowOff>
                  </to>
                </anchor>
              </controlPr>
            </control>
          </mc:Choice>
        </mc:AlternateContent>
        <mc:AlternateContent xmlns:mc="http://schemas.openxmlformats.org/markup-compatibility/2006">
          <mc:Choice Requires="x14">
            <control shapeId="5129" r:id="rId13" name="Check Box 9">
              <controlPr defaultSize="0" autoFill="0" autoLine="0" autoPict="0">
                <anchor moveWithCells="1">
                  <from>
                    <xdr:col>17</xdr:col>
                    <xdr:colOff>200025</xdr:colOff>
                    <xdr:row>154</xdr:row>
                    <xdr:rowOff>0</xdr:rowOff>
                  </from>
                  <to>
                    <xdr:col>19</xdr:col>
                    <xdr:colOff>85725</xdr:colOff>
                    <xdr:row>155</xdr:row>
                    <xdr:rowOff>47625</xdr:rowOff>
                  </to>
                </anchor>
              </controlPr>
            </control>
          </mc:Choice>
        </mc:AlternateContent>
        <mc:AlternateContent xmlns:mc="http://schemas.openxmlformats.org/markup-compatibility/2006">
          <mc:Choice Requires="x14">
            <control shapeId="5130" r:id="rId14" name="Check Box 10">
              <controlPr defaultSize="0" autoFill="0" autoLine="0" autoPict="0">
                <anchor moveWithCells="1">
                  <from>
                    <xdr:col>24</xdr:col>
                    <xdr:colOff>0</xdr:colOff>
                    <xdr:row>154</xdr:row>
                    <xdr:rowOff>0</xdr:rowOff>
                  </from>
                  <to>
                    <xdr:col>25</xdr:col>
                    <xdr:colOff>95250</xdr:colOff>
                    <xdr:row>155</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5D3FD-C543-4519-B6E4-DA0C090422C2}">
  <sheetPr codeName="Sheet6">
    <pageSetUpPr fitToPage="1"/>
  </sheetPr>
  <dimension ref="A1:AI86"/>
  <sheetViews>
    <sheetView view="pageBreakPreview" zoomScale="115" zoomScaleNormal="100" zoomScaleSheetLayoutView="115" workbookViewId="0">
      <selection activeCell="AE20" sqref="AE20"/>
    </sheetView>
  </sheetViews>
  <sheetFormatPr defaultRowHeight="14.25" x14ac:dyDescent="0.2"/>
  <cols>
    <col min="1" max="33" width="3.140625" style="1" customWidth="1"/>
    <col min="34" max="16384" width="9.140625" style="1"/>
  </cols>
  <sheetData>
    <row r="1" spans="1:35" x14ac:dyDescent="0.2">
      <c r="AI1" s="1" t="s">
        <v>0</v>
      </c>
    </row>
    <row r="2" spans="1:35" ht="15" x14ac:dyDescent="0.25">
      <c r="B2" s="4" t="s">
        <v>109</v>
      </c>
    </row>
    <row r="3" spans="1:35"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row>
    <row r="4" spans="1:35" x14ac:dyDescent="0.2">
      <c r="A4" s="2"/>
      <c r="B4" s="2"/>
      <c r="C4" s="240" t="s">
        <v>1057</v>
      </c>
      <c r="D4" s="240"/>
      <c r="E4" s="240"/>
      <c r="F4" s="240"/>
      <c r="G4" s="240"/>
      <c r="H4" s="240"/>
      <c r="I4" s="240"/>
      <c r="J4" s="240"/>
      <c r="K4" s="240"/>
      <c r="L4" s="240"/>
      <c r="M4" s="240"/>
      <c r="N4" s="240"/>
      <c r="O4" s="240"/>
      <c r="P4" s="240"/>
      <c r="Q4" s="240"/>
      <c r="R4" s="240"/>
      <c r="S4" s="240"/>
      <c r="T4" s="240"/>
      <c r="U4" s="240"/>
      <c r="V4" s="240"/>
      <c r="W4" s="240"/>
      <c r="X4" s="240"/>
      <c r="Y4" s="240"/>
      <c r="Z4" s="240"/>
      <c r="AA4" s="240"/>
      <c r="AB4" s="240"/>
      <c r="AC4" s="240"/>
      <c r="AD4" s="240"/>
      <c r="AE4" s="240"/>
      <c r="AF4" s="240"/>
      <c r="AG4" s="2"/>
    </row>
    <row r="5" spans="1:35" x14ac:dyDescent="0.2">
      <c r="A5" s="2"/>
      <c r="B5" s="2"/>
      <c r="C5" s="240" t="s">
        <v>1392</v>
      </c>
      <c r="D5" s="240"/>
      <c r="E5" s="240"/>
      <c r="F5" s="240"/>
      <c r="G5" s="240"/>
      <c r="H5" s="240"/>
      <c r="I5" s="240"/>
      <c r="J5" s="240"/>
      <c r="K5" s="240"/>
      <c r="L5" s="240"/>
      <c r="M5" s="240"/>
      <c r="N5" s="240"/>
      <c r="O5" s="240"/>
      <c r="P5" s="240"/>
      <c r="Q5" s="240"/>
      <c r="R5" s="240"/>
      <c r="S5" s="240"/>
      <c r="T5" s="240"/>
      <c r="U5" s="240"/>
      <c r="V5" s="240"/>
      <c r="W5" s="240"/>
      <c r="X5" s="240"/>
      <c r="Y5" s="240"/>
      <c r="Z5" s="240"/>
      <c r="AA5" s="240"/>
      <c r="AB5" s="240"/>
      <c r="AC5" s="240"/>
      <c r="AD5" s="240"/>
      <c r="AE5" s="240"/>
      <c r="AF5" s="240"/>
      <c r="AG5" s="240"/>
    </row>
    <row r="6" spans="1:35" x14ac:dyDescent="0.2">
      <c r="A6" s="2"/>
      <c r="B6" s="2"/>
      <c r="C6" s="240"/>
      <c r="D6" s="240"/>
      <c r="E6" s="240"/>
      <c r="F6" s="240"/>
      <c r="G6" s="240"/>
      <c r="H6" s="240"/>
      <c r="I6" s="240"/>
      <c r="J6" s="240"/>
      <c r="K6" s="240"/>
      <c r="L6" s="240"/>
      <c r="M6" s="240"/>
      <c r="N6" s="240"/>
      <c r="O6" s="240"/>
      <c r="P6" s="240"/>
      <c r="Q6" s="240"/>
      <c r="R6" s="240"/>
      <c r="S6" s="240"/>
      <c r="T6" s="240"/>
      <c r="U6" s="240"/>
      <c r="V6" s="240"/>
      <c r="W6" s="240"/>
      <c r="X6" s="240"/>
      <c r="Y6" s="240"/>
      <c r="Z6" s="240"/>
      <c r="AA6" s="240"/>
      <c r="AB6" s="240"/>
      <c r="AC6" s="240"/>
      <c r="AD6" s="240"/>
      <c r="AE6" s="240"/>
      <c r="AF6" s="240"/>
      <c r="AG6" s="240"/>
    </row>
    <row r="7" spans="1:35" x14ac:dyDescent="0.2">
      <c r="A7" s="2"/>
      <c r="B7" s="2"/>
      <c r="C7" s="240"/>
      <c r="D7" s="240"/>
      <c r="E7" s="240"/>
      <c r="F7" s="240"/>
      <c r="G7" s="240"/>
      <c r="H7" s="240"/>
      <c r="I7" s="240"/>
      <c r="J7" s="240"/>
      <c r="K7" s="240"/>
      <c r="L7" s="240"/>
      <c r="M7" s="240"/>
      <c r="N7" s="240"/>
      <c r="O7" s="240"/>
      <c r="P7" s="240"/>
      <c r="Q7" s="240"/>
      <c r="R7" s="240"/>
      <c r="S7" s="240"/>
      <c r="T7" s="240"/>
      <c r="U7" s="240"/>
      <c r="V7" s="240"/>
      <c r="W7" s="240"/>
      <c r="X7" s="240"/>
      <c r="Y7" s="240"/>
      <c r="Z7" s="240"/>
      <c r="AA7" s="240"/>
      <c r="AB7" s="240"/>
      <c r="AC7" s="240"/>
      <c r="AD7" s="240"/>
      <c r="AE7" s="240"/>
      <c r="AF7" s="240"/>
      <c r="AG7" s="240"/>
    </row>
    <row r="8" spans="1:35" x14ac:dyDescent="0.2">
      <c r="A8" s="2"/>
      <c r="B8" s="2"/>
      <c r="C8" s="83"/>
      <c r="D8" s="83"/>
      <c r="E8" s="83"/>
      <c r="F8" s="83"/>
      <c r="G8" s="83"/>
      <c r="H8" s="83"/>
      <c r="I8" s="83"/>
      <c r="J8" s="83"/>
      <c r="K8" s="83"/>
      <c r="L8" s="83"/>
      <c r="M8" s="83"/>
      <c r="N8" s="83"/>
      <c r="O8" s="83"/>
      <c r="P8" s="83"/>
      <c r="Q8" s="83"/>
      <c r="R8" s="83"/>
      <c r="S8" s="83"/>
      <c r="T8" s="83"/>
      <c r="U8" s="83"/>
      <c r="V8" s="83"/>
      <c r="W8" s="83"/>
      <c r="X8" s="83"/>
      <c r="Y8" s="83"/>
      <c r="Z8" s="83"/>
      <c r="AA8" s="83"/>
      <c r="AB8" s="83"/>
      <c r="AC8" s="83"/>
      <c r="AD8" s="83"/>
      <c r="AE8" s="83"/>
      <c r="AF8" s="83"/>
      <c r="AG8" s="2"/>
    </row>
    <row r="9" spans="1:35" x14ac:dyDescent="0.2">
      <c r="A9" s="2"/>
      <c r="B9" s="2"/>
      <c r="C9" s="83"/>
      <c r="D9" s="83"/>
      <c r="E9" s="83"/>
      <c r="F9" s="83"/>
      <c r="G9" s="83"/>
      <c r="H9" s="83"/>
      <c r="I9" s="83"/>
      <c r="J9" s="83"/>
      <c r="K9" s="83"/>
      <c r="L9" s="83"/>
      <c r="M9" s="83"/>
      <c r="N9" s="83"/>
      <c r="O9" s="83"/>
      <c r="P9" s="83"/>
      <c r="Q9" s="83"/>
      <c r="R9" s="83"/>
      <c r="S9" s="83"/>
      <c r="T9" s="83"/>
      <c r="U9" s="83"/>
      <c r="V9" s="83"/>
      <c r="W9" s="83"/>
      <c r="X9" s="83"/>
      <c r="Y9" s="83"/>
      <c r="Z9" s="83"/>
      <c r="AA9" s="83"/>
      <c r="AB9" s="83"/>
      <c r="AC9" s="83"/>
      <c r="AD9" s="83"/>
      <c r="AE9" s="83"/>
      <c r="AF9" s="83"/>
      <c r="AG9" s="2"/>
    </row>
    <row r="10" spans="1:35" x14ac:dyDescent="0.2">
      <c r="A10" s="2"/>
      <c r="B10" s="2"/>
      <c r="C10" s="83"/>
      <c r="D10" s="83"/>
      <c r="E10" s="83"/>
      <c r="F10" s="83"/>
      <c r="G10" s="83"/>
      <c r="H10" s="83"/>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2"/>
    </row>
    <row r="11" spans="1:35" x14ac:dyDescent="0.2">
      <c r="A11" s="2"/>
      <c r="B11" s="2"/>
      <c r="C11" s="83"/>
      <c r="D11" s="83"/>
      <c r="E11" s="83"/>
      <c r="F11" s="83"/>
      <c r="G11" s="83"/>
      <c r="H11" s="83"/>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2"/>
    </row>
    <row r="12" spans="1:35" x14ac:dyDescent="0.2">
      <c r="A12" s="2"/>
      <c r="B12" s="2"/>
      <c r="C12" s="83"/>
      <c r="D12" s="83"/>
      <c r="E12" s="83"/>
      <c r="F12" s="83"/>
      <c r="G12" s="83"/>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2"/>
    </row>
    <row r="13" spans="1:35" x14ac:dyDescent="0.2">
      <c r="A13" s="2"/>
      <c r="B13" s="2"/>
      <c r="C13" s="83"/>
      <c r="D13" s="83"/>
      <c r="E13" s="83"/>
      <c r="F13" s="83"/>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2"/>
    </row>
    <row r="14" spans="1:35" x14ac:dyDescent="0.2">
      <c r="A14" s="2"/>
      <c r="B14" s="2"/>
      <c r="C14" s="83"/>
      <c r="D14" s="83"/>
      <c r="E14" s="83"/>
      <c r="F14" s="83"/>
      <c r="G14" s="83"/>
      <c r="H14" s="83"/>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2"/>
    </row>
    <row r="15" spans="1:35" x14ac:dyDescent="0.2">
      <c r="A15" s="2"/>
      <c r="B15" s="2"/>
      <c r="C15" s="83"/>
      <c r="D15" s="83"/>
      <c r="E15" s="83"/>
      <c r="F15" s="83"/>
      <c r="G15" s="83"/>
      <c r="H15" s="83"/>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2"/>
    </row>
    <row r="16" spans="1:35" x14ac:dyDescent="0.2">
      <c r="A16" s="2"/>
      <c r="B16" s="2"/>
      <c r="C16" s="83"/>
      <c r="D16" s="83"/>
      <c r="E16" s="83"/>
      <c r="F16" s="83"/>
      <c r="G16" s="83"/>
      <c r="H16" s="83"/>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2"/>
    </row>
    <row r="17" spans="1:33" x14ac:dyDescent="0.2">
      <c r="A17" s="2"/>
      <c r="B17" s="2"/>
      <c r="C17" s="83" t="s">
        <v>1064</v>
      </c>
      <c r="D17" s="83"/>
      <c r="E17" s="83"/>
      <c r="F17" s="83"/>
      <c r="G17" s="83"/>
      <c r="H17" s="83"/>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2"/>
    </row>
    <row r="18" spans="1:33" x14ac:dyDescent="0.2">
      <c r="A18" s="2"/>
      <c r="B18" s="2"/>
      <c r="C18" s="83"/>
      <c r="D18" s="83"/>
      <c r="E18" s="83"/>
      <c r="F18" s="83"/>
      <c r="G18" s="83"/>
      <c r="H18" s="83"/>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2"/>
    </row>
    <row r="19" spans="1:33" x14ac:dyDescent="0.2">
      <c r="A19" s="2"/>
      <c r="B19" s="2"/>
      <c r="C19" s="83"/>
      <c r="D19" s="83"/>
      <c r="E19" s="83"/>
      <c r="F19" s="83"/>
      <c r="G19" s="83"/>
      <c r="H19" s="83"/>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2"/>
    </row>
    <row r="20" spans="1:33" x14ac:dyDescent="0.2">
      <c r="A20" s="2"/>
      <c r="B20" s="2"/>
      <c r="C20" s="83"/>
      <c r="D20" s="83"/>
      <c r="E20" s="83"/>
      <c r="F20" s="83"/>
      <c r="G20" s="83"/>
      <c r="H20" s="83"/>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2"/>
    </row>
    <row r="21" spans="1:33" x14ac:dyDescent="0.2">
      <c r="A21" s="2"/>
      <c r="B21" s="2"/>
      <c r="C21" s="83"/>
      <c r="D21" s="83"/>
      <c r="E21" s="83"/>
      <c r="F21" s="83"/>
      <c r="G21" s="83"/>
      <c r="H21" s="83"/>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2"/>
    </row>
    <row r="22" spans="1:33" x14ac:dyDescent="0.2">
      <c r="A22" s="2"/>
      <c r="B22" s="2"/>
      <c r="C22" s="83"/>
      <c r="D22" s="83"/>
      <c r="E22" s="83"/>
      <c r="F22" s="83"/>
      <c r="G22" s="83"/>
      <c r="H22" s="83"/>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2"/>
    </row>
    <row r="23" spans="1:33" x14ac:dyDescent="0.2">
      <c r="A23" s="2"/>
      <c r="B23" s="2"/>
      <c r="C23" s="83"/>
      <c r="D23" s="83"/>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2"/>
    </row>
    <row r="24" spans="1:33" x14ac:dyDescent="0.2">
      <c r="A24" s="2"/>
      <c r="B24" s="2"/>
      <c r="C24" s="83"/>
      <c r="D24" s="83"/>
      <c r="E24" s="83"/>
      <c r="F24" s="83"/>
      <c r="G24" s="83"/>
      <c r="H24" s="83"/>
      <c r="I24" s="83"/>
      <c r="J24" s="83"/>
      <c r="K24" s="83"/>
      <c r="L24" s="83"/>
      <c r="M24" s="83"/>
      <c r="N24" s="83"/>
      <c r="O24" s="83"/>
      <c r="P24" s="83"/>
      <c r="Q24" s="83"/>
      <c r="R24" s="83"/>
      <c r="S24" s="83"/>
      <c r="T24" s="83"/>
      <c r="U24" s="83"/>
      <c r="V24" s="83"/>
      <c r="W24" s="83"/>
      <c r="X24" s="83"/>
      <c r="Y24" s="83"/>
      <c r="Z24" s="83"/>
      <c r="AA24" s="83"/>
      <c r="AB24" s="83"/>
      <c r="AC24" s="83"/>
      <c r="AD24" s="83"/>
      <c r="AE24" s="83"/>
      <c r="AF24" s="83"/>
      <c r="AG24" s="2"/>
    </row>
    <row r="25" spans="1:33" x14ac:dyDescent="0.2">
      <c r="A25" s="2"/>
      <c r="B25" s="2"/>
      <c r="C25" s="83"/>
      <c r="D25" s="83"/>
      <c r="E25" s="83"/>
      <c r="F25" s="83"/>
      <c r="G25" s="83"/>
      <c r="H25" s="83"/>
      <c r="I25" s="83"/>
      <c r="J25" s="83"/>
      <c r="K25" s="83"/>
      <c r="L25" s="83"/>
      <c r="M25" s="83"/>
      <c r="N25" s="83"/>
      <c r="O25" s="83"/>
      <c r="P25" s="83"/>
      <c r="Q25" s="83"/>
      <c r="R25" s="83"/>
      <c r="S25" s="83"/>
      <c r="T25" s="83"/>
      <c r="U25" s="83"/>
      <c r="V25" s="83"/>
      <c r="W25" s="83"/>
      <c r="X25" s="83"/>
      <c r="Y25" s="83"/>
      <c r="Z25" s="83"/>
      <c r="AA25" s="83"/>
      <c r="AB25" s="83"/>
      <c r="AC25" s="83"/>
      <c r="AD25" s="83"/>
      <c r="AE25" s="83"/>
      <c r="AF25" s="83"/>
      <c r="AG25" s="2"/>
    </row>
    <row r="26" spans="1:33" x14ac:dyDescent="0.2">
      <c r="A26" s="2"/>
      <c r="B26" s="2"/>
      <c r="C26" s="83"/>
      <c r="D26" s="83"/>
      <c r="E26" s="83"/>
      <c r="F26" s="83"/>
      <c r="G26" s="83"/>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2"/>
    </row>
    <row r="27" spans="1:33" x14ac:dyDescent="0.2">
      <c r="A27" s="2"/>
      <c r="B27" s="2"/>
      <c r="C27" s="83" t="s">
        <v>1058</v>
      </c>
      <c r="D27" s="83"/>
      <c r="E27" s="83"/>
      <c r="F27" s="83"/>
      <c r="G27" s="83"/>
      <c r="H27" s="83"/>
      <c r="I27" s="83"/>
      <c r="J27" s="83"/>
      <c r="K27" s="83"/>
      <c r="L27" s="83"/>
      <c r="M27" s="83"/>
      <c r="N27" s="83"/>
      <c r="O27" s="83"/>
      <c r="P27" s="83"/>
      <c r="Q27" s="83"/>
      <c r="R27" s="83"/>
      <c r="S27" s="83"/>
      <c r="T27" s="83"/>
      <c r="U27" s="83"/>
      <c r="V27" s="83"/>
      <c r="W27" s="83"/>
      <c r="X27" s="83"/>
      <c r="Y27" s="83"/>
      <c r="Z27" s="83"/>
      <c r="AA27" s="83"/>
      <c r="AB27" s="83"/>
      <c r="AC27" s="83"/>
      <c r="AD27" s="83"/>
      <c r="AE27" s="83"/>
      <c r="AF27" s="83"/>
      <c r="AG27" s="2"/>
    </row>
    <row r="28" spans="1:33" x14ac:dyDescent="0.2">
      <c r="A28" s="2"/>
      <c r="B28" s="2"/>
      <c r="C28" s="83"/>
      <c r="D28" s="83"/>
      <c r="E28" s="83"/>
      <c r="F28" s="83"/>
      <c r="G28" s="83"/>
      <c r="H28" s="83"/>
      <c r="I28" s="83"/>
      <c r="J28" s="83"/>
      <c r="K28" s="83"/>
      <c r="L28" s="83"/>
      <c r="M28" s="83"/>
      <c r="N28" s="83"/>
      <c r="O28" s="83"/>
      <c r="P28" s="83"/>
      <c r="Q28" s="83"/>
      <c r="R28" s="83"/>
      <c r="S28" s="83"/>
      <c r="T28" s="83"/>
      <c r="U28" s="83"/>
      <c r="V28" s="83"/>
      <c r="W28" s="83"/>
      <c r="X28" s="83"/>
      <c r="Y28" s="83"/>
      <c r="Z28" s="83"/>
      <c r="AA28" s="83"/>
      <c r="AB28" s="83"/>
      <c r="AC28" s="83"/>
      <c r="AD28" s="83"/>
      <c r="AE28" s="83"/>
      <c r="AF28" s="83"/>
      <c r="AG28" s="2"/>
    </row>
    <row r="29" spans="1:33" x14ac:dyDescent="0.2">
      <c r="A29" s="2"/>
      <c r="B29" s="2"/>
      <c r="C29" s="83"/>
      <c r="D29" s="83"/>
      <c r="E29" s="83"/>
      <c r="F29" s="83"/>
      <c r="G29" s="83"/>
      <c r="H29" s="83"/>
      <c r="I29" s="83"/>
      <c r="J29" s="83"/>
      <c r="K29" s="83"/>
      <c r="L29" s="83"/>
      <c r="M29" s="83"/>
      <c r="N29" s="83"/>
      <c r="O29" s="83"/>
      <c r="P29" s="83"/>
      <c r="Q29" s="83"/>
      <c r="R29" s="83"/>
      <c r="S29" s="83"/>
      <c r="T29" s="83"/>
      <c r="U29" s="83"/>
      <c r="V29" s="83"/>
      <c r="W29" s="83"/>
      <c r="X29" s="83"/>
      <c r="Y29" s="83"/>
      <c r="Z29" s="83"/>
      <c r="AA29" s="83"/>
      <c r="AB29" s="83"/>
      <c r="AC29" s="83"/>
      <c r="AD29" s="83"/>
      <c r="AE29" s="83"/>
      <c r="AF29" s="83"/>
      <c r="AG29" s="2"/>
    </row>
    <row r="30" spans="1:33" x14ac:dyDescent="0.2">
      <c r="A30" s="2"/>
      <c r="B30" s="2"/>
      <c r="C30" s="83"/>
      <c r="D30" s="83"/>
      <c r="E30" s="83"/>
      <c r="F30" s="83"/>
      <c r="G30" s="83"/>
      <c r="H30" s="83"/>
      <c r="I30" s="83"/>
      <c r="J30" s="83"/>
      <c r="K30" s="83"/>
      <c r="L30" s="83"/>
      <c r="M30" s="83"/>
      <c r="N30" s="83"/>
      <c r="O30" s="83"/>
      <c r="P30" s="83"/>
      <c r="Q30" s="83"/>
      <c r="R30" s="83"/>
      <c r="S30" s="83"/>
      <c r="T30" s="83"/>
      <c r="U30" s="83"/>
      <c r="V30" s="83"/>
      <c r="W30" s="83"/>
      <c r="X30" s="83"/>
      <c r="Y30" s="83"/>
      <c r="Z30" s="83"/>
      <c r="AA30" s="83"/>
      <c r="AB30" s="83"/>
      <c r="AC30" s="83"/>
      <c r="AD30" s="83"/>
      <c r="AE30" s="83"/>
      <c r="AF30" s="83"/>
      <c r="AG30" s="2"/>
    </row>
    <row r="31" spans="1:33" x14ac:dyDescent="0.2">
      <c r="A31" s="2"/>
      <c r="B31" s="2"/>
      <c r="C31" s="83"/>
      <c r="D31" s="83"/>
      <c r="E31" s="83"/>
      <c r="F31" s="83"/>
      <c r="G31" s="83"/>
      <c r="H31" s="83"/>
      <c r="I31" s="83"/>
      <c r="J31" s="83"/>
      <c r="K31" s="83"/>
      <c r="L31" s="83"/>
      <c r="M31" s="83"/>
      <c r="N31" s="83"/>
      <c r="O31" s="83"/>
      <c r="P31" s="83"/>
      <c r="Q31" s="83"/>
      <c r="R31" s="83"/>
      <c r="S31" s="83"/>
      <c r="T31" s="83"/>
      <c r="U31" s="83"/>
      <c r="V31" s="83"/>
      <c r="W31" s="83"/>
      <c r="X31" s="83"/>
      <c r="Y31" s="83"/>
      <c r="Z31" s="83"/>
      <c r="AA31" s="83"/>
      <c r="AB31" s="83"/>
      <c r="AC31" s="83"/>
      <c r="AD31" s="83"/>
      <c r="AE31" s="83"/>
      <c r="AF31" s="83"/>
      <c r="AG31" s="2"/>
    </row>
    <row r="32" spans="1:33" x14ac:dyDescent="0.2">
      <c r="A32" s="2"/>
      <c r="B32" s="2"/>
      <c r="C32" s="83"/>
      <c r="D32" s="83"/>
      <c r="E32" s="83"/>
      <c r="F32" s="83"/>
      <c r="G32" s="83"/>
      <c r="H32" s="83"/>
      <c r="I32" s="83"/>
      <c r="J32" s="83"/>
      <c r="K32" s="83"/>
      <c r="L32" s="83"/>
      <c r="M32" s="83"/>
      <c r="N32" s="83"/>
      <c r="O32" s="83"/>
      <c r="P32" s="83"/>
      <c r="Q32" s="83"/>
      <c r="R32" s="83"/>
      <c r="S32" s="83"/>
      <c r="T32" s="83"/>
      <c r="U32" s="83"/>
      <c r="V32" s="83"/>
      <c r="W32" s="83"/>
      <c r="X32" s="83"/>
      <c r="Y32" s="83"/>
      <c r="Z32" s="83"/>
      <c r="AA32" s="83"/>
      <c r="AB32" s="83"/>
      <c r="AC32" s="83"/>
      <c r="AD32" s="83"/>
      <c r="AE32" s="83"/>
      <c r="AF32" s="83"/>
      <c r="AG32" s="2"/>
    </row>
    <row r="33" spans="1:33" x14ac:dyDescent="0.2">
      <c r="A33" s="2"/>
      <c r="B33" s="2"/>
      <c r="C33" s="83"/>
      <c r="D33" s="83"/>
      <c r="E33" s="83"/>
      <c r="F33" s="83"/>
      <c r="G33" s="83"/>
      <c r="H33" s="83"/>
      <c r="I33" s="83"/>
      <c r="J33" s="83"/>
      <c r="K33" s="83"/>
      <c r="L33" s="83"/>
      <c r="M33" s="83"/>
      <c r="N33" s="83"/>
      <c r="O33" s="83"/>
      <c r="P33" s="83"/>
      <c r="Q33" s="83"/>
      <c r="R33" s="83"/>
      <c r="S33" s="83"/>
      <c r="T33" s="83"/>
      <c r="U33" s="83"/>
      <c r="V33" s="83"/>
      <c r="W33" s="83"/>
      <c r="X33" s="83"/>
      <c r="Y33" s="83"/>
      <c r="Z33" s="83"/>
      <c r="AA33" s="83"/>
      <c r="AB33" s="83"/>
      <c r="AC33" s="83"/>
      <c r="AD33" s="83"/>
      <c r="AE33" s="83"/>
      <c r="AF33" s="83"/>
      <c r="AG33" s="2"/>
    </row>
    <row r="34" spans="1:33" x14ac:dyDescent="0.2">
      <c r="A34" s="2"/>
      <c r="B34" s="2"/>
      <c r="C34" s="83"/>
      <c r="D34" s="83"/>
      <c r="E34" s="83"/>
      <c r="F34" s="83"/>
      <c r="G34" s="83"/>
      <c r="H34" s="83"/>
      <c r="I34" s="83"/>
      <c r="J34" s="83"/>
      <c r="K34" s="83"/>
      <c r="L34" s="83"/>
      <c r="M34" s="83"/>
      <c r="N34" s="83"/>
      <c r="O34" s="83"/>
      <c r="P34" s="83"/>
      <c r="Q34" s="83"/>
      <c r="R34" s="83"/>
      <c r="S34" s="83"/>
      <c r="T34" s="83"/>
      <c r="U34" s="83"/>
      <c r="V34" s="83"/>
      <c r="W34" s="83"/>
      <c r="X34" s="83"/>
      <c r="Y34" s="83"/>
      <c r="Z34" s="83"/>
      <c r="AA34" s="83"/>
      <c r="AB34" s="83"/>
      <c r="AC34" s="83"/>
      <c r="AD34" s="83"/>
      <c r="AE34" s="83"/>
      <c r="AF34" s="83"/>
      <c r="AG34" s="2"/>
    </row>
    <row r="35" spans="1:33" x14ac:dyDescent="0.2">
      <c r="A35" s="2"/>
      <c r="B35" s="2"/>
      <c r="C35" s="83"/>
      <c r="D35" s="83"/>
      <c r="E35" s="83"/>
      <c r="F35" s="83"/>
      <c r="G35" s="83"/>
      <c r="H35" s="83"/>
      <c r="I35" s="83"/>
      <c r="J35" s="83"/>
      <c r="K35" s="83"/>
      <c r="L35" s="83"/>
      <c r="M35" s="83"/>
      <c r="N35" s="83"/>
      <c r="O35" s="83"/>
      <c r="P35" s="83"/>
      <c r="Q35" s="83"/>
      <c r="R35" s="83"/>
      <c r="S35" s="83"/>
      <c r="T35" s="83"/>
      <c r="U35" s="83"/>
      <c r="V35" s="83"/>
      <c r="W35" s="83"/>
      <c r="X35" s="83"/>
      <c r="Y35" s="83"/>
      <c r="Z35" s="83"/>
      <c r="AA35" s="83"/>
      <c r="AB35" s="83"/>
      <c r="AC35" s="83"/>
      <c r="AD35" s="83"/>
      <c r="AE35" s="83"/>
      <c r="AF35" s="83"/>
      <c r="AG35" s="2"/>
    </row>
    <row r="36" spans="1:33" x14ac:dyDescent="0.2">
      <c r="A36" s="2"/>
      <c r="B36" s="2"/>
      <c r="C36" s="83"/>
      <c r="D36" s="83"/>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2"/>
    </row>
    <row r="37" spans="1:33" x14ac:dyDescent="0.2">
      <c r="A37" s="2"/>
      <c r="B37" s="2"/>
      <c r="C37" s="83"/>
      <c r="D37" s="83"/>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2"/>
    </row>
    <row r="38" spans="1:33" x14ac:dyDescent="0.2">
      <c r="A38" s="2"/>
      <c r="B38" s="2"/>
      <c r="C38" s="83"/>
      <c r="D38" s="83"/>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2"/>
    </row>
    <row r="39" spans="1:33" x14ac:dyDescent="0.2">
      <c r="A39" s="2"/>
      <c r="B39" s="2"/>
      <c r="C39" s="83"/>
      <c r="D39" s="83"/>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2"/>
    </row>
    <row r="40" spans="1:33" x14ac:dyDescent="0.2">
      <c r="A40" s="2"/>
      <c r="B40" s="2"/>
      <c r="C40" s="83"/>
      <c r="D40" s="83"/>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2"/>
    </row>
    <row r="41" spans="1:33" x14ac:dyDescent="0.2">
      <c r="A41" s="2"/>
      <c r="B41" s="2"/>
      <c r="C41" s="83"/>
      <c r="D41" s="83"/>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2"/>
    </row>
    <row r="42" spans="1:33" x14ac:dyDescent="0.2">
      <c r="A42" s="2"/>
      <c r="B42" s="2"/>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2"/>
    </row>
    <row r="43" spans="1:33" x14ac:dyDescent="0.2">
      <c r="A43" s="2"/>
      <c r="B43" s="2"/>
      <c r="C43" s="83"/>
      <c r="D43" s="83"/>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2"/>
    </row>
    <row r="44" spans="1:33" x14ac:dyDescent="0.2">
      <c r="A44" s="2"/>
      <c r="B44" s="2"/>
      <c r="C44" s="240" t="s">
        <v>1059</v>
      </c>
      <c r="D44" s="240"/>
      <c r="E44" s="240"/>
      <c r="F44" s="240"/>
      <c r="G44" s="240"/>
      <c r="H44" s="240"/>
      <c r="I44" s="240"/>
      <c r="J44" s="240"/>
      <c r="K44" s="240"/>
      <c r="L44" s="240"/>
      <c r="M44" s="240"/>
      <c r="N44" s="240"/>
      <c r="O44" s="240"/>
      <c r="P44" s="240"/>
      <c r="Q44" s="240"/>
      <c r="R44" s="240"/>
      <c r="S44" s="240"/>
      <c r="T44" s="240"/>
      <c r="U44" s="240"/>
      <c r="V44" s="240"/>
      <c r="W44" s="240"/>
      <c r="X44" s="240"/>
      <c r="Y44" s="240"/>
      <c r="Z44" s="240"/>
      <c r="AA44" s="240"/>
      <c r="AB44" s="240"/>
      <c r="AC44" s="240"/>
      <c r="AD44" s="240"/>
      <c r="AE44" s="240"/>
      <c r="AF44" s="240"/>
      <c r="AG44" s="240"/>
    </row>
    <row r="45" spans="1:33" x14ac:dyDescent="0.2">
      <c r="A45" s="2"/>
      <c r="B45" s="2"/>
      <c r="C45" s="240"/>
      <c r="D45" s="240"/>
      <c r="E45" s="240"/>
      <c r="F45" s="240"/>
      <c r="G45" s="240"/>
      <c r="H45" s="240"/>
      <c r="I45" s="240"/>
      <c r="J45" s="240"/>
      <c r="K45" s="240"/>
      <c r="L45" s="240"/>
      <c r="M45" s="240"/>
      <c r="N45" s="240"/>
      <c r="O45" s="240"/>
      <c r="P45" s="240"/>
      <c r="Q45" s="240"/>
      <c r="R45" s="240"/>
      <c r="S45" s="240"/>
      <c r="T45" s="240"/>
      <c r="U45" s="240"/>
      <c r="V45" s="240"/>
      <c r="W45" s="240"/>
      <c r="X45" s="240"/>
      <c r="Y45" s="240"/>
      <c r="Z45" s="240"/>
      <c r="AA45" s="240"/>
      <c r="AB45" s="240"/>
      <c r="AC45" s="240"/>
      <c r="AD45" s="240"/>
      <c r="AE45" s="240"/>
      <c r="AF45" s="240"/>
      <c r="AG45" s="240"/>
    </row>
    <row r="46" spans="1:33" x14ac:dyDescent="0.2">
      <c r="A46" s="2"/>
      <c r="B46" s="2"/>
      <c r="C46" s="83"/>
      <c r="D46" s="83"/>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2"/>
    </row>
    <row r="47" spans="1:33" x14ac:dyDescent="0.2">
      <c r="A47" s="2"/>
      <c r="B47" s="2"/>
      <c r="C47" s="240" t="s">
        <v>1060</v>
      </c>
      <c r="D47" s="240"/>
      <c r="E47" s="240"/>
      <c r="F47" s="240"/>
      <c r="G47" s="240"/>
      <c r="H47" s="240"/>
      <c r="I47" s="240"/>
      <c r="J47" s="240"/>
      <c r="K47" s="240"/>
      <c r="L47" s="240"/>
      <c r="M47" s="240"/>
      <c r="N47" s="240"/>
      <c r="O47" s="240"/>
      <c r="P47" s="240"/>
      <c r="Q47" s="240"/>
      <c r="R47" s="240"/>
      <c r="S47" s="240"/>
      <c r="T47" s="240"/>
      <c r="U47" s="240"/>
      <c r="V47" s="240"/>
      <c r="W47" s="240"/>
      <c r="X47" s="240"/>
      <c r="Y47" s="240"/>
      <c r="Z47" s="240"/>
      <c r="AA47" s="240"/>
      <c r="AB47" s="240"/>
      <c r="AC47" s="240"/>
      <c r="AD47" s="240"/>
      <c r="AE47" s="240"/>
      <c r="AF47" s="240"/>
      <c r="AG47" s="240"/>
    </row>
    <row r="48" spans="1:33" x14ac:dyDescent="0.2">
      <c r="A48" s="2"/>
      <c r="B48" s="2"/>
      <c r="C48" s="240"/>
      <c r="D48" s="240"/>
      <c r="E48" s="240"/>
      <c r="F48" s="240"/>
      <c r="G48" s="240"/>
      <c r="H48" s="240"/>
      <c r="I48" s="240"/>
      <c r="J48" s="240"/>
      <c r="K48" s="240"/>
      <c r="L48" s="240"/>
      <c r="M48" s="240"/>
      <c r="N48" s="240"/>
      <c r="O48" s="240"/>
      <c r="P48" s="240"/>
      <c r="Q48" s="240"/>
      <c r="R48" s="240"/>
      <c r="S48" s="240"/>
      <c r="T48" s="240"/>
      <c r="U48" s="240"/>
      <c r="V48" s="240"/>
      <c r="W48" s="240"/>
      <c r="X48" s="240"/>
      <c r="Y48" s="240"/>
      <c r="Z48" s="240"/>
      <c r="AA48" s="240"/>
      <c r="AB48" s="240"/>
      <c r="AC48" s="240"/>
      <c r="AD48" s="240"/>
      <c r="AE48" s="240"/>
      <c r="AF48" s="240"/>
      <c r="AG48" s="240"/>
    </row>
    <row r="49" spans="1:33" x14ac:dyDescent="0.2">
      <c r="A49" s="2"/>
      <c r="B49" s="2"/>
      <c r="C49" s="240"/>
      <c r="D49" s="240"/>
      <c r="E49" s="240"/>
      <c r="F49" s="240"/>
      <c r="G49" s="240"/>
      <c r="H49" s="240"/>
      <c r="I49" s="240"/>
      <c r="J49" s="240"/>
      <c r="K49" s="240"/>
      <c r="L49" s="240"/>
      <c r="M49" s="240"/>
      <c r="N49" s="240"/>
      <c r="O49" s="240"/>
      <c r="P49" s="240"/>
      <c r="Q49" s="240"/>
      <c r="R49" s="240"/>
      <c r="S49" s="240"/>
      <c r="T49" s="240"/>
      <c r="U49" s="240"/>
      <c r="V49" s="240"/>
      <c r="W49" s="240"/>
      <c r="X49" s="240"/>
      <c r="Y49" s="240"/>
      <c r="Z49" s="240"/>
      <c r="AA49" s="240"/>
      <c r="AB49" s="240"/>
      <c r="AC49" s="240"/>
      <c r="AD49" s="240"/>
      <c r="AE49" s="240"/>
      <c r="AF49" s="240"/>
      <c r="AG49" s="240"/>
    </row>
    <row r="50" spans="1:33" x14ac:dyDescent="0.2">
      <c r="A50" s="2"/>
      <c r="B50" s="2"/>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2"/>
    </row>
    <row r="51" spans="1:33" x14ac:dyDescent="0.2">
      <c r="A51" s="2"/>
      <c r="B51" s="2"/>
      <c r="C51" s="240" t="s">
        <v>1479</v>
      </c>
      <c r="D51" s="240"/>
      <c r="E51" s="240"/>
      <c r="F51" s="240"/>
      <c r="G51" s="240"/>
      <c r="H51" s="240"/>
      <c r="I51" s="240"/>
      <c r="J51" s="240"/>
      <c r="K51" s="240"/>
      <c r="L51" s="240"/>
      <c r="M51" s="240"/>
      <c r="N51" s="240"/>
      <c r="O51" s="240"/>
      <c r="P51" s="240"/>
      <c r="Q51" s="240"/>
      <c r="R51" s="240"/>
      <c r="S51" s="240"/>
      <c r="T51" s="240"/>
      <c r="U51" s="240"/>
      <c r="V51" s="240"/>
      <c r="W51" s="240"/>
      <c r="X51" s="240"/>
      <c r="Y51" s="240"/>
      <c r="Z51" s="240"/>
      <c r="AA51" s="240"/>
      <c r="AB51" s="240"/>
      <c r="AC51" s="240"/>
      <c r="AD51" s="240"/>
      <c r="AE51" s="240"/>
      <c r="AF51" s="240"/>
      <c r="AG51" s="240"/>
    </row>
    <row r="52" spans="1:33" x14ac:dyDescent="0.2">
      <c r="A52" s="2"/>
      <c r="B52" s="2"/>
      <c r="C52" s="240"/>
      <c r="D52" s="240"/>
      <c r="E52" s="240"/>
      <c r="F52" s="240"/>
      <c r="G52" s="240"/>
      <c r="H52" s="240"/>
      <c r="I52" s="240"/>
      <c r="J52" s="240"/>
      <c r="K52" s="240"/>
      <c r="L52" s="240"/>
      <c r="M52" s="240"/>
      <c r="N52" s="240"/>
      <c r="O52" s="240"/>
      <c r="P52" s="240"/>
      <c r="Q52" s="240"/>
      <c r="R52" s="240"/>
      <c r="S52" s="240"/>
      <c r="T52" s="240"/>
      <c r="U52" s="240"/>
      <c r="V52" s="240"/>
      <c r="W52" s="240"/>
      <c r="X52" s="240"/>
      <c r="Y52" s="240"/>
      <c r="Z52" s="240"/>
      <c r="AA52" s="240"/>
      <c r="AB52" s="240"/>
      <c r="AC52" s="240"/>
      <c r="AD52" s="240"/>
      <c r="AE52" s="240"/>
      <c r="AF52" s="240"/>
      <c r="AG52" s="240"/>
    </row>
    <row r="53" spans="1:33" x14ac:dyDescent="0.2">
      <c r="A53" s="2"/>
      <c r="B53" s="2"/>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2"/>
    </row>
    <row r="54" spans="1:33" x14ac:dyDescent="0.2">
      <c r="A54" s="2"/>
      <c r="B54" s="2"/>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2"/>
    </row>
    <row r="55" spans="1:33" x14ac:dyDescent="0.2">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row>
    <row r="56" spans="1:33" x14ac:dyDescent="0.2">
      <c r="A56" s="2"/>
      <c r="B56" s="2"/>
      <c r="C56" s="240" t="s">
        <v>1061</v>
      </c>
      <c r="D56" s="240"/>
      <c r="E56" s="240"/>
      <c r="F56" s="240"/>
      <c r="G56" s="240"/>
      <c r="H56" s="240"/>
      <c r="I56" s="240"/>
      <c r="J56" s="240"/>
      <c r="K56" s="240"/>
      <c r="L56" s="240"/>
      <c r="M56" s="240"/>
      <c r="N56" s="240"/>
      <c r="O56" s="240"/>
      <c r="P56" s="240"/>
      <c r="Q56" s="240"/>
      <c r="R56" s="240"/>
      <c r="S56" s="240"/>
      <c r="T56" s="240"/>
      <c r="U56" s="240"/>
      <c r="V56" s="240"/>
      <c r="W56" s="240"/>
      <c r="X56" s="240"/>
      <c r="Y56" s="240"/>
      <c r="Z56" s="240"/>
      <c r="AA56" s="240"/>
      <c r="AB56" s="240"/>
      <c r="AC56" s="240"/>
      <c r="AD56" s="240"/>
      <c r="AE56" s="240"/>
      <c r="AF56" s="240"/>
      <c r="AG56" s="2"/>
    </row>
    <row r="57" spans="1:33" x14ac:dyDescent="0.2">
      <c r="A57" s="2"/>
      <c r="B57" s="2"/>
      <c r="C57" s="240"/>
      <c r="D57" s="240"/>
      <c r="E57" s="240"/>
      <c r="F57" s="240"/>
      <c r="G57" s="240"/>
      <c r="H57" s="240"/>
      <c r="I57" s="240"/>
      <c r="J57" s="240"/>
      <c r="K57" s="240"/>
      <c r="L57" s="240"/>
      <c r="M57" s="240"/>
      <c r="N57" s="240"/>
      <c r="O57" s="240"/>
      <c r="P57" s="240"/>
      <c r="Q57" s="240"/>
      <c r="R57" s="240"/>
      <c r="S57" s="240"/>
      <c r="T57" s="240"/>
      <c r="U57" s="240"/>
      <c r="V57" s="240"/>
      <c r="W57" s="240"/>
      <c r="X57" s="240"/>
      <c r="Y57" s="240"/>
      <c r="Z57" s="240"/>
      <c r="AA57" s="240"/>
      <c r="AB57" s="240"/>
      <c r="AC57" s="240"/>
      <c r="AD57" s="240"/>
      <c r="AE57" s="240"/>
      <c r="AF57" s="240"/>
      <c r="AG57" s="2"/>
    </row>
    <row r="58" spans="1:33" x14ac:dyDescent="0.2">
      <c r="A58" s="2"/>
      <c r="B58" s="2"/>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2"/>
    </row>
    <row r="59" spans="1:33" ht="14.25" customHeight="1" x14ac:dyDescent="0.2">
      <c r="A59" s="2"/>
      <c r="B59" s="2"/>
      <c r="C59" s="19"/>
      <c r="D59" s="282" t="s">
        <v>1393</v>
      </c>
      <c r="E59" s="282"/>
      <c r="F59" s="282"/>
      <c r="G59" s="282"/>
      <c r="H59" s="282"/>
      <c r="I59" s="282"/>
      <c r="J59" s="282"/>
      <c r="K59" s="282"/>
      <c r="L59" s="282"/>
      <c r="M59" s="282"/>
      <c r="N59" s="282"/>
      <c r="O59" s="282"/>
      <c r="P59" s="282"/>
      <c r="Q59" s="282"/>
      <c r="R59" s="282"/>
      <c r="S59" s="282"/>
      <c r="T59" s="282"/>
      <c r="U59" s="282"/>
      <c r="V59" s="282"/>
      <c r="W59" s="282"/>
      <c r="X59" s="282"/>
      <c r="Y59" s="282"/>
      <c r="Z59" s="282"/>
      <c r="AA59" s="282"/>
      <c r="AB59" s="282"/>
      <c r="AC59" s="282"/>
      <c r="AD59" s="282"/>
      <c r="AE59" s="282"/>
      <c r="AF59" s="282"/>
      <c r="AG59" s="282"/>
    </row>
    <row r="60" spans="1:33" x14ac:dyDescent="0.2">
      <c r="A60" s="2"/>
      <c r="B60" s="2"/>
      <c r="C60" s="19"/>
      <c r="D60" s="282"/>
      <c r="E60" s="282"/>
      <c r="F60" s="282"/>
      <c r="G60" s="282"/>
      <c r="H60" s="282"/>
      <c r="I60" s="282"/>
      <c r="J60" s="282"/>
      <c r="K60" s="282"/>
      <c r="L60" s="282"/>
      <c r="M60" s="282"/>
      <c r="N60" s="282"/>
      <c r="O60" s="282"/>
      <c r="P60" s="282"/>
      <c r="Q60" s="282"/>
      <c r="R60" s="282"/>
      <c r="S60" s="282"/>
      <c r="T60" s="282"/>
      <c r="U60" s="282"/>
      <c r="V60" s="282"/>
      <c r="W60" s="282"/>
      <c r="X60" s="282"/>
      <c r="Y60" s="282"/>
      <c r="Z60" s="282"/>
      <c r="AA60" s="282"/>
      <c r="AB60" s="282"/>
      <c r="AC60" s="282"/>
      <c r="AD60" s="282"/>
      <c r="AE60" s="282"/>
      <c r="AF60" s="282"/>
      <c r="AG60" s="282"/>
    </row>
    <row r="61" spans="1:33" x14ac:dyDescent="0.2">
      <c r="A61" s="2"/>
      <c r="B61" s="2"/>
      <c r="C61" s="19"/>
      <c r="D61" s="282"/>
      <c r="E61" s="282"/>
      <c r="F61" s="282"/>
      <c r="G61" s="282"/>
      <c r="H61" s="282"/>
      <c r="I61" s="282"/>
      <c r="J61" s="282"/>
      <c r="K61" s="282"/>
      <c r="L61" s="282"/>
      <c r="M61" s="282"/>
      <c r="N61" s="282"/>
      <c r="O61" s="282"/>
      <c r="P61" s="282"/>
      <c r="Q61" s="282"/>
      <c r="R61" s="282"/>
      <c r="S61" s="282"/>
      <c r="T61" s="282"/>
      <c r="U61" s="282"/>
      <c r="V61" s="282"/>
      <c r="W61" s="282"/>
      <c r="X61" s="282"/>
      <c r="Y61" s="282"/>
      <c r="Z61" s="282"/>
      <c r="AA61" s="282"/>
      <c r="AB61" s="282"/>
      <c r="AC61" s="282"/>
      <c r="AD61" s="282"/>
      <c r="AE61" s="282"/>
      <c r="AF61" s="282"/>
      <c r="AG61" s="282"/>
    </row>
    <row r="62" spans="1:33" x14ac:dyDescent="0.2">
      <c r="A62" s="2"/>
      <c r="B62" s="2"/>
      <c r="C62" s="19"/>
      <c r="D62" s="282"/>
      <c r="E62" s="282"/>
      <c r="F62" s="282"/>
      <c r="G62" s="282"/>
      <c r="H62" s="282"/>
      <c r="I62" s="282"/>
      <c r="J62" s="282"/>
      <c r="K62" s="282"/>
      <c r="L62" s="282"/>
      <c r="M62" s="282"/>
      <c r="N62" s="282"/>
      <c r="O62" s="282"/>
      <c r="P62" s="282"/>
      <c r="Q62" s="282"/>
      <c r="R62" s="282"/>
      <c r="S62" s="282"/>
      <c r="T62" s="282"/>
      <c r="U62" s="282"/>
      <c r="V62" s="282"/>
      <c r="W62" s="282"/>
      <c r="X62" s="282"/>
      <c r="Y62" s="282"/>
      <c r="Z62" s="282"/>
      <c r="AA62" s="282"/>
      <c r="AB62" s="282"/>
      <c r="AC62" s="282"/>
      <c r="AD62" s="282"/>
      <c r="AE62" s="282"/>
      <c r="AF62" s="282"/>
      <c r="AG62" s="282"/>
    </row>
    <row r="63" spans="1:33" x14ac:dyDescent="0.2">
      <c r="A63" s="2"/>
      <c r="B63" s="2"/>
      <c r="C63" s="19"/>
      <c r="D63" s="282"/>
      <c r="E63" s="282"/>
      <c r="F63" s="282"/>
      <c r="G63" s="282"/>
      <c r="H63" s="282"/>
      <c r="I63" s="282"/>
      <c r="J63" s="282"/>
      <c r="K63" s="282"/>
      <c r="L63" s="282"/>
      <c r="M63" s="282"/>
      <c r="N63" s="282"/>
      <c r="O63" s="282"/>
      <c r="P63" s="282"/>
      <c r="Q63" s="282"/>
      <c r="R63" s="282"/>
      <c r="S63" s="282"/>
      <c r="T63" s="282"/>
      <c r="U63" s="282"/>
      <c r="V63" s="282"/>
      <c r="W63" s="282"/>
      <c r="X63" s="282"/>
      <c r="Y63" s="282"/>
      <c r="Z63" s="282"/>
      <c r="AA63" s="282"/>
      <c r="AB63" s="282"/>
      <c r="AC63" s="282"/>
      <c r="AD63" s="282"/>
      <c r="AE63" s="282"/>
      <c r="AF63" s="282"/>
      <c r="AG63" s="282"/>
    </row>
    <row r="64" spans="1:33" x14ac:dyDescent="0.2">
      <c r="A64" s="2"/>
      <c r="B64" s="2"/>
      <c r="C64" s="19"/>
      <c r="D64" s="282"/>
      <c r="E64" s="282"/>
      <c r="F64" s="282"/>
      <c r="G64" s="282"/>
      <c r="H64" s="282"/>
      <c r="I64" s="282"/>
      <c r="J64" s="282"/>
      <c r="K64" s="282"/>
      <c r="L64" s="282"/>
      <c r="M64" s="282"/>
      <c r="N64" s="282"/>
      <c r="O64" s="282"/>
      <c r="P64" s="282"/>
      <c r="Q64" s="282"/>
      <c r="R64" s="282"/>
      <c r="S64" s="282"/>
      <c r="T64" s="282"/>
      <c r="U64" s="282"/>
      <c r="V64" s="282"/>
      <c r="W64" s="282"/>
      <c r="X64" s="282"/>
      <c r="Y64" s="282"/>
      <c r="Z64" s="282"/>
      <c r="AA64" s="282"/>
      <c r="AB64" s="282"/>
      <c r="AC64" s="282"/>
      <c r="AD64" s="282"/>
      <c r="AE64" s="282"/>
      <c r="AF64" s="282"/>
      <c r="AG64" s="282"/>
    </row>
    <row r="65" spans="1:33" x14ac:dyDescent="0.2">
      <c r="A65" s="2"/>
      <c r="B65" s="2"/>
      <c r="C65" s="19"/>
      <c r="D65" s="282"/>
      <c r="E65" s="282"/>
      <c r="F65" s="282"/>
      <c r="G65" s="282"/>
      <c r="H65" s="282"/>
      <c r="I65" s="282"/>
      <c r="J65" s="282"/>
      <c r="K65" s="282"/>
      <c r="L65" s="282"/>
      <c r="M65" s="282"/>
      <c r="N65" s="282"/>
      <c r="O65" s="282"/>
      <c r="P65" s="282"/>
      <c r="Q65" s="282"/>
      <c r="R65" s="282"/>
      <c r="S65" s="282"/>
      <c r="T65" s="282"/>
      <c r="U65" s="282"/>
      <c r="V65" s="282"/>
      <c r="W65" s="282"/>
      <c r="X65" s="282"/>
      <c r="Y65" s="282"/>
      <c r="Z65" s="282"/>
      <c r="AA65" s="282"/>
      <c r="AB65" s="282"/>
      <c r="AC65" s="282"/>
      <c r="AD65" s="282"/>
      <c r="AE65" s="282"/>
      <c r="AF65" s="282"/>
      <c r="AG65" s="282"/>
    </row>
    <row r="66" spans="1:33" x14ac:dyDescent="0.2">
      <c r="A66" s="2"/>
      <c r="B66" s="2"/>
      <c r="C66" s="19"/>
      <c r="D66" s="282"/>
      <c r="E66" s="282"/>
      <c r="F66" s="282"/>
      <c r="G66" s="282"/>
      <c r="H66" s="282"/>
      <c r="I66" s="282"/>
      <c r="J66" s="282"/>
      <c r="K66" s="282"/>
      <c r="L66" s="282"/>
      <c r="M66" s="282"/>
      <c r="N66" s="282"/>
      <c r="O66" s="282"/>
      <c r="P66" s="282"/>
      <c r="Q66" s="282"/>
      <c r="R66" s="282"/>
      <c r="S66" s="282"/>
      <c r="T66" s="282"/>
      <c r="U66" s="282"/>
      <c r="V66" s="282"/>
      <c r="W66" s="282"/>
      <c r="X66" s="282"/>
      <c r="Y66" s="282"/>
      <c r="Z66" s="282"/>
      <c r="AA66" s="282"/>
      <c r="AB66" s="282"/>
      <c r="AC66" s="282"/>
      <c r="AD66" s="282"/>
      <c r="AE66" s="282"/>
      <c r="AF66" s="282"/>
      <c r="AG66" s="282"/>
    </row>
    <row r="67" spans="1:33" x14ac:dyDescent="0.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row>
    <row r="68" spans="1:33" x14ac:dyDescent="0.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row>
    <row r="69" spans="1:33" x14ac:dyDescent="0.2">
      <c r="A69" s="2"/>
      <c r="B69" s="2"/>
      <c r="C69" s="240" t="s">
        <v>275</v>
      </c>
      <c r="D69" s="240"/>
      <c r="E69" s="240"/>
      <c r="F69" s="240"/>
      <c r="G69" s="240"/>
      <c r="H69" s="240"/>
      <c r="I69" s="240"/>
      <c r="J69" s="240"/>
      <c r="K69" s="240"/>
      <c r="L69" s="240"/>
      <c r="M69" s="240"/>
      <c r="N69" s="240"/>
      <c r="O69" s="240"/>
      <c r="P69" s="240"/>
      <c r="Q69" s="240"/>
      <c r="R69" s="240"/>
      <c r="S69" s="240"/>
      <c r="T69" s="240"/>
      <c r="U69" s="240"/>
      <c r="V69" s="240"/>
      <c r="W69" s="240"/>
      <c r="X69" s="240"/>
      <c r="Y69" s="240"/>
      <c r="Z69" s="240"/>
      <c r="AA69" s="240"/>
      <c r="AB69" s="240"/>
      <c r="AC69" s="240"/>
      <c r="AD69" s="240"/>
      <c r="AE69" s="240"/>
      <c r="AF69" s="240"/>
      <c r="AG69" s="2"/>
    </row>
    <row r="70" spans="1:33" x14ac:dyDescent="0.2">
      <c r="A70" s="2"/>
      <c r="B70" s="2"/>
      <c r="C70" s="232" t="s">
        <v>1062</v>
      </c>
      <c r="D70" s="232"/>
      <c r="E70" s="232"/>
      <c r="F70" s="232"/>
      <c r="G70" s="232"/>
      <c r="H70" s="232"/>
      <c r="I70" s="232"/>
      <c r="J70" s="232"/>
      <c r="K70" s="232"/>
      <c r="L70" s="232"/>
      <c r="M70" s="232"/>
      <c r="N70" s="232"/>
      <c r="O70" s="232"/>
      <c r="P70" s="232"/>
      <c r="Q70" s="232"/>
      <c r="R70" s="232"/>
      <c r="S70" s="232"/>
      <c r="T70" s="232"/>
      <c r="U70" s="232"/>
      <c r="V70" s="232"/>
      <c r="W70" s="232"/>
      <c r="X70" s="232"/>
      <c r="Y70" s="232"/>
      <c r="Z70" s="232"/>
      <c r="AA70" s="232"/>
      <c r="AB70" s="232"/>
      <c r="AC70" s="232"/>
      <c r="AD70" s="232"/>
      <c r="AE70" s="232"/>
      <c r="AF70" s="232"/>
      <c r="AG70" s="232"/>
    </row>
    <row r="71" spans="1:33" x14ac:dyDescent="0.2">
      <c r="A71" s="2"/>
      <c r="B71" s="2"/>
      <c r="C71" s="232"/>
      <c r="D71" s="232"/>
      <c r="E71" s="232"/>
      <c r="F71" s="232"/>
      <c r="G71" s="232"/>
      <c r="H71" s="232"/>
      <c r="I71" s="232"/>
      <c r="J71" s="232"/>
      <c r="K71" s="232"/>
      <c r="L71" s="232"/>
      <c r="M71" s="232"/>
      <c r="N71" s="232"/>
      <c r="O71" s="232"/>
      <c r="P71" s="232"/>
      <c r="Q71" s="232"/>
      <c r="R71" s="232"/>
      <c r="S71" s="232"/>
      <c r="T71" s="232"/>
      <c r="U71" s="232"/>
      <c r="V71" s="232"/>
      <c r="W71" s="232"/>
      <c r="X71" s="232"/>
      <c r="Y71" s="232"/>
      <c r="Z71" s="232"/>
      <c r="AA71" s="232"/>
      <c r="AB71" s="232"/>
      <c r="AC71" s="232"/>
      <c r="AD71" s="232"/>
      <c r="AE71" s="232"/>
      <c r="AF71" s="232"/>
      <c r="AG71" s="232"/>
    </row>
    <row r="72" spans="1:33" x14ac:dyDescent="0.2">
      <c r="A72" s="2"/>
      <c r="B72" s="2"/>
      <c r="C72" s="2" t="s">
        <v>1065</v>
      </c>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row>
    <row r="73" spans="1:33" x14ac:dyDescent="0.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row>
    <row r="74" spans="1:33" x14ac:dyDescent="0.2">
      <c r="A74" s="2"/>
      <c r="B74" s="2"/>
      <c r="C74" s="232" t="s">
        <v>1063</v>
      </c>
      <c r="D74" s="232"/>
      <c r="E74" s="232"/>
      <c r="F74" s="232"/>
      <c r="G74" s="232"/>
      <c r="H74" s="232"/>
      <c r="I74" s="232"/>
      <c r="J74" s="232"/>
      <c r="K74" s="232"/>
      <c r="L74" s="232"/>
      <c r="M74" s="232"/>
      <c r="N74" s="232"/>
      <c r="O74" s="232"/>
      <c r="P74" s="232"/>
      <c r="Q74" s="232"/>
      <c r="R74" s="232"/>
      <c r="S74" s="232"/>
      <c r="T74" s="232"/>
      <c r="U74" s="232"/>
      <c r="V74" s="232"/>
      <c r="W74" s="232"/>
      <c r="X74" s="232"/>
      <c r="Y74" s="232"/>
      <c r="Z74" s="232"/>
      <c r="AA74" s="232"/>
      <c r="AB74" s="232"/>
      <c r="AC74" s="232"/>
      <c r="AD74" s="232"/>
      <c r="AE74" s="232"/>
      <c r="AF74" s="232"/>
      <c r="AG74" s="232"/>
    </row>
    <row r="75" spans="1:33" x14ac:dyDescent="0.2">
      <c r="A75" s="2"/>
      <c r="B75" s="2"/>
      <c r="C75" s="232"/>
      <c r="D75" s="232"/>
      <c r="E75" s="232"/>
      <c r="F75" s="232"/>
      <c r="G75" s="232"/>
      <c r="H75" s="232"/>
      <c r="I75" s="232"/>
      <c r="J75" s="232"/>
      <c r="K75" s="232"/>
      <c r="L75" s="232"/>
      <c r="M75" s="232"/>
      <c r="N75" s="232"/>
      <c r="O75" s="232"/>
      <c r="P75" s="232"/>
      <c r="Q75" s="232"/>
      <c r="R75" s="232"/>
      <c r="S75" s="232"/>
      <c r="T75" s="232"/>
      <c r="U75" s="232"/>
      <c r="V75" s="232"/>
      <c r="W75" s="232"/>
      <c r="X75" s="232"/>
      <c r="Y75" s="232"/>
      <c r="Z75" s="232"/>
      <c r="AA75" s="232"/>
      <c r="AB75" s="232"/>
      <c r="AC75" s="232"/>
      <c r="AD75" s="232"/>
      <c r="AE75" s="232"/>
      <c r="AF75" s="232"/>
      <c r="AG75" s="232"/>
    </row>
    <row r="76" spans="1:33" x14ac:dyDescent="0.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row>
    <row r="77" spans="1:33" x14ac:dyDescent="0.2">
      <c r="A77" s="2"/>
      <c r="B77" s="2"/>
      <c r="C77" s="232" t="s">
        <v>1394</v>
      </c>
      <c r="D77" s="232"/>
      <c r="E77" s="232"/>
      <c r="F77" s="232"/>
      <c r="G77" s="232"/>
      <c r="H77" s="232"/>
      <c r="I77" s="232"/>
      <c r="J77" s="232"/>
      <c r="K77" s="232"/>
      <c r="L77" s="232"/>
      <c r="M77" s="232"/>
      <c r="N77" s="232"/>
      <c r="O77" s="232"/>
      <c r="P77" s="232"/>
      <c r="Q77" s="232"/>
      <c r="R77" s="232"/>
      <c r="S77" s="232"/>
      <c r="T77" s="232"/>
      <c r="U77" s="232"/>
      <c r="V77" s="232"/>
      <c r="W77" s="232"/>
      <c r="X77" s="232"/>
      <c r="Y77" s="232"/>
      <c r="Z77" s="232"/>
      <c r="AA77" s="232"/>
      <c r="AB77" s="232"/>
      <c r="AC77" s="232"/>
      <c r="AD77" s="232"/>
      <c r="AE77" s="232"/>
      <c r="AF77" s="232"/>
      <c r="AG77" s="232"/>
    </row>
    <row r="78" spans="1:33" x14ac:dyDescent="0.2">
      <c r="A78" s="2"/>
      <c r="B78" s="2"/>
      <c r="C78" s="232"/>
      <c r="D78" s="232"/>
      <c r="E78" s="232"/>
      <c r="F78" s="232"/>
      <c r="G78" s="232"/>
      <c r="H78" s="232"/>
      <c r="I78" s="232"/>
      <c r="J78" s="232"/>
      <c r="K78" s="232"/>
      <c r="L78" s="232"/>
      <c r="M78" s="232"/>
      <c r="N78" s="232"/>
      <c r="O78" s="232"/>
      <c r="P78" s="232"/>
      <c r="Q78" s="232"/>
      <c r="R78" s="232"/>
      <c r="S78" s="232"/>
      <c r="T78" s="232"/>
      <c r="U78" s="232"/>
      <c r="V78" s="232"/>
      <c r="W78" s="232"/>
      <c r="X78" s="232"/>
      <c r="Y78" s="232"/>
      <c r="Z78" s="232"/>
      <c r="AA78" s="232"/>
      <c r="AB78" s="232"/>
      <c r="AC78" s="232"/>
      <c r="AD78" s="232"/>
      <c r="AE78" s="232"/>
      <c r="AF78" s="232"/>
      <c r="AG78" s="232"/>
    </row>
    <row r="79" spans="1:33" x14ac:dyDescent="0.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row>
    <row r="80" spans="1:33" x14ac:dyDescent="0.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row>
    <row r="81" spans="1:33" x14ac:dyDescent="0.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row>
    <row r="82" spans="1:33" x14ac:dyDescent="0.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row>
    <row r="83" spans="1:33" x14ac:dyDescent="0.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row>
    <row r="84" spans="1:33" x14ac:dyDescent="0.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row>
    <row r="85" spans="1:33" x14ac:dyDescent="0.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row>
    <row r="86" spans="1:33" x14ac:dyDescent="0.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row>
  </sheetData>
  <mergeCells count="11">
    <mergeCell ref="C69:AF69"/>
    <mergeCell ref="C74:AG75"/>
    <mergeCell ref="C77:AG78"/>
    <mergeCell ref="C70:AG71"/>
    <mergeCell ref="D59:AG66"/>
    <mergeCell ref="C4:AF4"/>
    <mergeCell ref="C5:AG7"/>
    <mergeCell ref="C44:AG45"/>
    <mergeCell ref="C47:AG49"/>
    <mergeCell ref="C56:AF57"/>
    <mergeCell ref="C51:AG52"/>
  </mergeCells>
  <pageMargins left="0.7" right="0.7" top="1.25" bottom="0.75" header="0.3" footer="0.3"/>
  <pageSetup scale="87" fitToHeight="0" orientation="portrait" horizontalDpi="1200" verticalDpi="1200" r:id="rId1"/>
  <headerFooter>
    <oddHeader>&amp;L&amp;G
Client: Keyera
Project No: F3KY&amp;C&amp;G&amp;RDesigned By: CW
Checked By: JS
Date: 13-MAY-2026
Revision: 0</oddHeader>
    <oddFooter>&amp;LContractor Document No:  F3KY-215-CAL-047</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43C30-14E4-4CA0-95B7-B694161CF050}">
  <sheetPr codeName="Sheet8">
    <pageSetUpPr fitToPage="1"/>
  </sheetPr>
  <dimension ref="A1:AS472"/>
  <sheetViews>
    <sheetView view="pageBreakPreview" zoomScale="130" zoomScaleNormal="100" zoomScaleSheetLayoutView="130" zoomScalePageLayoutView="85" workbookViewId="0">
      <selection activeCell="AI10" sqref="AI10"/>
    </sheetView>
  </sheetViews>
  <sheetFormatPr defaultRowHeight="14.25" x14ac:dyDescent="0.2"/>
  <cols>
    <col min="1" max="33" width="3.140625" style="1" customWidth="1"/>
    <col min="34" max="16384" width="9.140625" style="1"/>
  </cols>
  <sheetData>
    <row r="1" spans="1:45" x14ac:dyDescent="0.2">
      <c r="AI1" s="1" t="s">
        <v>0</v>
      </c>
      <c r="AS1" s="1" t="s">
        <v>146</v>
      </c>
    </row>
    <row r="2" spans="1:45" ht="15" x14ac:dyDescent="0.25">
      <c r="B2" s="4" t="s">
        <v>1067</v>
      </c>
      <c r="AI2" s="1" t="s">
        <v>77</v>
      </c>
      <c r="AS2" s="1" t="s">
        <v>147</v>
      </c>
    </row>
    <row r="3" spans="1:45" x14ac:dyDescent="0.2">
      <c r="A3" s="2"/>
      <c r="B3" s="232" t="s">
        <v>1189</v>
      </c>
      <c r="C3" s="232"/>
      <c r="D3" s="232"/>
      <c r="E3" s="232"/>
      <c r="F3" s="232"/>
      <c r="G3" s="232"/>
      <c r="H3" s="232"/>
      <c r="I3" s="232"/>
      <c r="J3" s="232"/>
      <c r="K3" s="232"/>
      <c r="L3" s="232"/>
      <c r="M3" s="232"/>
      <c r="N3" s="232"/>
      <c r="O3" s="232"/>
      <c r="P3" s="232"/>
      <c r="Q3" s="232"/>
      <c r="R3" s="232"/>
      <c r="S3" s="232"/>
      <c r="T3" s="232"/>
      <c r="U3" s="232"/>
      <c r="V3" s="232"/>
      <c r="W3" s="232"/>
      <c r="X3" s="232"/>
      <c r="Y3" s="232"/>
      <c r="Z3" s="232"/>
      <c r="AA3" s="232"/>
      <c r="AB3" s="232"/>
      <c r="AC3" s="232"/>
      <c r="AD3" s="232"/>
      <c r="AE3" s="232"/>
      <c r="AF3" s="232"/>
      <c r="AG3" s="232"/>
      <c r="AI3" s="1" t="s">
        <v>150</v>
      </c>
      <c r="AS3" s="1" t="s">
        <v>148</v>
      </c>
    </row>
    <row r="4" spans="1:45" x14ac:dyDescent="0.2">
      <c r="A4" s="2"/>
      <c r="B4" s="232"/>
      <c r="C4" s="232"/>
      <c r="D4" s="232"/>
      <c r="E4" s="232"/>
      <c r="F4" s="232"/>
      <c r="G4" s="232"/>
      <c r="H4" s="232"/>
      <c r="I4" s="232"/>
      <c r="J4" s="232"/>
      <c r="K4" s="232"/>
      <c r="L4" s="232"/>
      <c r="M4" s="232"/>
      <c r="N4" s="232"/>
      <c r="O4" s="232"/>
      <c r="P4" s="232"/>
      <c r="Q4" s="232"/>
      <c r="R4" s="232"/>
      <c r="S4" s="232"/>
      <c r="T4" s="232"/>
      <c r="U4" s="232"/>
      <c r="V4" s="232"/>
      <c r="W4" s="232"/>
      <c r="X4" s="232"/>
      <c r="Y4" s="232"/>
      <c r="Z4" s="232"/>
      <c r="AA4" s="232"/>
      <c r="AB4" s="232"/>
      <c r="AC4" s="232"/>
      <c r="AD4" s="232"/>
      <c r="AE4" s="232"/>
      <c r="AF4" s="232"/>
      <c r="AG4" s="232"/>
    </row>
    <row r="5" spans="1:45" x14ac:dyDescent="0.2">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row>
    <row r="6" spans="1:45" x14ac:dyDescent="0.2">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row>
    <row r="7" spans="1:45" ht="15" x14ac:dyDescent="0.25">
      <c r="A7" s="2"/>
      <c r="B7" s="4" t="s">
        <v>1068</v>
      </c>
    </row>
    <row r="8" spans="1:45" x14ac:dyDescent="0.2">
      <c r="A8" s="2"/>
      <c r="B8" s="232" t="s">
        <v>1645</v>
      </c>
      <c r="C8" s="232"/>
      <c r="D8" s="232"/>
      <c r="E8" s="232"/>
      <c r="F8" s="232"/>
      <c r="G8" s="232"/>
      <c r="H8" s="232"/>
      <c r="I8" s="232"/>
      <c r="J8" s="232"/>
      <c r="K8" s="232"/>
      <c r="L8" s="232"/>
      <c r="M8" s="232"/>
      <c r="N8" s="232"/>
      <c r="O8" s="232"/>
      <c r="P8" s="232"/>
      <c r="Q8" s="232"/>
      <c r="R8" s="232"/>
      <c r="S8" s="232"/>
      <c r="T8" s="232"/>
      <c r="U8" s="232"/>
      <c r="V8" s="232"/>
      <c r="W8" s="232"/>
      <c r="X8" s="232"/>
      <c r="Y8" s="232"/>
      <c r="Z8" s="232"/>
      <c r="AA8" s="232"/>
      <c r="AB8" s="232"/>
      <c r="AC8" s="232"/>
      <c r="AD8" s="232"/>
      <c r="AE8" s="232"/>
      <c r="AF8" s="232"/>
      <c r="AG8" s="232"/>
    </row>
    <row r="9" spans="1:45" x14ac:dyDescent="0.2">
      <c r="A9" s="2"/>
      <c r="B9" s="232"/>
      <c r="C9" s="232"/>
      <c r="D9" s="232"/>
      <c r="E9" s="232"/>
      <c r="F9" s="232"/>
      <c r="G9" s="232"/>
      <c r="H9" s="232"/>
      <c r="I9" s="232"/>
      <c r="J9" s="232"/>
      <c r="K9" s="232"/>
      <c r="L9" s="232"/>
      <c r="M9" s="232"/>
      <c r="N9" s="232"/>
      <c r="O9" s="232"/>
      <c r="P9" s="232"/>
      <c r="Q9" s="232"/>
      <c r="R9" s="232"/>
      <c r="S9" s="232"/>
      <c r="T9" s="232"/>
      <c r="U9" s="232"/>
      <c r="V9" s="232"/>
      <c r="W9" s="232"/>
      <c r="X9" s="232"/>
      <c r="Y9" s="232"/>
      <c r="Z9" s="232"/>
      <c r="AA9" s="232"/>
      <c r="AB9" s="232"/>
      <c r="AC9" s="232"/>
      <c r="AD9" s="232"/>
      <c r="AE9" s="232"/>
      <c r="AF9" s="232"/>
      <c r="AG9" s="232"/>
    </row>
    <row r="10" spans="1:45" x14ac:dyDescent="0.2">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row>
    <row r="11" spans="1:45" x14ac:dyDescent="0.2">
      <c r="A11" s="2"/>
      <c r="B11" s="2"/>
      <c r="C11" s="2"/>
      <c r="D11" s="2"/>
      <c r="E11" s="2"/>
      <c r="F11" s="2"/>
      <c r="G11" s="2"/>
      <c r="H11" s="21" t="s">
        <v>1070</v>
      </c>
      <c r="I11" s="13" t="s">
        <v>332</v>
      </c>
      <c r="J11" s="284">
        <v>300</v>
      </c>
      <c r="K11" s="284"/>
      <c r="L11" s="284"/>
      <c r="M11" s="2" t="s">
        <v>333</v>
      </c>
      <c r="N11" s="13" t="s">
        <v>332</v>
      </c>
      <c r="O11" s="283">
        <v>224</v>
      </c>
      <c r="P11" s="283"/>
      <c r="Q11" s="283"/>
      <c r="R11" s="2" t="s">
        <v>1395</v>
      </c>
      <c r="S11" s="2"/>
      <c r="T11" s="2"/>
      <c r="U11" s="2"/>
      <c r="V11" s="2"/>
      <c r="W11" s="2"/>
      <c r="X11" s="2"/>
      <c r="Y11" s="2"/>
      <c r="Z11" s="2"/>
      <c r="AA11" s="2"/>
      <c r="AB11" s="2"/>
      <c r="AC11" s="2"/>
      <c r="AD11" s="2"/>
      <c r="AE11" s="2"/>
      <c r="AF11" s="2"/>
      <c r="AG11" s="2"/>
    </row>
    <row r="12" spans="1:45" ht="15.75" x14ac:dyDescent="0.3">
      <c r="A12" s="2"/>
      <c r="B12" s="2"/>
      <c r="C12" s="2"/>
      <c r="D12" s="2"/>
      <c r="E12" s="2"/>
      <c r="F12" s="2"/>
      <c r="G12" s="2"/>
      <c r="H12" s="21" t="s">
        <v>1153</v>
      </c>
      <c r="I12" s="13" t="s">
        <v>332</v>
      </c>
      <c r="J12" s="284">
        <v>3600</v>
      </c>
      <c r="K12" s="284"/>
      <c r="L12" s="284"/>
      <c r="M12" s="2" t="s">
        <v>336</v>
      </c>
      <c r="N12" s="2"/>
      <c r="O12" s="2"/>
      <c r="P12" s="2"/>
      <c r="Q12" s="2"/>
      <c r="R12" s="2"/>
      <c r="S12" s="2"/>
      <c r="T12" s="2"/>
      <c r="U12" s="2"/>
      <c r="V12" s="2"/>
      <c r="W12" s="2"/>
      <c r="X12" s="2"/>
      <c r="Y12" s="2"/>
      <c r="Z12" s="2"/>
      <c r="AA12" s="2"/>
      <c r="AB12" s="2"/>
      <c r="AC12" s="2"/>
      <c r="AD12" s="2"/>
      <c r="AE12" s="2"/>
      <c r="AF12" s="2"/>
      <c r="AG12" s="2"/>
    </row>
    <row r="13" spans="1:45" x14ac:dyDescent="0.2">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row>
    <row r="14" spans="1:45" x14ac:dyDescent="0.2">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row>
    <row r="15" spans="1:45" x14ac:dyDescent="0.2">
      <c r="A15" s="2"/>
      <c r="B15" s="2"/>
      <c r="D15" s="16" t="s">
        <v>1071</v>
      </c>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row>
    <row r="16" spans="1:45" x14ac:dyDescent="0.2">
      <c r="A16" s="2"/>
      <c r="B16" s="2"/>
      <c r="C16" s="2"/>
      <c r="D16" s="2"/>
      <c r="E16" s="2"/>
      <c r="F16" s="2"/>
      <c r="G16" s="2"/>
      <c r="H16" s="21" t="s">
        <v>338</v>
      </c>
      <c r="I16" s="13" t="s">
        <v>332</v>
      </c>
      <c r="J16" s="284">
        <v>724</v>
      </c>
      <c r="K16" s="284"/>
      <c r="L16" s="284"/>
      <c r="M16" s="2" t="s">
        <v>334</v>
      </c>
      <c r="N16" s="13" t="s">
        <v>332</v>
      </c>
      <c r="O16" s="231">
        <f>J16*9.81/1000</f>
        <v>7.1024400000000005</v>
      </c>
      <c r="P16" s="231"/>
      <c r="Q16" s="231"/>
      <c r="R16" s="2" t="s">
        <v>335</v>
      </c>
      <c r="S16" s="2"/>
      <c r="T16" s="2"/>
      <c r="U16" s="2"/>
      <c r="V16" s="2"/>
      <c r="W16" s="2"/>
      <c r="X16" s="2"/>
      <c r="Y16" s="2"/>
      <c r="Z16" s="2"/>
      <c r="AA16" s="2"/>
      <c r="AB16" s="2"/>
      <c r="AC16" s="2"/>
      <c r="AD16" s="2"/>
      <c r="AE16" s="2"/>
      <c r="AF16" s="2"/>
      <c r="AG16" s="2"/>
    </row>
    <row r="17" spans="1:33" x14ac:dyDescent="0.2">
      <c r="A17" s="2"/>
      <c r="B17" s="2"/>
      <c r="C17" s="2"/>
      <c r="D17" s="2"/>
      <c r="E17" s="2"/>
      <c r="F17" s="2"/>
      <c r="G17" s="2"/>
      <c r="H17" s="21" t="s">
        <v>1072</v>
      </c>
      <c r="I17" s="13" t="s">
        <v>332</v>
      </c>
      <c r="J17" s="284">
        <v>1131</v>
      </c>
      <c r="K17" s="284"/>
      <c r="L17" s="284"/>
      <c r="M17" s="2" t="s">
        <v>334</v>
      </c>
      <c r="N17" s="13" t="s">
        <v>332</v>
      </c>
      <c r="O17" s="231">
        <f t="shared" ref="O17:O19" si="0">J17*9.81/1000</f>
        <v>11.09511</v>
      </c>
      <c r="P17" s="231"/>
      <c r="Q17" s="231"/>
      <c r="R17" s="2" t="s">
        <v>335</v>
      </c>
      <c r="S17" s="2"/>
      <c r="T17" s="2"/>
      <c r="U17" s="2"/>
      <c r="V17" s="2"/>
      <c r="W17" s="2"/>
      <c r="X17" s="2"/>
      <c r="Y17" s="2"/>
      <c r="Z17" s="2"/>
      <c r="AA17" s="2"/>
      <c r="AB17" s="2"/>
      <c r="AC17" s="2"/>
      <c r="AD17" s="2"/>
      <c r="AE17" s="2"/>
      <c r="AF17" s="2"/>
      <c r="AG17" s="2"/>
    </row>
    <row r="18" spans="1:33" x14ac:dyDescent="0.2">
      <c r="A18" s="2"/>
      <c r="B18" s="2"/>
      <c r="C18" s="2"/>
      <c r="D18" s="2"/>
      <c r="E18" s="2"/>
      <c r="F18" s="2"/>
      <c r="G18" s="2"/>
      <c r="H18" s="21" t="s">
        <v>836</v>
      </c>
      <c r="I18" s="13" t="s">
        <v>332</v>
      </c>
      <c r="J18" s="284">
        <v>1800</v>
      </c>
      <c r="K18" s="284"/>
      <c r="L18" s="284"/>
      <c r="M18" s="2" t="s">
        <v>334</v>
      </c>
      <c r="N18" s="13" t="s">
        <v>332</v>
      </c>
      <c r="O18" s="231">
        <f t="shared" si="0"/>
        <v>17.658000000000001</v>
      </c>
      <c r="P18" s="231"/>
      <c r="Q18" s="231"/>
      <c r="R18" s="2" t="s">
        <v>335</v>
      </c>
      <c r="S18" s="2"/>
      <c r="T18" s="2"/>
      <c r="U18" s="2"/>
      <c r="V18" s="2"/>
      <c r="W18" s="2"/>
      <c r="X18" s="2"/>
      <c r="Y18" s="2"/>
      <c r="Z18" s="2"/>
      <c r="AA18" s="2"/>
      <c r="AB18" s="2"/>
      <c r="AC18" s="2"/>
      <c r="AD18" s="2"/>
      <c r="AE18" s="2"/>
      <c r="AF18" s="2"/>
      <c r="AG18" s="2"/>
    </row>
    <row r="19" spans="1:33" x14ac:dyDescent="0.2">
      <c r="A19" s="2"/>
      <c r="B19" s="2"/>
      <c r="C19" s="2"/>
      <c r="D19" s="2"/>
      <c r="E19" s="2"/>
      <c r="F19" s="2"/>
      <c r="G19" s="2"/>
      <c r="H19" s="21" t="s">
        <v>1069</v>
      </c>
      <c r="I19" s="13" t="s">
        <v>332</v>
      </c>
      <c r="J19" s="284">
        <v>84</v>
      </c>
      <c r="K19" s="284"/>
      <c r="L19" s="284"/>
      <c r="M19" s="2" t="s">
        <v>334</v>
      </c>
      <c r="N19" s="13" t="s">
        <v>332</v>
      </c>
      <c r="O19" s="231">
        <f t="shared" si="0"/>
        <v>0.82404000000000011</v>
      </c>
      <c r="P19" s="231"/>
      <c r="Q19" s="231"/>
      <c r="R19" s="2" t="s">
        <v>335</v>
      </c>
      <c r="S19" s="2"/>
      <c r="T19" s="2"/>
      <c r="U19" s="2"/>
      <c r="V19" s="2"/>
      <c r="W19" s="2"/>
      <c r="X19" s="2"/>
      <c r="Y19" s="2"/>
      <c r="Z19" s="2"/>
      <c r="AA19" s="2"/>
      <c r="AB19" s="2"/>
      <c r="AC19" s="2"/>
      <c r="AD19" s="2"/>
      <c r="AE19" s="2"/>
      <c r="AF19" s="2"/>
      <c r="AG19" s="2"/>
    </row>
    <row r="20" spans="1:33" x14ac:dyDescent="0.2">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row>
    <row r="21" spans="1:33" x14ac:dyDescent="0.2">
      <c r="A21" s="2"/>
      <c r="B21" s="2"/>
      <c r="C21" s="2"/>
      <c r="D21" s="2"/>
      <c r="E21" s="2"/>
      <c r="F21" s="2"/>
      <c r="G21" s="2"/>
      <c r="H21" s="21" t="s">
        <v>1073</v>
      </c>
      <c r="I21" s="13" t="s">
        <v>332</v>
      </c>
      <c r="J21" s="284">
        <f>SUM(J16:L19)</f>
        <v>3739</v>
      </c>
      <c r="K21" s="284"/>
      <c r="L21" s="284"/>
      <c r="M21" s="2" t="s">
        <v>334</v>
      </c>
      <c r="N21" s="13" t="s">
        <v>332</v>
      </c>
      <c r="O21" s="231">
        <f>J21*9.81/1000</f>
        <v>36.679590000000005</v>
      </c>
      <c r="P21" s="231"/>
      <c r="Q21" s="231"/>
      <c r="R21" s="2" t="s">
        <v>335</v>
      </c>
      <c r="S21" s="2"/>
      <c r="T21" s="2"/>
      <c r="U21" s="2"/>
      <c r="V21" s="2"/>
      <c r="W21" s="2"/>
      <c r="X21" s="2"/>
      <c r="Y21" s="2"/>
      <c r="Z21" s="2"/>
      <c r="AA21" s="2"/>
      <c r="AB21" s="2"/>
      <c r="AC21" s="2"/>
      <c r="AD21" s="2"/>
      <c r="AE21" s="2"/>
      <c r="AF21" s="2"/>
      <c r="AG21" s="2"/>
    </row>
    <row r="22" spans="1:33" x14ac:dyDescent="0.2">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row>
    <row r="23" spans="1:33" x14ac:dyDescent="0.2">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row>
    <row r="24" spans="1:33" x14ac:dyDescent="0.2">
      <c r="A24" s="2"/>
      <c r="B24" s="2"/>
      <c r="D24" s="16" t="s">
        <v>1074</v>
      </c>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row>
    <row r="25" spans="1:33" x14ac:dyDescent="0.2">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row>
    <row r="26" spans="1:33" ht="15.75" x14ac:dyDescent="0.3">
      <c r="A26" s="2"/>
      <c r="B26" s="2"/>
      <c r="C26" s="2"/>
      <c r="D26" s="2"/>
      <c r="E26" s="2"/>
      <c r="F26" s="2"/>
      <c r="G26" s="2"/>
      <c r="H26" s="21" t="s">
        <v>1075</v>
      </c>
      <c r="I26" s="13" t="s">
        <v>332</v>
      </c>
      <c r="J26" s="284">
        <v>2.7240000000000002</v>
      </c>
      <c r="K26" s="284"/>
      <c r="L26" s="284"/>
      <c r="M26" s="2" t="s">
        <v>340</v>
      </c>
      <c r="N26" s="2"/>
      <c r="O26" s="2"/>
      <c r="P26" s="2" t="s">
        <v>1080</v>
      </c>
      <c r="Q26" s="2"/>
      <c r="R26" s="2"/>
      <c r="S26" s="2"/>
      <c r="T26" s="2"/>
      <c r="U26" s="2"/>
      <c r="V26" s="2"/>
      <c r="W26" s="2"/>
      <c r="X26" s="2"/>
      <c r="Y26" s="2"/>
      <c r="Z26" s="2"/>
      <c r="AA26" s="2"/>
      <c r="AB26" s="2"/>
      <c r="AC26" s="2"/>
      <c r="AD26" s="2"/>
      <c r="AE26" s="2"/>
      <c r="AF26" s="2"/>
      <c r="AG26" s="2"/>
    </row>
    <row r="27" spans="1:33" ht="15.75" x14ac:dyDescent="0.3">
      <c r="A27" s="2"/>
      <c r="B27" s="2"/>
      <c r="C27" s="2"/>
      <c r="D27" s="2"/>
      <c r="E27" s="2"/>
      <c r="F27" s="2"/>
      <c r="G27" s="2"/>
      <c r="H27" s="21" t="s">
        <v>1076</v>
      </c>
      <c r="I27" s="13" t="s">
        <v>332</v>
      </c>
      <c r="J27" s="288">
        <v>1.48</v>
      </c>
      <c r="K27" s="288"/>
      <c r="L27" s="288"/>
      <c r="M27" s="2" t="s">
        <v>340</v>
      </c>
      <c r="N27" s="2"/>
      <c r="O27" s="2"/>
      <c r="P27" s="2" t="s">
        <v>1081</v>
      </c>
      <c r="Q27" s="2"/>
      <c r="R27" s="2"/>
      <c r="S27" s="2"/>
      <c r="T27" s="2"/>
      <c r="U27" s="2"/>
      <c r="V27" s="2"/>
      <c r="W27" s="2"/>
      <c r="X27" s="2"/>
      <c r="Y27" s="2"/>
      <c r="Z27" s="2"/>
      <c r="AA27" s="2"/>
      <c r="AB27" s="2"/>
      <c r="AC27" s="2"/>
      <c r="AD27" s="2"/>
      <c r="AE27" s="2"/>
      <c r="AF27" s="2"/>
      <c r="AG27" s="2"/>
    </row>
    <row r="28" spans="1:33" x14ac:dyDescent="0.2">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row>
    <row r="29" spans="1:33" ht="15.75" x14ac:dyDescent="0.3">
      <c r="A29" s="2"/>
      <c r="B29" s="2"/>
      <c r="C29" s="2"/>
      <c r="D29" s="2"/>
      <c r="E29" s="2"/>
      <c r="F29" s="2"/>
      <c r="G29" s="2"/>
      <c r="H29" s="21" t="s">
        <v>1077</v>
      </c>
      <c r="I29" s="13" t="s">
        <v>332</v>
      </c>
      <c r="J29" s="288">
        <v>1.546</v>
      </c>
      <c r="K29" s="288"/>
      <c r="L29" s="288"/>
      <c r="M29" s="2" t="s">
        <v>340</v>
      </c>
      <c r="N29" s="2"/>
      <c r="O29" s="2"/>
      <c r="P29" s="2" t="s">
        <v>1082</v>
      </c>
      <c r="Q29" s="2"/>
      <c r="R29" s="2"/>
      <c r="S29" s="2"/>
      <c r="T29" s="2"/>
      <c r="U29" s="2"/>
      <c r="V29" s="2"/>
      <c r="W29" s="2"/>
      <c r="X29" s="2"/>
      <c r="Y29" s="2"/>
      <c r="Z29" s="2"/>
      <c r="AA29" s="2"/>
      <c r="AB29" s="2"/>
      <c r="AC29" s="2"/>
      <c r="AD29" s="2"/>
      <c r="AE29" s="2"/>
      <c r="AF29" s="2"/>
      <c r="AG29" s="2"/>
    </row>
    <row r="30" spans="1:33" ht="15.75" x14ac:dyDescent="0.3">
      <c r="A30" s="2"/>
      <c r="B30" s="2"/>
      <c r="C30" s="2"/>
      <c r="D30" s="2"/>
      <c r="E30" s="2"/>
      <c r="F30" s="2"/>
      <c r="G30" s="2"/>
      <c r="H30" s="21" t="s">
        <v>1078</v>
      </c>
      <c r="I30" s="13" t="s">
        <v>332</v>
      </c>
      <c r="J30" s="288">
        <f>((1480-1429)/2+714+127-94)/1000</f>
        <v>0.77249999999999996</v>
      </c>
      <c r="K30" s="288"/>
      <c r="L30" s="288"/>
      <c r="M30" s="2" t="s">
        <v>340</v>
      </c>
      <c r="N30" s="2"/>
      <c r="O30" s="2"/>
      <c r="P30" s="2" t="s">
        <v>1083</v>
      </c>
      <c r="Q30" s="2"/>
      <c r="R30" s="2"/>
      <c r="S30" s="2"/>
      <c r="T30" s="2"/>
      <c r="U30" s="2"/>
      <c r="V30" s="2"/>
      <c r="W30" s="2"/>
      <c r="X30" s="2"/>
      <c r="Y30" s="2"/>
      <c r="Z30" s="2"/>
      <c r="AA30" s="2"/>
      <c r="AB30" s="2"/>
      <c r="AC30" s="2"/>
      <c r="AD30" s="2"/>
      <c r="AE30" s="2"/>
      <c r="AF30" s="2"/>
      <c r="AG30" s="2"/>
    </row>
    <row r="31" spans="1:33" ht="15.75" x14ac:dyDescent="0.3">
      <c r="A31" s="2"/>
      <c r="B31" s="2"/>
      <c r="C31" s="2"/>
      <c r="D31" s="2"/>
      <c r="E31" s="2"/>
      <c r="F31" s="2"/>
      <c r="G31" s="2"/>
      <c r="H31" s="21" t="s">
        <v>1079</v>
      </c>
      <c r="I31" s="13" t="s">
        <v>332</v>
      </c>
      <c r="J31" s="288">
        <f>596/1000</f>
        <v>0.59599999999999997</v>
      </c>
      <c r="K31" s="288"/>
      <c r="L31" s="288"/>
      <c r="M31" s="2" t="s">
        <v>340</v>
      </c>
      <c r="N31" s="2"/>
      <c r="O31" s="2"/>
      <c r="P31" s="2" t="s">
        <v>1084</v>
      </c>
      <c r="Q31" s="2"/>
      <c r="R31" s="2"/>
      <c r="S31" s="2"/>
      <c r="T31" s="2"/>
      <c r="U31" s="2"/>
      <c r="V31" s="2"/>
      <c r="W31" s="2"/>
      <c r="X31" s="2"/>
      <c r="Y31" s="2"/>
      <c r="Z31" s="2"/>
      <c r="AA31" s="2"/>
      <c r="AB31" s="2"/>
      <c r="AC31" s="2"/>
      <c r="AD31" s="2"/>
      <c r="AE31" s="2"/>
      <c r="AF31" s="2"/>
      <c r="AG31" s="2"/>
    </row>
    <row r="32" spans="1:33" x14ac:dyDescent="0.2">
      <c r="A32" s="2"/>
      <c r="B32" s="2"/>
      <c r="C32" s="2"/>
      <c r="D32" s="2"/>
      <c r="E32" s="2"/>
      <c r="F32" s="2"/>
      <c r="G32" s="2"/>
      <c r="H32" s="21"/>
      <c r="I32" s="13"/>
      <c r="J32" s="79"/>
      <c r="K32" s="79"/>
      <c r="L32" s="79"/>
      <c r="M32" s="2"/>
      <c r="N32" s="2"/>
      <c r="O32" s="2"/>
      <c r="P32" s="2"/>
      <c r="Q32" s="2"/>
      <c r="R32" s="2"/>
      <c r="S32" s="2"/>
      <c r="T32" s="2"/>
      <c r="U32" s="2"/>
      <c r="V32" s="2"/>
      <c r="W32" s="2"/>
      <c r="X32" s="2"/>
      <c r="Y32" s="2"/>
      <c r="Z32" s="2"/>
      <c r="AA32" s="2"/>
      <c r="AB32" s="2"/>
      <c r="AC32" s="2"/>
      <c r="AD32" s="2"/>
      <c r="AE32" s="2"/>
      <c r="AF32" s="2"/>
      <c r="AG32" s="2"/>
    </row>
    <row r="33" spans="1:33" x14ac:dyDescent="0.2">
      <c r="A33" s="2"/>
      <c r="B33" s="2"/>
      <c r="C33" s="2"/>
      <c r="D33" s="2"/>
      <c r="E33" s="2"/>
      <c r="F33" s="2"/>
      <c r="G33" s="2"/>
      <c r="H33" s="21"/>
      <c r="I33" s="13"/>
      <c r="J33" s="79"/>
      <c r="K33" s="79"/>
      <c r="L33" s="79"/>
      <c r="M33" s="2"/>
      <c r="N33" s="2"/>
      <c r="O33" s="2"/>
      <c r="P33" s="2"/>
      <c r="Q33" s="2"/>
      <c r="R33" s="2"/>
      <c r="S33" s="2"/>
      <c r="T33" s="2"/>
      <c r="U33" s="2"/>
      <c r="V33" s="2"/>
      <c r="W33" s="2"/>
      <c r="X33" s="2"/>
      <c r="Y33" s="2"/>
      <c r="Z33" s="2"/>
      <c r="AA33" s="2"/>
      <c r="AB33" s="2"/>
      <c r="AC33" s="2"/>
      <c r="AD33" s="2"/>
      <c r="AE33" s="2"/>
      <c r="AF33" s="2"/>
      <c r="AG33" s="2"/>
    </row>
    <row r="34" spans="1:33" x14ac:dyDescent="0.2">
      <c r="A34" s="2"/>
      <c r="B34" s="2"/>
      <c r="C34" s="2"/>
      <c r="D34" s="2"/>
      <c r="E34" s="2"/>
      <c r="F34" s="2"/>
      <c r="G34" s="2"/>
      <c r="H34" s="21"/>
      <c r="I34" s="13"/>
      <c r="J34" s="79"/>
      <c r="K34" s="79"/>
      <c r="L34" s="79"/>
      <c r="M34" s="2"/>
      <c r="N34" s="2"/>
      <c r="O34" s="2"/>
      <c r="P34" s="2"/>
      <c r="Q34" s="2"/>
      <c r="R34" s="2"/>
      <c r="S34" s="2"/>
      <c r="T34" s="2"/>
      <c r="U34" s="2"/>
      <c r="V34" s="2"/>
      <c r="W34" s="2"/>
      <c r="X34" s="2"/>
      <c r="Y34" s="2"/>
      <c r="Z34" s="2"/>
      <c r="AA34" s="2"/>
      <c r="AB34" s="2"/>
      <c r="AC34" s="2"/>
      <c r="AD34" s="2"/>
      <c r="AE34" s="2"/>
      <c r="AF34" s="2"/>
      <c r="AG34" s="2"/>
    </row>
    <row r="35" spans="1:33" x14ac:dyDescent="0.2">
      <c r="A35" s="2"/>
      <c r="B35" s="2"/>
      <c r="C35" s="2"/>
      <c r="D35" s="16" t="s">
        <v>1085</v>
      </c>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row>
    <row r="36" spans="1:33" ht="15.75" x14ac:dyDescent="0.3">
      <c r="A36" s="2"/>
      <c r="B36" s="2"/>
      <c r="C36" s="2"/>
      <c r="D36" s="2"/>
      <c r="E36" s="2"/>
      <c r="H36" s="21" t="s">
        <v>951</v>
      </c>
      <c r="I36" s="13" t="s">
        <v>332</v>
      </c>
      <c r="J36" s="284">
        <f>(613*4)/1000</f>
        <v>2.452</v>
      </c>
      <c r="K36" s="284"/>
      <c r="L36" s="284"/>
      <c r="M36" s="2" t="s">
        <v>340</v>
      </c>
      <c r="N36" s="2"/>
      <c r="O36" s="2"/>
      <c r="P36" s="2"/>
      <c r="Q36" s="2" t="s">
        <v>1086</v>
      </c>
      <c r="R36" s="2"/>
      <c r="S36" s="2"/>
      <c r="T36" s="2"/>
      <c r="U36" s="2"/>
      <c r="V36" s="2"/>
      <c r="W36" s="2"/>
      <c r="X36" s="2"/>
      <c r="Y36" s="2"/>
      <c r="Z36" s="2"/>
      <c r="AA36" s="2"/>
      <c r="AB36" s="2"/>
      <c r="AC36" s="2"/>
      <c r="AD36" s="2"/>
      <c r="AE36" s="2"/>
      <c r="AF36" s="2"/>
      <c r="AG36" s="2"/>
    </row>
    <row r="37" spans="1:33" ht="15.75" x14ac:dyDescent="0.3">
      <c r="A37" s="2"/>
      <c r="B37" s="2"/>
      <c r="C37" s="2"/>
      <c r="D37" s="2"/>
      <c r="E37" s="2"/>
      <c r="H37" s="21" t="s">
        <v>1158</v>
      </c>
      <c r="I37" s="13" t="s">
        <v>332</v>
      </c>
      <c r="J37" s="284">
        <f>1429/1000</f>
        <v>1.429</v>
      </c>
      <c r="K37" s="284"/>
      <c r="L37" s="284"/>
      <c r="M37" s="2" t="s">
        <v>340</v>
      </c>
      <c r="N37" s="2"/>
      <c r="O37" s="2"/>
      <c r="P37" s="2"/>
      <c r="Q37" s="2" t="s">
        <v>1087</v>
      </c>
      <c r="R37" s="2"/>
      <c r="S37" s="2"/>
      <c r="T37" s="2"/>
      <c r="U37" s="2"/>
      <c r="V37" s="2"/>
      <c r="W37" s="2"/>
      <c r="X37" s="2"/>
      <c r="Y37" s="2"/>
      <c r="Z37" s="2"/>
      <c r="AA37" s="2"/>
      <c r="AB37" s="2"/>
      <c r="AC37" s="2"/>
      <c r="AD37" s="2"/>
      <c r="AE37" s="2"/>
      <c r="AF37" s="2"/>
      <c r="AG37" s="2"/>
    </row>
    <row r="38" spans="1:33" ht="15.75" x14ac:dyDescent="0.3">
      <c r="A38" s="2"/>
      <c r="B38" s="2"/>
      <c r="C38" s="2"/>
      <c r="D38" s="2"/>
      <c r="E38" s="2"/>
      <c r="H38" s="21" t="s">
        <v>1159</v>
      </c>
      <c r="I38" s="13" t="s">
        <v>332</v>
      </c>
      <c r="J38" s="284">
        <f>613/1000</f>
        <v>0.61299999999999999</v>
      </c>
      <c r="K38" s="284"/>
      <c r="L38" s="284"/>
      <c r="M38" s="2"/>
      <c r="N38" s="2"/>
      <c r="O38" s="2"/>
      <c r="P38" s="2"/>
      <c r="Q38" s="2" t="s">
        <v>1088</v>
      </c>
      <c r="R38" s="2"/>
      <c r="S38" s="2"/>
      <c r="T38" s="2"/>
      <c r="U38" s="2"/>
      <c r="V38" s="2"/>
      <c r="W38" s="2"/>
      <c r="X38" s="2"/>
      <c r="Y38" s="2"/>
      <c r="Z38" s="2"/>
      <c r="AA38" s="2"/>
      <c r="AB38" s="2"/>
      <c r="AC38" s="2"/>
      <c r="AD38" s="2"/>
      <c r="AE38" s="2"/>
      <c r="AF38" s="2"/>
      <c r="AG38" s="2"/>
    </row>
    <row r="39" spans="1:33" ht="15.75" x14ac:dyDescent="0.3">
      <c r="A39" s="2"/>
      <c r="B39" s="2"/>
      <c r="C39" s="2"/>
      <c r="D39" s="2"/>
      <c r="E39" s="2"/>
      <c r="H39" s="21" t="s">
        <v>689</v>
      </c>
      <c r="I39" s="13" t="s">
        <v>332</v>
      </c>
      <c r="J39" s="284">
        <v>10</v>
      </c>
      <c r="K39" s="284"/>
      <c r="L39" s="284"/>
      <c r="M39" s="2"/>
      <c r="N39" s="2"/>
      <c r="O39" s="2"/>
      <c r="P39" s="2"/>
      <c r="Q39" s="2" t="s">
        <v>1089</v>
      </c>
      <c r="R39" s="2"/>
      <c r="S39" s="2"/>
      <c r="T39" s="2"/>
      <c r="U39" s="2"/>
      <c r="V39" s="2"/>
      <c r="W39" s="2"/>
      <c r="X39" s="2"/>
      <c r="Y39" s="2"/>
      <c r="Z39" s="2"/>
      <c r="AA39" s="2"/>
      <c r="AB39" s="2"/>
      <c r="AC39" s="2"/>
      <c r="AD39" s="2"/>
      <c r="AE39" s="2"/>
      <c r="AF39" s="2"/>
      <c r="AG39" s="2"/>
    </row>
    <row r="40" spans="1:33" ht="15.75" x14ac:dyDescent="0.3">
      <c r="A40" s="2"/>
      <c r="B40" s="2"/>
      <c r="C40" s="2"/>
      <c r="D40" s="2"/>
      <c r="E40" s="2"/>
      <c r="H40" s="21" t="s">
        <v>1160</v>
      </c>
      <c r="I40" s="13" t="s">
        <v>332</v>
      </c>
      <c r="J40" s="284">
        <f>3/4*25.4</f>
        <v>19.049999999999997</v>
      </c>
      <c r="K40" s="284"/>
      <c r="L40" s="284"/>
      <c r="M40" s="2" t="s">
        <v>337</v>
      </c>
      <c r="N40" s="2"/>
      <c r="O40" s="2"/>
      <c r="P40" s="2"/>
      <c r="Q40" s="2" t="s">
        <v>1090</v>
      </c>
      <c r="R40" s="2"/>
      <c r="S40" s="2"/>
      <c r="T40" s="2"/>
      <c r="U40" s="2"/>
      <c r="V40" s="2"/>
      <c r="W40" s="2"/>
      <c r="X40" s="2"/>
      <c r="Y40" s="2"/>
      <c r="Z40" s="2"/>
      <c r="AA40" s="2"/>
      <c r="AB40" s="2"/>
      <c r="AC40" s="2"/>
      <c r="AD40" s="2"/>
      <c r="AE40" s="2"/>
      <c r="AF40" s="2"/>
      <c r="AG40" s="2"/>
    </row>
    <row r="41" spans="1:33" x14ac:dyDescent="0.2">
      <c r="A41" s="2"/>
      <c r="B41" s="2"/>
      <c r="C41" s="2"/>
      <c r="D41" s="2"/>
      <c r="E41" s="2"/>
      <c r="F41" s="2"/>
      <c r="G41" s="2"/>
      <c r="H41" s="21"/>
      <c r="I41" s="13"/>
      <c r="J41" s="79"/>
      <c r="K41" s="79"/>
      <c r="L41" s="79"/>
      <c r="M41" s="2"/>
      <c r="N41" s="2"/>
      <c r="O41" s="2"/>
      <c r="P41" s="2"/>
      <c r="Q41" s="2"/>
      <c r="R41" s="2"/>
      <c r="S41" s="2"/>
      <c r="T41" s="2"/>
      <c r="U41" s="2"/>
      <c r="V41" s="2"/>
      <c r="W41" s="2"/>
      <c r="X41" s="2"/>
      <c r="Y41" s="2"/>
      <c r="Z41" s="2"/>
      <c r="AA41" s="2"/>
      <c r="AB41" s="2"/>
      <c r="AC41" s="2"/>
      <c r="AD41" s="2"/>
      <c r="AE41" s="2"/>
      <c r="AF41" s="2"/>
      <c r="AG41" s="2"/>
    </row>
    <row r="42" spans="1:33" x14ac:dyDescent="0.2">
      <c r="A42" s="2"/>
      <c r="B42" s="2"/>
      <c r="C42" s="2"/>
      <c r="D42" s="2"/>
      <c r="E42" s="2"/>
      <c r="F42" s="2"/>
      <c r="G42" s="2"/>
      <c r="S42" s="2"/>
      <c r="T42" s="2"/>
      <c r="U42" s="2"/>
      <c r="V42" s="2"/>
      <c r="W42" s="2"/>
      <c r="X42" s="2"/>
      <c r="Y42" s="2"/>
      <c r="Z42" s="2"/>
      <c r="AA42" s="2"/>
      <c r="AB42" s="2"/>
      <c r="AC42" s="2"/>
      <c r="AD42" s="2"/>
      <c r="AE42" s="2"/>
      <c r="AF42" s="2"/>
      <c r="AG42" s="2"/>
    </row>
    <row r="43" spans="1:33" x14ac:dyDescent="0.2">
      <c r="A43" s="2"/>
      <c r="B43" s="2"/>
      <c r="C43" s="2"/>
      <c r="D43" s="2"/>
      <c r="E43" s="2"/>
      <c r="F43" s="2"/>
      <c r="G43" s="2"/>
      <c r="S43" s="2"/>
      <c r="T43" s="2"/>
      <c r="U43" s="2"/>
      <c r="V43" s="2"/>
      <c r="W43" s="2"/>
      <c r="X43" s="2"/>
      <c r="Y43" s="2"/>
      <c r="Z43" s="2"/>
      <c r="AA43" s="2"/>
      <c r="AB43" s="2"/>
      <c r="AC43" s="2"/>
      <c r="AD43" s="2"/>
      <c r="AE43" s="2"/>
      <c r="AF43" s="2"/>
      <c r="AG43" s="2"/>
    </row>
    <row r="44" spans="1:33" x14ac:dyDescent="0.2">
      <c r="A44" s="2"/>
      <c r="B44" s="2"/>
      <c r="C44" s="2"/>
      <c r="D44" s="2"/>
      <c r="E44" s="2"/>
      <c r="F44" s="2"/>
      <c r="G44" s="2"/>
      <c r="S44" s="2"/>
      <c r="T44" s="2"/>
      <c r="U44" s="2"/>
      <c r="V44" s="2"/>
      <c r="W44" s="2"/>
      <c r="X44" s="2"/>
      <c r="Y44" s="2"/>
      <c r="Z44" s="2"/>
      <c r="AA44" s="2"/>
      <c r="AB44" s="2"/>
      <c r="AC44" s="2"/>
      <c r="AD44" s="2"/>
      <c r="AE44" s="2"/>
      <c r="AF44" s="2"/>
      <c r="AG44" s="2"/>
    </row>
    <row r="45" spans="1:33" x14ac:dyDescent="0.2">
      <c r="A45" s="2"/>
      <c r="B45" s="2"/>
      <c r="C45" s="2"/>
      <c r="D45" s="2"/>
      <c r="E45" s="2"/>
      <c r="F45" s="2"/>
      <c r="G45" s="2"/>
      <c r="S45" s="2"/>
      <c r="T45" s="2"/>
      <c r="U45" s="2"/>
      <c r="V45" s="2"/>
      <c r="W45" s="2"/>
      <c r="X45" s="2"/>
      <c r="Y45" s="2"/>
      <c r="Z45" s="2"/>
      <c r="AA45" s="2"/>
      <c r="AB45" s="2"/>
      <c r="AC45" s="2"/>
      <c r="AD45" s="2"/>
      <c r="AE45" s="2"/>
      <c r="AF45" s="2"/>
      <c r="AG45" s="2"/>
    </row>
    <row r="46" spans="1:33" x14ac:dyDescent="0.2">
      <c r="A46" s="2"/>
      <c r="B46" s="2"/>
      <c r="C46" s="2"/>
      <c r="D46" s="2"/>
      <c r="E46" s="2"/>
      <c r="F46" s="2"/>
      <c r="G46" s="2"/>
      <c r="S46" s="2"/>
      <c r="T46" s="2"/>
      <c r="U46" s="2"/>
      <c r="V46" s="2"/>
      <c r="W46" s="2"/>
      <c r="X46" s="2"/>
      <c r="Y46" s="2"/>
      <c r="Z46" s="2"/>
      <c r="AA46" s="2"/>
      <c r="AB46" s="2"/>
      <c r="AC46" s="2"/>
      <c r="AD46" s="2"/>
      <c r="AE46" s="2"/>
      <c r="AF46" s="2"/>
      <c r="AG46" s="2"/>
    </row>
    <row r="47" spans="1:33" x14ac:dyDescent="0.2">
      <c r="A47" s="2"/>
      <c r="B47" s="2"/>
      <c r="C47" s="2"/>
      <c r="D47" s="2"/>
      <c r="E47" s="2"/>
      <c r="F47" s="2"/>
      <c r="G47" s="2"/>
      <c r="H47" s="21"/>
      <c r="I47" s="13"/>
      <c r="J47" s="79"/>
      <c r="K47" s="79"/>
      <c r="L47" s="79"/>
      <c r="M47" s="2"/>
      <c r="N47" s="2"/>
      <c r="O47" s="2"/>
      <c r="P47" s="2"/>
      <c r="Q47" s="2"/>
      <c r="R47" s="2"/>
      <c r="S47" s="2"/>
      <c r="T47" s="2"/>
      <c r="U47" s="2"/>
      <c r="V47" s="2"/>
      <c r="W47" s="2"/>
      <c r="X47" s="2"/>
      <c r="Y47" s="2"/>
      <c r="Z47" s="2"/>
      <c r="AA47" s="2"/>
      <c r="AB47" s="2"/>
      <c r="AC47" s="2"/>
      <c r="AD47" s="2"/>
      <c r="AE47" s="2"/>
      <c r="AF47" s="2"/>
      <c r="AG47" s="2"/>
    </row>
    <row r="48" spans="1:33" x14ac:dyDescent="0.2">
      <c r="A48" s="2"/>
      <c r="B48" s="2"/>
      <c r="C48" s="2"/>
      <c r="D48" s="2"/>
      <c r="E48" s="2"/>
      <c r="F48" s="2"/>
      <c r="G48" s="2"/>
      <c r="H48" s="21"/>
      <c r="I48" s="13"/>
      <c r="J48" s="79"/>
      <c r="K48" s="79"/>
      <c r="L48" s="79"/>
      <c r="M48" s="2"/>
      <c r="N48" s="2"/>
      <c r="O48" s="2"/>
      <c r="P48" s="2"/>
      <c r="Q48" s="2"/>
      <c r="R48" s="2"/>
      <c r="S48" s="2"/>
      <c r="T48" s="2"/>
      <c r="U48" s="2"/>
      <c r="V48" s="2"/>
      <c r="W48" s="2"/>
      <c r="X48" s="2"/>
      <c r="Y48" s="2"/>
      <c r="Z48" s="2"/>
      <c r="AA48" s="2"/>
      <c r="AB48" s="2"/>
      <c r="AC48" s="2"/>
      <c r="AD48" s="2"/>
      <c r="AE48" s="2"/>
      <c r="AF48" s="2"/>
      <c r="AG48" s="2"/>
    </row>
    <row r="49" spans="1:33" x14ac:dyDescent="0.2">
      <c r="A49" s="2"/>
      <c r="B49" s="2"/>
      <c r="C49" s="2"/>
      <c r="D49" s="2"/>
      <c r="E49" s="2"/>
      <c r="F49" s="2"/>
      <c r="G49" s="2"/>
      <c r="H49" s="21"/>
      <c r="I49" s="13"/>
      <c r="J49" s="79"/>
      <c r="K49" s="79"/>
      <c r="L49" s="79"/>
      <c r="M49" s="2"/>
      <c r="N49" s="2"/>
      <c r="O49" s="2"/>
      <c r="P49" s="2"/>
      <c r="Q49" s="2"/>
      <c r="R49" s="2"/>
      <c r="S49" s="2"/>
      <c r="T49" s="2"/>
      <c r="U49" s="2"/>
      <c r="V49" s="2"/>
      <c r="W49" s="2"/>
      <c r="X49" s="2"/>
      <c r="Y49" s="2"/>
      <c r="Z49" s="2"/>
      <c r="AA49" s="2"/>
      <c r="AB49" s="2"/>
      <c r="AC49" s="2"/>
      <c r="AD49" s="2"/>
      <c r="AE49" s="2"/>
      <c r="AF49" s="2"/>
      <c r="AG49" s="2"/>
    </row>
    <row r="50" spans="1:33" x14ac:dyDescent="0.2">
      <c r="A50" s="2"/>
      <c r="B50" s="2"/>
      <c r="C50" s="2"/>
      <c r="D50" s="2"/>
      <c r="E50" s="2"/>
      <c r="F50" s="2"/>
      <c r="G50" s="2"/>
      <c r="H50" s="21"/>
      <c r="I50" s="13"/>
      <c r="J50" s="79"/>
      <c r="K50" s="79"/>
      <c r="L50" s="79"/>
      <c r="M50" s="2"/>
      <c r="N50" s="2"/>
      <c r="O50" s="2"/>
      <c r="P50" s="2"/>
      <c r="Q50" s="2"/>
      <c r="R50" s="2"/>
      <c r="S50" s="2"/>
      <c r="T50" s="2"/>
      <c r="U50" s="2"/>
      <c r="V50" s="2"/>
      <c r="W50" s="2"/>
      <c r="X50" s="2"/>
      <c r="Y50" s="2"/>
      <c r="Z50" s="2"/>
      <c r="AA50" s="2"/>
      <c r="AB50" s="2"/>
      <c r="AC50" s="2"/>
      <c r="AD50" s="2"/>
      <c r="AE50" s="2"/>
      <c r="AF50" s="2"/>
      <c r="AG50" s="2"/>
    </row>
    <row r="51" spans="1:33" x14ac:dyDescent="0.2">
      <c r="A51" s="2"/>
      <c r="B51" s="2"/>
      <c r="C51" s="2"/>
      <c r="D51" s="2"/>
      <c r="E51" s="2"/>
      <c r="F51" s="2"/>
      <c r="G51" s="2"/>
      <c r="H51" s="21"/>
      <c r="I51" s="13"/>
      <c r="J51" s="79"/>
      <c r="K51" s="79"/>
      <c r="L51" s="79"/>
      <c r="M51" s="2"/>
      <c r="N51" s="2"/>
      <c r="O51" s="2"/>
      <c r="P51" s="2"/>
      <c r="Q51" s="2"/>
      <c r="R51" s="2"/>
      <c r="S51" s="2"/>
      <c r="T51" s="2"/>
      <c r="U51" s="2"/>
      <c r="V51" s="2"/>
      <c r="W51" s="2"/>
      <c r="X51" s="2"/>
      <c r="Y51" s="2"/>
      <c r="Z51" s="2"/>
      <c r="AA51" s="2"/>
      <c r="AB51" s="2"/>
      <c r="AC51" s="2"/>
      <c r="AD51" s="2"/>
      <c r="AE51" s="2"/>
      <c r="AF51" s="2"/>
      <c r="AG51" s="2"/>
    </row>
    <row r="52" spans="1:33" x14ac:dyDescent="0.2">
      <c r="A52" s="2"/>
      <c r="B52" s="2"/>
      <c r="C52" s="2"/>
      <c r="D52" s="2"/>
      <c r="E52" s="2"/>
      <c r="F52" s="2"/>
      <c r="G52" s="2"/>
      <c r="H52" s="21"/>
      <c r="I52" s="13"/>
      <c r="J52" s="79"/>
      <c r="K52" s="79"/>
      <c r="L52" s="79"/>
      <c r="M52" s="2"/>
      <c r="N52" s="2"/>
      <c r="O52" s="2"/>
      <c r="P52" s="2"/>
      <c r="Q52" s="2"/>
      <c r="R52" s="2"/>
      <c r="S52" s="2"/>
      <c r="T52" s="2"/>
      <c r="U52" s="2"/>
      <c r="V52" s="2"/>
      <c r="W52" s="2"/>
      <c r="X52" s="2"/>
      <c r="Y52" s="2"/>
      <c r="Z52" s="2"/>
      <c r="AA52" s="2"/>
      <c r="AB52" s="2"/>
      <c r="AC52" s="2"/>
      <c r="AD52" s="2"/>
      <c r="AE52" s="2"/>
      <c r="AF52" s="2"/>
      <c r="AG52" s="2"/>
    </row>
    <row r="53" spans="1:33" x14ac:dyDescent="0.2">
      <c r="A53" s="2"/>
      <c r="B53" s="2"/>
      <c r="C53" s="2"/>
      <c r="D53" s="2"/>
      <c r="E53" s="2"/>
      <c r="F53" s="2"/>
      <c r="G53" s="2"/>
      <c r="H53" s="21"/>
      <c r="I53" s="13"/>
      <c r="J53" s="79"/>
      <c r="K53" s="79"/>
      <c r="L53" s="79"/>
      <c r="M53" s="2"/>
      <c r="N53" s="2"/>
      <c r="O53" s="2"/>
      <c r="P53" s="2"/>
      <c r="Q53" s="2"/>
      <c r="R53" s="2"/>
      <c r="S53" s="2"/>
      <c r="T53" s="2"/>
      <c r="U53" s="2"/>
      <c r="V53" s="2"/>
      <c r="W53" s="2"/>
      <c r="X53" s="2"/>
      <c r="Y53" s="2"/>
      <c r="Z53" s="2"/>
      <c r="AA53" s="2"/>
      <c r="AB53" s="2"/>
      <c r="AC53" s="2"/>
      <c r="AD53" s="2"/>
      <c r="AE53" s="2"/>
      <c r="AF53" s="2"/>
      <c r="AG53" s="2"/>
    </row>
    <row r="54" spans="1:33" x14ac:dyDescent="0.2">
      <c r="A54" s="2"/>
      <c r="B54" s="2"/>
      <c r="C54" s="2"/>
      <c r="D54" s="2"/>
      <c r="E54" s="2"/>
      <c r="F54" s="2"/>
      <c r="G54" s="2"/>
      <c r="H54" s="21"/>
      <c r="I54" s="13"/>
      <c r="J54" s="79"/>
      <c r="K54" s="79"/>
      <c r="L54" s="79"/>
      <c r="M54" s="2"/>
      <c r="N54" s="2"/>
      <c r="O54" s="2"/>
      <c r="P54" s="2"/>
      <c r="Q54" s="2"/>
      <c r="R54" s="2"/>
      <c r="S54" s="2"/>
      <c r="T54" s="2"/>
      <c r="U54" s="2"/>
      <c r="V54" s="2"/>
      <c r="W54" s="2"/>
      <c r="X54" s="2"/>
      <c r="Y54" s="2"/>
      <c r="Z54" s="2"/>
      <c r="AA54" s="2"/>
      <c r="AB54" s="2"/>
      <c r="AC54" s="2"/>
      <c r="AD54" s="2"/>
      <c r="AE54" s="2"/>
      <c r="AF54" s="2"/>
      <c r="AG54" s="2"/>
    </row>
    <row r="55" spans="1:33" x14ac:dyDescent="0.2">
      <c r="A55" s="2"/>
      <c r="B55" s="2"/>
      <c r="C55" s="2"/>
      <c r="D55" s="2"/>
      <c r="E55" s="2"/>
      <c r="F55" s="2"/>
      <c r="G55" s="2"/>
      <c r="H55" s="21"/>
      <c r="I55" s="13"/>
      <c r="J55" s="79"/>
      <c r="K55" s="79"/>
      <c r="L55" s="79"/>
      <c r="M55" s="2"/>
      <c r="N55" s="2"/>
      <c r="O55" s="2"/>
      <c r="P55" s="2"/>
      <c r="Q55" s="2"/>
      <c r="R55" s="2"/>
      <c r="S55" s="2"/>
      <c r="T55" s="2"/>
      <c r="U55" s="2"/>
      <c r="V55" s="2"/>
      <c r="W55" s="2"/>
      <c r="X55" s="2"/>
      <c r="Y55" s="2"/>
      <c r="Z55" s="2"/>
      <c r="AA55" s="2"/>
      <c r="AB55" s="2"/>
      <c r="AC55" s="2"/>
      <c r="AD55" s="2"/>
      <c r="AE55" s="2"/>
      <c r="AF55" s="2"/>
      <c r="AG55" s="2"/>
    </row>
    <row r="56" spans="1:33" x14ac:dyDescent="0.2">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row>
    <row r="57" spans="1:33" x14ac:dyDescent="0.2">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row>
    <row r="58" spans="1:33" x14ac:dyDescent="0.2">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row>
    <row r="59" spans="1:33" x14ac:dyDescent="0.2">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row>
    <row r="60" spans="1:33" x14ac:dyDescent="0.2">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row>
    <row r="61" spans="1:33" x14ac:dyDescent="0.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row>
    <row r="62" spans="1:33" x14ac:dyDescent="0.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row>
    <row r="63" spans="1:33" x14ac:dyDescent="0.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row>
    <row r="64" spans="1:33" x14ac:dyDescent="0.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row>
    <row r="65" spans="1:33" x14ac:dyDescent="0.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row>
    <row r="66" spans="1:33" x14ac:dyDescent="0.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row>
    <row r="67" spans="1:33" x14ac:dyDescent="0.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row>
    <row r="68" spans="1:33" x14ac:dyDescent="0.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row>
    <row r="69" spans="1:33" x14ac:dyDescent="0.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row>
    <row r="70" spans="1:33" x14ac:dyDescent="0.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row>
    <row r="71" spans="1:33" x14ac:dyDescent="0.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row>
    <row r="72" spans="1:33" x14ac:dyDescent="0.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row>
    <row r="73" spans="1:33" x14ac:dyDescent="0.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row>
    <row r="74" spans="1:33" x14ac:dyDescent="0.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row>
    <row r="75" spans="1:33" x14ac:dyDescent="0.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row>
    <row r="76" spans="1:33" x14ac:dyDescent="0.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row>
    <row r="77" spans="1:33" x14ac:dyDescent="0.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row>
    <row r="78" spans="1:33" x14ac:dyDescent="0.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row>
    <row r="79" spans="1:33" x14ac:dyDescent="0.2">
      <c r="A79" s="2"/>
      <c r="B79" s="2"/>
      <c r="C79" s="2"/>
      <c r="V79" s="2"/>
      <c r="W79" s="2"/>
      <c r="X79" s="2"/>
      <c r="Y79" s="2"/>
      <c r="Z79" s="2"/>
      <c r="AA79" s="2"/>
      <c r="AB79" s="2"/>
      <c r="AC79" s="2"/>
      <c r="AD79" s="2"/>
      <c r="AE79" s="2"/>
      <c r="AF79" s="2"/>
      <c r="AG79" s="2"/>
    </row>
    <row r="80" spans="1:33" x14ac:dyDescent="0.2">
      <c r="A80" s="2"/>
      <c r="B80" s="2"/>
      <c r="C80" s="2"/>
      <c r="V80" s="2"/>
      <c r="W80" s="2"/>
      <c r="X80" s="2"/>
      <c r="Y80" s="2"/>
      <c r="Z80" s="2"/>
      <c r="AA80" s="2"/>
      <c r="AB80" s="2"/>
      <c r="AC80" s="2"/>
      <c r="AD80" s="2"/>
      <c r="AE80" s="2"/>
      <c r="AF80" s="2"/>
      <c r="AG80" s="2"/>
    </row>
    <row r="81" spans="1:33" x14ac:dyDescent="0.2">
      <c r="A81" s="2"/>
      <c r="B81" s="2"/>
      <c r="C81" s="2"/>
      <c r="V81" s="2"/>
      <c r="W81" s="2"/>
      <c r="X81" s="2"/>
      <c r="Y81" s="2"/>
      <c r="Z81" s="2"/>
      <c r="AA81" s="2"/>
      <c r="AB81" s="2"/>
      <c r="AC81" s="2"/>
      <c r="AD81" s="2"/>
      <c r="AE81" s="2"/>
      <c r="AF81" s="2"/>
      <c r="AG81" s="2"/>
    </row>
    <row r="82" spans="1:33" x14ac:dyDescent="0.2">
      <c r="A82" s="2"/>
      <c r="B82" s="2"/>
      <c r="C82" s="2"/>
      <c r="V82" s="2"/>
      <c r="W82" s="2"/>
      <c r="X82" s="2"/>
      <c r="Y82" s="2"/>
      <c r="Z82" s="2"/>
      <c r="AA82" s="2"/>
      <c r="AB82" s="2"/>
      <c r="AC82" s="2"/>
      <c r="AD82" s="2"/>
      <c r="AE82" s="2"/>
      <c r="AF82" s="2"/>
      <c r="AG82" s="2"/>
    </row>
    <row r="83" spans="1:33" x14ac:dyDescent="0.2">
      <c r="A83" s="2"/>
      <c r="B83" s="2"/>
      <c r="C83" s="2"/>
      <c r="V83" s="2"/>
      <c r="W83" s="2"/>
      <c r="X83" s="2"/>
      <c r="Y83" s="2"/>
      <c r="Z83" s="2"/>
      <c r="AA83" s="2"/>
      <c r="AB83" s="2"/>
      <c r="AC83" s="2"/>
      <c r="AD83" s="2"/>
      <c r="AE83" s="2"/>
      <c r="AF83" s="2"/>
      <c r="AG83" s="2"/>
    </row>
    <row r="84" spans="1:33" x14ac:dyDescent="0.2">
      <c r="A84" s="2"/>
      <c r="B84" s="2"/>
      <c r="C84" s="2"/>
      <c r="V84" s="2"/>
      <c r="W84" s="2"/>
      <c r="X84" s="2"/>
      <c r="Y84" s="2"/>
      <c r="Z84" s="2"/>
      <c r="AA84" s="2"/>
      <c r="AB84" s="2"/>
      <c r="AC84" s="2"/>
      <c r="AD84" s="2"/>
      <c r="AE84" s="2"/>
      <c r="AF84" s="2"/>
      <c r="AG84" s="2"/>
    </row>
    <row r="85" spans="1:33" x14ac:dyDescent="0.2">
      <c r="A85" s="2"/>
      <c r="B85" s="2"/>
      <c r="C85" s="2"/>
      <c r="V85" s="2"/>
      <c r="W85" s="2"/>
      <c r="X85" s="2"/>
      <c r="Y85" s="2"/>
      <c r="Z85" s="2"/>
      <c r="AA85" s="2"/>
      <c r="AB85" s="2"/>
      <c r="AC85" s="2"/>
      <c r="AD85" s="2"/>
      <c r="AE85" s="2"/>
      <c r="AF85" s="2"/>
      <c r="AG85" s="2"/>
    </row>
    <row r="86" spans="1:33" x14ac:dyDescent="0.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row>
    <row r="87" spans="1:33" x14ac:dyDescent="0.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row>
    <row r="88" spans="1:33" x14ac:dyDescent="0.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row>
    <row r="89" spans="1:33" x14ac:dyDescent="0.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row>
    <row r="90" spans="1:33" x14ac:dyDescent="0.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row>
    <row r="91" spans="1:33" x14ac:dyDescent="0.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row>
    <row r="92" spans="1:33" x14ac:dyDescent="0.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row>
    <row r="93" spans="1:33" x14ac:dyDescent="0.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row>
    <row r="94" spans="1:33" x14ac:dyDescent="0.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row>
    <row r="95" spans="1:33" x14ac:dyDescent="0.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row>
    <row r="96" spans="1:33" x14ac:dyDescent="0.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row>
    <row r="97" spans="1:33" x14ac:dyDescent="0.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row>
    <row r="98" spans="1:33" x14ac:dyDescent="0.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row>
    <row r="99" spans="1:33" x14ac:dyDescent="0.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row>
    <row r="100" spans="1:33" x14ac:dyDescent="0.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row>
    <row r="101" spans="1:33" x14ac:dyDescent="0.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row>
    <row r="102" spans="1:33" x14ac:dyDescent="0.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row>
    <row r="103" spans="1:33" x14ac:dyDescent="0.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row>
    <row r="104" spans="1:33" x14ac:dyDescent="0.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row>
    <row r="105" spans="1:33" x14ac:dyDescent="0.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row>
    <row r="106" spans="1:33" x14ac:dyDescent="0.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row>
    <row r="107" spans="1:33" x14ac:dyDescent="0.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row>
    <row r="108" spans="1:33" x14ac:dyDescent="0.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row>
    <row r="109" spans="1:33" ht="15" x14ac:dyDescent="0.25">
      <c r="A109" s="2"/>
      <c r="B109" s="4" t="s">
        <v>1091</v>
      </c>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row>
    <row r="110" spans="1:33" x14ac:dyDescent="0.2">
      <c r="A110" s="2"/>
      <c r="B110" s="232" t="s">
        <v>1396</v>
      </c>
      <c r="C110" s="232"/>
      <c r="D110" s="232"/>
      <c r="E110" s="232"/>
      <c r="F110" s="232"/>
      <c r="G110" s="232"/>
      <c r="H110" s="232"/>
      <c r="I110" s="232"/>
      <c r="J110" s="232"/>
      <c r="K110" s="232"/>
      <c r="L110" s="232"/>
      <c r="M110" s="232"/>
      <c r="N110" s="232"/>
      <c r="O110" s="232"/>
      <c r="P110" s="232"/>
      <c r="Q110" s="232"/>
      <c r="R110" s="232"/>
      <c r="S110" s="232"/>
      <c r="T110" s="232"/>
      <c r="U110" s="232"/>
      <c r="V110" s="232"/>
      <c r="W110" s="232"/>
      <c r="X110" s="232"/>
      <c r="Y110" s="232"/>
      <c r="Z110" s="232"/>
      <c r="AA110" s="232"/>
      <c r="AB110" s="232"/>
      <c r="AC110" s="232"/>
      <c r="AD110" s="232"/>
      <c r="AE110" s="232"/>
      <c r="AF110" s="232"/>
      <c r="AG110" s="232"/>
    </row>
    <row r="111" spans="1:33" x14ac:dyDescent="0.2">
      <c r="A111" s="2"/>
      <c r="B111" s="232"/>
      <c r="C111" s="232"/>
      <c r="D111" s="232"/>
      <c r="E111" s="232"/>
      <c r="F111" s="232"/>
      <c r="G111" s="232"/>
      <c r="H111" s="232"/>
      <c r="I111" s="232"/>
      <c r="J111" s="232"/>
      <c r="K111" s="232"/>
      <c r="L111" s="232"/>
      <c r="M111" s="232"/>
      <c r="N111" s="232"/>
      <c r="O111" s="232"/>
      <c r="P111" s="232"/>
      <c r="Q111" s="232"/>
      <c r="R111" s="232"/>
      <c r="S111" s="232"/>
      <c r="T111" s="232"/>
      <c r="U111" s="232"/>
      <c r="V111" s="232"/>
      <c r="W111" s="232"/>
      <c r="X111" s="232"/>
      <c r="Y111" s="232"/>
      <c r="Z111" s="232"/>
      <c r="AA111" s="232"/>
      <c r="AB111" s="232"/>
      <c r="AC111" s="232"/>
      <c r="AD111" s="232"/>
      <c r="AE111" s="232"/>
      <c r="AF111" s="232"/>
      <c r="AG111" s="232"/>
    </row>
    <row r="112" spans="1:33" x14ac:dyDescent="0.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row>
    <row r="113" spans="1:33" x14ac:dyDescent="0.2">
      <c r="A113" s="2"/>
      <c r="B113" s="2"/>
      <c r="C113" s="18" t="s">
        <v>1100</v>
      </c>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row>
    <row r="114" spans="1:33" x14ac:dyDescent="0.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row>
    <row r="115" spans="1:33" ht="15.75" x14ac:dyDescent="0.3">
      <c r="A115" s="2"/>
      <c r="B115" s="2"/>
      <c r="C115" s="2"/>
      <c r="D115" s="2"/>
      <c r="E115" s="2"/>
      <c r="F115" s="21" t="s">
        <v>1092</v>
      </c>
      <c r="G115" s="13" t="s">
        <v>332</v>
      </c>
      <c r="H115" s="285">
        <v>3</v>
      </c>
      <c r="I115" s="285"/>
      <c r="J115" s="285"/>
      <c r="K115" s="2" t="s">
        <v>340</v>
      </c>
      <c r="L115" s="2"/>
      <c r="M115" s="2"/>
      <c r="N115" s="2"/>
      <c r="O115" s="2"/>
      <c r="P115" s="2" t="s">
        <v>552</v>
      </c>
      <c r="Q115" s="2"/>
      <c r="R115" s="2"/>
      <c r="S115" s="2"/>
      <c r="T115" s="2"/>
      <c r="U115" s="2"/>
      <c r="V115" s="2"/>
      <c r="W115" s="2"/>
      <c r="X115" s="2"/>
      <c r="Y115" s="2"/>
      <c r="Z115" s="2"/>
      <c r="AA115" s="2"/>
      <c r="AB115" s="2"/>
      <c r="AC115" s="2"/>
      <c r="AD115" s="2"/>
      <c r="AE115" s="2"/>
      <c r="AF115" s="2"/>
      <c r="AG115" s="2"/>
    </row>
    <row r="116" spans="1:33" ht="15.75" x14ac:dyDescent="0.3">
      <c r="A116" s="2"/>
      <c r="B116" s="2"/>
      <c r="C116" s="2"/>
      <c r="D116" s="2"/>
      <c r="E116" s="2"/>
      <c r="F116" s="21" t="s">
        <v>1093</v>
      </c>
      <c r="G116" s="13" t="s">
        <v>332</v>
      </c>
      <c r="H116" s="285">
        <v>1.8</v>
      </c>
      <c r="I116" s="285"/>
      <c r="J116" s="285"/>
      <c r="K116" s="2" t="s">
        <v>340</v>
      </c>
      <c r="L116" s="2"/>
      <c r="M116" s="2"/>
      <c r="N116" s="2"/>
      <c r="O116" s="2"/>
      <c r="P116" s="2" t="s">
        <v>1096</v>
      </c>
      <c r="Q116" s="2"/>
      <c r="R116" s="2"/>
      <c r="S116" s="2"/>
      <c r="T116" s="2"/>
      <c r="U116" s="2"/>
      <c r="V116" s="2"/>
      <c r="W116" s="2"/>
      <c r="X116" s="2"/>
      <c r="Y116" s="2"/>
      <c r="Z116" s="2"/>
      <c r="AA116" s="2"/>
      <c r="AB116" s="2"/>
      <c r="AC116" s="2"/>
      <c r="AD116" s="2"/>
      <c r="AE116" s="2"/>
      <c r="AF116" s="2"/>
      <c r="AG116" s="2"/>
    </row>
    <row r="117" spans="1:33" ht="15.75" x14ac:dyDescent="0.3">
      <c r="A117" s="2"/>
      <c r="B117" s="2"/>
      <c r="C117" s="2"/>
      <c r="D117" s="2"/>
      <c r="E117" s="2"/>
      <c r="F117" s="21" t="s">
        <v>1094</v>
      </c>
      <c r="G117" s="13" t="s">
        <v>332</v>
      </c>
      <c r="H117" s="285">
        <v>0.9</v>
      </c>
      <c r="I117" s="285"/>
      <c r="J117" s="285"/>
      <c r="K117" s="2" t="s">
        <v>340</v>
      </c>
      <c r="L117" s="2"/>
      <c r="M117" s="2"/>
      <c r="N117" s="2"/>
      <c r="O117" s="2"/>
      <c r="P117" s="2" t="s">
        <v>1097</v>
      </c>
      <c r="Q117" s="2"/>
      <c r="R117" s="2"/>
      <c r="S117" s="2"/>
      <c r="T117" s="2"/>
      <c r="U117" s="2"/>
      <c r="V117" s="2"/>
      <c r="W117" s="2"/>
      <c r="X117" s="2"/>
      <c r="Y117" s="2"/>
      <c r="Z117" s="2"/>
      <c r="AA117" s="2"/>
      <c r="AB117" s="2"/>
      <c r="AC117" s="2"/>
      <c r="AD117" s="2"/>
      <c r="AE117" s="2"/>
      <c r="AF117" s="2"/>
      <c r="AG117" s="2"/>
    </row>
    <row r="118" spans="1:33" ht="15.75" x14ac:dyDescent="0.3">
      <c r="A118" s="2"/>
      <c r="B118" s="2"/>
      <c r="C118" s="2"/>
      <c r="D118" s="2"/>
      <c r="E118" s="2"/>
      <c r="F118" s="21" t="s">
        <v>1095</v>
      </c>
      <c r="G118" s="13" t="s">
        <v>332</v>
      </c>
      <c r="H118" s="285">
        <f>40/1000</f>
        <v>0.04</v>
      </c>
      <c r="I118" s="285"/>
      <c r="J118" s="285"/>
      <c r="K118" s="2" t="s">
        <v>340</v>
      </c>
      <c r="L118" s="2"/>
      <c r="M118" s="2"/>
      <c r="N118" s="2"/>
      <c r="O118" s="2"/>
      <c r="P118" s="2" t="s">
        <v>1098</v>
      </c>
      <c r="Q118" s="2"/>
      <c r="R118" s="2"/>
      <c r="S118" s="2"/>
      <c r="T118" s="2"/>
      <c r="U118" s="2"/>
      <c r="V118" s="2"/>
      <c r="W118" s="2"/>
      <c r="X118" s="2"/>
      <c r="Y118" s="2"/>
      <c r="Z118" s="2"/>
      <c r="AA118" s="2"/>
      <c r="AB118" s="2"/>
      <c r="AC118" s="2"/>
      <c r="AD118" s="2"/>
      <c r="AE118" s="2"/>
      <c r="AF118" s="2"/>
      <c r="AG118" s="2"/>
    </row>
    <row r="119" spans="1:33" x14ac:dyDescent="0.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row>
    <row r="120" spans="1:33" ht="15.75" x14ac:dyDescent="0.3">
      <c r="A120" s="2"/>
      <c r="B120" s="2"/>
      <c r="C120" s="2"/>
      <c r="D120" s="2"/>
      <c r="E120" s="2"/>
      <c r="F120" s="21" t="s">
        <v>1456</v>
      </c>
      <c r="G120" s="13" t="s">
        <v>332</v>
      </c>
      <c r="H120" s="231">
        <v>2.2000000000000002</v>
      </c>
      <c r="I120" s="231"/>
      <c r="J120" s="231"/>
      <c r="K120" s="2" t="s">
        <v>340</v>
      </c>
      <c r="L120" s="2"/>
      <c r="M120" s="2"/>
      <c r="N120" s="2"/>
      <c r="O120" s="2"/>
      <c r="P120" s="2" t="s">
        <v>1458</v>
      </c>
      <c r="Q120" s="2"/>
      <c r="R120" s="2"/>
      <c r="S120" s="2"/>
      <c r="T120" s="2"/>
      <c r="U120" s="2"/>
      <c r="V120" s="2"/>
      <c r="W120" s="2"/>
      <c r="X120" s="2"/>
      <c r="Y120" s="2"/>
      <c r="Z120" s="2"/>
      <c r="AA120" s="2"/>
      <c r="AB120" s="2"/>
      <c r="AC120" s="2"/>
      <c r="AD120" s="2"/>
      <c r="AE120" s="2"/>
      <c r="AF120" s="2"/>
      <c r="AG120" s="2"/>
    </row>
    <row r="121" spans="1:33" ht="15.75" x14ac:dyDescent="0.3">
      <c r="A121" s="2"/>
      <c r="B121" s="2"/>
      <c r="C121" s="2"/>
      <c r="D121" s="2"/>
      <c r="E121" s="2"/>
      <c r="F121" s="21" t="s">
        <v>1457</v>
      </c>
      <c r="G121" s="13" t="s">
        <v>332</v>
      </c>
      <c r="H121" s="231">
        <v>1</v>
      </c>
      <c r="I121" s="231"/>
      <c r="J121" s="231"/>
      <c r="K121" s="2" t="s">
        <v>340</v>
      </c>
      <c r="L121" s="2"/>
      <c r="M121" s="2"/>
      <c r="N121" s="2"/>
      <c r="O121" s="2"/>
      <c r="P121" s="2" t="s">
        <v>1459</v>
      </c>
      <c r="Q121" s="2"/>
      <c r="R121" s="2"/>
      <c r="S121" s="2"/>
      <c r="T121" s="2"/>
      <c r="U121" s="2"/>
      <c r="V121" s="2"/>
      <c r="W121" s="2"/>
      <c r="X121" s="2"/>
      <c r="Y121" s="2"/>
      <c r="Z121" s="2"/>
      <c r="AA121" s="2"/>
      <c r="AB121" s="2"/>
      <c r="AC121" s="2"/>
      <c r="AD121" s="2"/>
      <c r="AE121" s="2"/>
      <c r="AF121" s="2"/>
      <c r="AG121" s="2"/>
    </row>
    <row r="122" spans="1:33" ht="15.75" x14ac:dyDescent="0.3">
      <c r="A122" s="2"/>
      <c r="B122" s="2"/>
      <c r="C122" s="2"/>
      <c r="D122" s="2"/>
      <c r="E122" s="2"/>
      <c r="F122" s="21" t="s">
        <v>1460</v>
      </c>
      <c r="G122" s="13" t="s">
        <v>332</v>
      </c>
      <c r="H122" s="288">
        <f>'8. Pile Design'!H187</f>
        <v>0.219</v>
      </c>
      <c r="I122" s="288"/>
      <c r="J122" s="288"/>
      <c r="K122" s="2" t="s">
        <v>340</v>
      </c>
      <c r="L122" s="2"/>
      <c r="M122" s="2"/>
      <c r="N122" s="2"/>
      <c r="O122" s="2"/>
      <c r="P122" s="2" t="s">
        <v>641</v>
      </c>
      <c r="Q122" s="2"/>
      <c r="R122" s="2"/>
      <c r="S122" s="2"/>
      <c r="T122" s="2"/>
      <c r="U122" s="2"/>
      <c r="V122" s="2"/>
      <c r="W122" s="2"/>
      <c r="X122" s="2"/>
      <c r="Y122" s="2"/>
      <c r="Z122" s="2"/>
      <c r="AA122" s="2"/>
      <c r="AB122" s="2"/>
      <c r="AC122" s="2"/>
      <c r="AD122" s="2"/>
      <c r="AE122" s="2"/>
      <c r="AF122" s="2"/>
      <c r="AG122" s="2"/>
    </row>
    <row r="123" spans="1:33" x14ac:dyDescent="0.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row>
    <row r="124" spans="1:33" x14ac:dyDescent="0.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row>
    <row r="125" spans="1:33" x14ac:dyDescent="0.2">
      <c r="A125" s="2"/>
      <c r="B125" s="2"/>
      <c r="C125" s="18" t="s">
        <v>1099</v>
      </c>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row>
    <row r="126" spans="1:33" x14ac:dyDescent="0.2">
      <c r="A126" s="2"/>
      <c r="B126" s="2"/>
      <c r="C126" s="232" t="s">
        <v>453</v>
      </c>
      <c r="D126" s="232"/>
      <c r="E126" s="232"/>
      <c r="F126" s="232"/>
      <c r="G126" s="232"/>
      <c r="H126" s="232"/>
      <c r="I126" s="232"/>
      <c r="J126" s="232"/>
      <c r="K126" s="232"/>
      <c r="L126" s="232"/>
      <c r="M126" s="232"/>
      <c r="N126" s="232"/>
      <c r="O126" s="232"/>
      <c r="P126" s="232"/>
      <c r="Q126" s="232"/>
      <c r="R126" s="232"/>
      <c r="S126" s="232"/>
      <c r="T126" s="232"/>
      <c r="U126" s="232"/>
      <c r="V126" s="232"/>
      <c r="W126" s="232"/>
      <c r="X126" s="232"/>
      <c r="Y126" s="232"/>
      <c r="Z126" s="232"/>
      <c r="AA126" s="232"/>
      <c r="AB126" s="232"/>
      <c r="AC126" s="232"/>
      <c r="AD126" s="232"/>
      <c r="AE126" s="232"/>
      <c r="AF126" s="232"/>
      <c r="AG126" s="232"/>
    </row>
    <row r="127" spans="1:33" x14ac:dyDescent="0.2">
      <c r="A127" s="2"/>
      <c r="B127" s="2"/>
      <c r="C127" s="232"/>
      <c r="D127" s="232"/>
      <c r="E127" s="232"/>
      <c r="F127" s="232"/>
      <c r="G127" s="232"/>
      <c r="H127" s="232"/>
      <c r="I127" s="232"/>
      <c r="J127" s="232"/>
      <c r="K127" s="232"/>
      <c r="L127" s="232"/>
      <c r="M127" s="232"/>
      <c r="N127" s="232"/>
      <c r="O127" s="232"/>
      <c r="P127" s="232"/>
      <c r="Q127" s="232"/>
      <c r="R127" s="232"/>
      <c r="S127" s="232"/>
      <c r="T127" s="232"/>
      <c r="U127" s="232"/>
      <c r="V127" s="232"/>
      <c r="W127" s="232"/>
      <c r="X127" s="232"/>
      <c r="Y127" s="232"/>
      <c r="Z127" s="232"/>
      <c r="AA127" s="232"/>
      <c r="AB127" s="232"/>
      <c r="AC127" s="232"/>
      <c r="AD127" s="232"/>
      <c r="AE127" s="232"/>
      <c r="AF127" s="232"/>
      <c r="AG127" s="232"/>
    </row>
    <row r="128" spans="1:33" x14ac:dyDescent="0.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row>
    <row r="129" spans="1:33" x14ac:dyDescent="0.2">
      <c r="A129" s="2"/>
      <c r="B129" s="2"/>
      <c r="C129" s="2"/>
      <c r="D129" s="16" t="s">
        <v>366</v>
      </c>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row>
    <row r="130" spans="1:33" x14ac:dyDescent="0.2">
      <c r="A130" s="2"/>
      <c r="B130" s="2"/>
      <c r="C130" s="2"/>
      <c r="D130" s="232" t="s">
        <v>1397</v>
      </c>
      <c r="E130" s="232"/>
      <c r="F130" s="232"/>
      <c r="G130" s="232"/>
      <c r="H130" s="232"/>
      <c r="I130" s="232"/>
      <c r="J130" s="232"/>
      <c r="K130" s="232"/>
      <c r="L130" s="232"/>
      <c r="M130" s="232"/>
      <c r="N130" s="232"/>
      <c r="O130" s="232"/>
      <c r="P130" s="232"/>
      <c r="Q130" s="232"/>
      <c r="R130" s="232"/>
      <c r="S130" s="232"/>
      <c r="T130" s="232"/>
      <c r="U130" s="232"/>
      <c r="V130" s="232"/>
      <c r="W130" s="232"/>
      <c r="X130" s="232"/>
      <c r="Y130" s="232"/>
      <c r="Z130" s="232"/>
      <c r="AA130" s="232"/>
      <c r="AB130" s="232"/>
      <c r="AC130" s="232"/>
      <c r="AD130" s="232"/>
      <c r="AE130" s="232"/>
      <c r="AF130" s="232"/>
      <c r="AG130" s="232"/>
    </row>
    <row r="131" spans="1:33" x14ac:dyDescent="0.2">
      <c r="A131" s="2"/>
      <c r="B131" s="2"/>
      <c r="C131" s="2"/>
      <c r="D131" s="232"/>
      <c r="E131" s="232"/>
      <c r="F131" s="232"/>
      <c r="G131" s="232"/>
      <c r="H131" s="232"/>
      <c r="I131" s="232"/>
      <c r="J131" s="232"/>
      <c r="K131" s="232"/>
      <c r="L131" s="232"/>
      <c r="M131" s="232"/>
      <c r="N131" s="232"/>
      <c r="O131" s="232"/>
      <c r="P131" s="232"/>
      <c r="Q131" s="232"/>
      <c r="R131" s="232"/>
      <c r="S131" s="232"/>
      <c r="T131" s="232"/>
      <c r="U131" s="232"/>
      <c r="V131" s="232"/>
      <c r="W131" s="232"/>
      <c r="X131" s="232"/>
      <c r="Y131" s="232"/>
      <c r="Z131" s="232"/>
      <c r="AA131" s="232"/>
      <c r="AB131" s="232"/>
      <c r="AC131" s="232"/>
      <c r="AD131" s="232"/>
      <c r="AE131" s="232"/>
      <c r="AF131" s="232"/>
      <c r="AG131" s="232"/>
    </row>
    <row r="132" spans="1:33" x14ac:dyDescent="0.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row>
    <row r="133" spans="1:33" x14ac:dyDescent="0.2">
      <c r="A133" s="2"/>
      <c r="B133" s="2"/>
      <c r="C133" s="2"/>
      <c r="D133" s="2"/>
      <c r="E133" s="2"/>
      <c r="F133" s="2"/>
      <c r="G133" s="2"/>
      <c r="H133" s="233" t="s">
        <v>367</v>
      </c>
      <c r="I133" s="234"/>
      <c r="J133" s="234"/>
      <c r="K133" s="235"/>
      <c r="L133" s="233" t="s">
        <v>368</v>
      </c>
      <c r="M133" s="234"/>
      <c r="N133" s="234"/>
      <c r="O133" s="235"/>
      <c r="P133" s="233" t="s">
        <v>369</v>
      </c>
      <c r="Q133" s="234"/>
      <c r="R133" s="234"/>
      <c r="S133" s="235"/>
      <c r="T133" s="233" t="s">
        <v>370</v>
      </c>
      <c r="U133" s="234"/>
      <c r="V133" s="234"/>
      <c r="W133" s="235"/>
      <c r="X133" s="2"/>
      <c r="Y133" s="2"/>
      <c r="Z133" s="2"/>
      <c r="AA133" s="2"/>
      <c r="AB133" s="2"/>
      <c r="AC133" s="2"/>
      <c r="AD133" s="2"/>
      <c r="AE133" s="2"/>
      <c r="AF133" s="2"/>
      <c r="AG133" s="2"/>
    </row>
    <row r="134" spans="1:33" x14ac:dyDescent="0.2">
      <c r="A134" s="2"/>
      <c r="B134" s="2"/>
      <c r="C134" s="2"/>
      <c r="D134" s="233" t="s">
        <v>361</v>
      </c>
      <c r="E134" s="234"/>
      <c r="F134" s="234"/>
      <c r="G134" s="235"/>
      <c r="H134" s="293">
        <f>H115</f>
        <v>3</v>
      </c>
      <c r="I134" s="234"/>
      <c r="J134" s="234"/>
      <c r="K134" s="235"/>
      <c r="L134" s="293">
        <f>H116</f>
        <v>1.8</v>
      </c>
      <c r="M134" s="234"/>
      <c r="N134" s="234"/>
      <c r="O134" s="235"/>
      <c r="P134" s="293">
        <f>H117</f>
        <v>0.9</v>
      </c>
      <c r="Q134" s="294"/>
      <c r="R134" s="294"/>
      <c r="S134" s="295"/>
      <c r="T134" s="233">
        <f>H134*L134*P134</f>
        <v>4.8600000000000003</v>
      </c>
      <c r="U134" s="234"/>
      <c r="V134" s="234"/>
      <c r="W134" s="235"/>
      <c r="X134" s="2"/>
      <c r="Y134" s="2"/>
      <c r="Z134" s="2"/>
      <c r="AA134" s="2"/>
      <c r="AB134" s="2"/>
      <c r="AC134" s="2"/>
      <c r="AD134" s="2"/>
      <c r="AE134" s="2"/>
      <c r="AF134" s="2"/>
      <c r="AG134" s="2"/>
    </row>
    <row r="135" spans="1:33" x14ac:dyDescent="0.2">
      <c r="A135" s="2"/>
      <c r="B135" s="2"/>
      <c r="C135" s="2"/>
      <c r="D135" s="233" t="s">
        <v>371</v>
      </c>
      <c r="E135" s="234"/>
      <c r="F135" s="234"/>
      <c r="G135" s="235"/>
      <c r="H135" s="293">
        <f>H134</f>
        <v>3</v>
      </c>
      <c r="I135" s="234"/>
      <c r="J135" s="234"/>
      <c r="K135" s="235"/>
      <c r="L135" s="293">
        <f>L134</f>
        <v>1.8</v>
      </c>
      <c r="M135" s="234"/>
      <c r="N135" s="234"/>
      <c r="O135" s="235"/>
      <c r="P135" s="293">
        <f>H118</f>
        <v>0.04</v>
      </c>
      <c r="Q135" s="294"/>
      <c r="R135" s="294"/>
      <c r="S135" s="295"/>
      <c r="T135" s="293">
        <f>H135*L135*P135</f>
        <v>0.21600000000000003</v>
      </c>
      <c r="U135" s="294"/>
      <c r="V135" s="294"/>
      <c r="W135" s="295"/>
      <c r="X135" s="2"/>
      <c r="Y135" s="2"/>
      <c r="Z135" s="2" t="s">
        <v>843</v>
      </c>
      <c r="AA135" s="2"/>
      <c r="AB135" s="2"/>
      <c r="AC135" s="2"/>
      <c r="AD135" s="2"/>
      <c r="AE135" s="2"/>
      <c r="AF135" s="2"/>
      <c r="AG135" s="2"/>
    </row>
    <row r="136" spans="1:33" x14ac:dyDescent="0.2">
      <c r="A136" s="2"/>
      <c r="B136" s="2"/>
      <c r="C136" s="2"/>
      <c r="D136" s="2"/>
      <c r="E136" s="2"/>
      <c r="F136" s="2"/>
      <c r="G136" s="2"/>
      <c r="H136" s="2"/>
      <c r="I136" s="2"/>
      <c r="J136" s="2"/>
      <c r="K136" s="2"/>
      <c r="L136" s="2"/>
      <c r="M136" s="2"/>
      <c r="N136" s="2"/>
      <c r="O136" s="2"/>
      <c r="P136" s="2"/>
      <c r="Q136" s="2"/>
      <c r="R136" s="2"/>
      <c r="S136" s="21" t="s">
        <v>362</v>
      </c>
      <c r="T136" s="296">
        <f>SUM(T134:W135)</f>
        <v>5.0760000000000005</v>
      </c>
      <c r="U136" s="296"/>
      <c r="V136" s="296"/>
      <c r="W136" s="296"/>
      <c r="X136" s="2" t="s">
        <v>373</v>
      </c>
      <c r="Y136" s="2"/>
      <c r="Z136" s="2"/>
      <c r="AA136" s="2"/>
      <c r="AB136" s="2"/>
      <c r="AC136" s="2"/>
      <c r="AD136" s="2"/>
      <c r="AE136" s="2"/>
      <c r="AF136" s="2"/>
      <c r="AG136" s="2"/>
    </row>
    <row r="137" spans="1:33" x14ac:dyDescent="0.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row>
    <row r="138" spans="1:33" x14ac:dyDescent="0.2">
      <c r="A138" s="2"/>
      <c r="B138" s="2"/>
      <c r="C138" s="2"/>
      <c r="E138" s="2"/>
      <c r="F138" s="2"/>
      <c r="G138" s="2"/>
      <c r="H138" s="2"/>
      <c r="I138" s="2"/>
      <c r="J138" s="2"/>
      <c r="K138" s="2"/>
      <c r="L138" s="21" t="s">
        <v>363</v>
      </c>
      <c r="M138" s="231">
        <f>2400*9.81/1000</f>
        <v>23.544</v>
      </c>
      <c r="N138" s="231"/>
      <c r="O138" s="231"/>
      <c r="P138" s="2" t="s">
        <v>372</v>
      </c>
      <c r="Q138" s="2"/>
      <c r="R138" s="2"/>
      <c r="S138" s="2"/>
      <c r="T138" s="232" t="s">
        <v>1398</v>
      </c>
      <c r="U138" s="232"/>
      <c r="V138" s="232"/>
      <c r="W138" s="232"/>
      <c r="X138" s="232"/>
      <c r="Y138" s="232"/>
      <c r="Z138" s="232"/>
      <c r="AA138" s="232"/>
      <c r="AB138" s="232"/>
      <c r="AC138" s="232"/>
      <c r="AD138" s="232"/>
      <c r="AE138" s="232"/>
      <c r="AF138" s="232"/>
      <c r="AG138" s="232"/>
    </row>
    <row r="139" spans="1:33" ht="15" customHeight="1" x14ac:dyDescent="0.2">
      <c r="A139" s="2"/>
      <c r="B139" s="2"/>
      <c r="C139" s="2"/>
      <c r="E139" s="2"/>
      <c r="F139" s="2"/>
      <c r="G139" s="2"/>
      <c r="H139" s="2"/>
      <c r="I139" s="2"/>
      <c r="J139" s="2"/>
      <c r="K139" s="2"/>
      <c r="L139" s="21" t="s">
        <v>364</v>
      </c>
      <c r="M139" s="231">
        <f>T136*M138</f>
        <v>119.50934400000001</v>
      </c>
      <c r="N139" s="231"/>
      <c r="O139" s="231"/>
      <c r="P139" s="2" t="s">
        <v>335</v>
      </c>
      <c r="Q139" s="2"/>
      <c r="R139" s="2"/>
      <c r="S139" s="2"/>
      <c r="T139" s="232"/>
      <c r="U139" s="232"/>
      <c r="V139" s="232"/>
      <c r="W139" s="232"/>
      <c r="X139" s="232"/>
      <c r="Y139" s="232"/>
      <c r="Z139" s="232"/>
      <c r="AA139" s="232"/>
      <c r="AB139" s="232"/>
      <c r="AC139" s="232"/>
      <c r="AD139" s="232"/>
      <c r="AE139" s="232"/>
      <c r="AF139" s="232"/>
      <c r="AG139" s="232"/>
    </row>
    <row r="140" spans="1:33" x14ac:dyDescent="0.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row>
    <row r="141" spans="1:33" x14ac:dyDescent="0.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row>
    <row r="142" spans="1:33" ht="15" x14ac:dyDescent="0.25">
      <c r="A142" s="2"/>
      <c r="B142" s="2"/>
      <c r="D142" s="16" t="s">
        <v>1101</v>
      </c>
      <c r="E142" s="2"/>
      <c r="F142" s="2"/>
      <c r="G142" s="2"/>
      <c r="H142" s="2"/>
      <c r="I142" s="2"/>
      <c r="J142" s="2"/>
      <c r="K142" s="2"/>
      <c r="L142" s="2"/>
      <c r="M142" s="2"/>
      <c r="N142" s="2"/>
      <c r="O142" s="2"/>
      <c r="P142" s="2"/>
      <c r="Q142" s="2"/>
      <c r="R142" s="2"/>
      <c r="S142" s="2"/>
      <c r="T142" s="2"/>
      <c r="U142" s="2"/>
      <c r="V142" s="2"/>
      <c r="W142" s="2"/>
      <c r="X142" s="2"/>
      <c r="Y142" s="2"/>
      <c r="Z142" s="2"/>
      <c r="AA142"/>
      <c r="AB142"/>
      <c r="AC142"/>
      <c r="AD142"/>
      <c r="AE142"/>
      <c r="AF142"/>
      <c r="AG142" s="2"/>
    </row>
    <row r="143" spans="1:33" ht="15" x14ac:dyDescent="0.25">
      <c r="A143" s="2"/>
      <c r="B143" s="2"/>
      <c r="C143" s="2"/>
      <c r="D143" s="2" t="s">
        <v>1102</v>
      </c>
      <c r="E143" s="2"/>
      <c r="F143" s="2"/>
      <c r="G143" s="2"/>
      <c r="H143" s="2"/>
      <c r="I143" s="2"/>
      <c r="J143" s="2"/>
      <c r="K143" s="2"/>
      <c r="L143" s="2"/>
      <c r="M143" s="2"/>
      <c r="N143" s="2"/>
      <c r="O143" s="2"/>
      <c r="P143" s="2"/>
      <c r="Q143" s="2"/>
      <c r="R143" s="2"/>
      <c r="S143" s="2"/>
      <c r="T143" s="2"/>
      <c r="U143" s="2"/>
      <c r="V143" s="2"/>
      <c r="W143" s="2"/>
      <c r="X143" s="2"/>
      <c r="Y143" s="2"/>
      <c r="Z143"/>
      <c r="AB143"/>
      <c r="AC143"/>
      <c r="AD143"/>
      <c r="AE143"/>
      <c r="AF143"/>
      <c r="AG143" s="2"/>
    </row>
    <row r="144" spans="1:33" x14ac:dyDescent="0.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row>
    <row r="145" spans="1:33" ht="15.75" x14ac:dyDescent="0.3">
      <c r="A145" s="2"/>
      <c r="B145" s="2"/>
      <c r="C145" s="2"/>
      <c r="D145" s="2"/>
      <c r="E145" s="2"/>
      <c r="F145" s="2"/>
      <c r="G145" s="2"/>
      <c r="H145" s="21" t="s">
        <v>1103</v>
      </c>
      <c r="I145" s="13" t="s">
        <v>332</v>
      </c>
      <c r="J145" s="231">
        <f>O21</f>
        <v>36.679590000000005</v>
      </c>
      <c r="K145" s="231"/>
      <c r="L145" s="231"/>
      <c r="M145" s="2" t="s">
        <v>335</v>
      </c>
      <c r="Q145" s="2"/>
      <c r="R145" s="2"/>
      <c r="S145" s="2"/>
      <c r="T145" s="2"/>
      <c r="U145" s="2"/>
      <c r="V145" s="2"/>
      <c r="W145" s="2"/>
      <c r="X145" s="2"/>
      <c r="Y145" s="2"/>
      <c r="Z145" s="2"/>
      <c r="AA145" s="2"/>
      <c r="AB145" s="2"/>
      <c r="AC145" s="2"/>
      <c r="AD145" s="2"/>
      <c r="AE145" s="2"/>
      <c r="AF145" s="2"/>
      <c r="AG145" s="2"/>
    </row>
    <row r="146" spans="1:33" x14ac:dyDescent="0.2">
      <c r="A146" s="2"/>
      <c r="B146" s="2"/>
      <c r="C146" s="2"/>
      <c r="D146" s="2"/>
      <c r="E146" s="2"/>
      <c r="F146" s="2"/>
      <c r="G146" s="2"/>
      <c r="N146" s="2"/>
      <c r="O146" s="2"/>
      <c r="P146" s="2"/>
      <c r="Q146" s="2"/>
      <c r="R146" s="2"/>
      <c r="S146" s="2"/>
      <c r="T146" s="2"/>
      <c r="U146" s="2"/>
      <c r="V146" s="2"/>
      <c r="W146" s="2"/>
      <c r="X146" s="2"/>
      <c r="Y146" s="2"/>
      <c r="Z146" s="2"/>
      <c r="AA146" s="2"/>
      <c r="AB146" s="2"/>
      <c r="AC146" s="2"/>
      <c r="AD146" s="2"/>
      <c r="AE146" s="2"/>
      <c r="AF146" s="2"/>
      <c r="AG146" s="2"/>
    </row>
    <row r="147" spans="1:33" x14ac:dyDescent="0.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row>
    <row r="148" spans="1:33" x14ac:dyDescent="0.2">
      <c r="A148" s="2"/>
      <c r="B148" s="2"/>
      <c r="C148" s="2"/>
      <c r="D148" s="16" t="s">
        <v>1104</v>
      </c>
      <c r="E148" s="2"/>
      <c r="F148" s="2"/>
      <c r="G148" s="2"/>
      <c r="H148" s="2" t="s">
        <v>1105</v>
      </c>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row>
    <row r="149" spans="1:33" x14ac:dyDescent="0.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row>
    <row r="150" spans="1:33" x14ac:dyDescent="0.2">
      <c r="A150" s="2"/>
      <c r="B150" s="2"/>
      <c r="C150" s="2"/>
      <c r="D150" s="2"/>
      <c r="E150" s="2"/>
      <c r="F150" s="2"/>
      <c r="G150" s="2"/>
      <c r="H150" s="21" t="s">
        <v>805</v>
      </c>
      <c r="I150" s="13" t="s">
        <v>332</v>
      </c>
      <c r="J150" s="285">
        <f>M139/J145</f>
        <v>3.2581973789783363</v>
      </c>
      <c r="K150" s="285"/>
      <c r="L150" s="285"/>
      <c r="M150" s="2" t="s">
        <v>1106</v>
      </c>
      <c r="N150" s="2"/>
      <c r="O150" s="2"/>
      <c r="P150" s="2"/>
      <c r="Q150" s="2"/>
      <c r="R150" s="2"/>
      <c r="S150" s="2"/>
      <c r="T150" s="2"/>
      <c r="U150" s="2"/>
      <c r="V150" s="2"/>
      <c r="W150" s="2"/>
      <c r="X150" s="2"/>
      <c r="Y150" s="2"/>
      <c r="Z150" s="2"/>
      <c r="AA150" s="2"/>
      <c r="AB150" s="2"/>
      <c r="AC150" s="2"/>
      <c r="AD150" s="2"/>
      <c r="AE150" s="2"/>
      <c r="AF150" s="2"/>
      <c r="AG150" s="2"/>
    </row>
    <row r="151" spans="1:33" x14ac:dyDescent="0.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row>
    <row r="152" spans="1:33" x14ac:dyDescent="0.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row>
    <row r="153" spans="1:33" x14ac:dyDescent="0.2">
      <c r="A153" s="2"/>
      <c r="B153" s="2"/>
      <c r="C153" s="2" t="s">
        <v>1107</v>
      </c>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row>
    <row r="154" spans="1:33" x14ac:dyDescent="0.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row>
    <row r="155" spans="1:33" x14ac:dyDescent="0.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row>
    <row r="156" spans="1:33" x14ac:dyDescent="0.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row>
    <row r="157" spans="1:33" x14ac:dyDescent="0.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row>
    <row r="158" spans="1:33" x14ac:dyDescent="0.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row>
    <row r="159" spans="1:33" x14ac:dyDescent="0.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row>
    <row r="160" spans="1:33" x14ac:dyDescent="0.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row>
    <row r="161" spans="1:33" x14ac:dyDescent="0.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row>
    <row r="162" spans="1:33" x14ac:dyDescent="0.2">
      <c r="A162" s="2"/>
      <c r="B162" s="2"/>
      <c r="C162" s="18" t="s">
        <v>1108</v>
      </c>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row>
    <row r="163" spans="1:33" ht="15" x14ac:dyDescent="0.25">
      <c r="A163" s="2"/>
      <c r="B163" s="2"/>
      <c r="C163" s="2" t="s">
        <v>1399</v>
      </c>
      <c r="D163" s="2"/>
      <c r="E163" s="2"/>
      <c r="F163" s="2"/>
      <c r="G163" s="2"/>
      <c r="H163" s="2"/>
      <c r="I163" s="2"/>
      <c r="J163" s="2"/>
      <c r="K163" s="2"/>
      <c r="L163" s="2"/>
      <c r="M163" s="2"/>
      <c r="N163" s="2"/>
      <c r="O163" s="2"/>
      <c r="P163" s="2"/>
      <c r="Q163" s="2"/>
      <c r="R163" s="2"/>
      <c r="S163" s="2"/>
      <c r="T163" s="2"/>
      <c r="U163" s="2"/>
      <c r="V163" s="2"/>
      <c r="W163" s="2"/>
      <c r="X163"/>
      <c r="Y163"/>
      <c r="Z163"/>
      <c r="AA163"/>
      <c r="AB163"/>
      <c r="AC163"/>
      <c r="AD163"/>
      <c r="AE163"/>
      <c r="AF163"/>
    </row>
    <row r="164" spans="1:33" ht="15"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c r="Y164"/>
      <c r="Z164"/>
      <c r="AA164"/>
      <c r="AB164"/>
      <c r="AC164"/>
      <c r="AD164"/>
      <c r="AE164"/>
      <c r="AF164"/>
    </row>
    <row r="165" spans="1:33" ht="15" x14ac:dyDescent="0.25">
      <c r="A165" s="2"/>
      <c r="B165" s="2"/>
      <c r="C165" s="2"/>
      <c r="D165" s="27" t="s">
        <v>448</v>
      </c>
      <c r="E165" s="27"/>
      <c r="F165" s="27"/>
      <c r="G165" s="27"/>
      <c r="H165" s="27"/>
      <c r="I165" s="27"/>
      <c r="J165" s="27"/>
      <c r="K165" s="27"/>
      <c r="L165" s="27"/>
      <c r="M165" s="27"/>
      <c r="N165" s="27"/>
      <c r="O165" s="27"/>
      <c r="P165" s="27"/>
      <c r="Q165" s="2"/>
      <c r="R165" s="2"/>
      <c r="S165" s="2"/>
      <c r="T165" s="2"/>
      <c r="U165" s="2"/>
      <c r="V165" s="2"/>
      <c r="W165" s="2"/>
      <c r="X165"/>
      <c r="Y165"/>
      <c r="Z165"/>
      <c r="AA165"/>
      <c r="AB165"/>
      <c r="AC165"/>
      <c r="AD165"/>
      <c r="AE165"/>
      <c r="AF165"/>
    </row>
    <row r="166" spans="1:33" ht="15"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c r="Y166"/>
      <c r="Z166"/>
      <c r="AA166"/>
      <c r="AB166"/>
      <c r="AC166"/>
      <c r="AD166"/>
      <c r="AE166"/>
      <c r="AF166"/>
    </row>
    <row r="167" spans="1:33" ht="15.75" x14ac:dyDescent="0.25">
      <c r="A167" s="2"/>
      <c r="B167" s="2"/>
      <c r="C167" s="2"/>
      <c r="D167" s="2"/>
      <c r="E167" s="286" t="s">
        <v>449</v>
      </c>
      <c r="F167" s="286"/>
      <c r="G167" s="44" t="s">
        <v>332</v>
      </c>
      <c r="H167" s="287">
        <f>H117</f>
        <v>0.9</v>
      </c>
      <c r="I167" s="287"/>
      <c r="J167" s="287"/>
      <c r="K167" s="14" t="s">
        <v>340</v>
      </c>
      <c r="L167" s="2" t="s">
        <v>450</v>
      </c>
      <c r="M167" s="2"/>
      <c r="N167" s="2"/>
      <c r="O167" s="2"/>
      <c r="P167" s="2"/>
      <c r="Q167" s="2"/>
      <c r="R167" s="2"/>
      <c r="S167" s="2"/>
      <c r="T167" s="2"/>
      <c r="U167" s="2"/>
      <c r="V167" s="2"/>
      <c r="W167" s="2"/>
      <c r="X167"/>
      <c r="Y167"/>
      <c r="Z167"/>
      <c r="AA167"/>
      <c r="AB167"/>
      <c r="AC167"/>
      <c r="AD167"/>
      <c r="AE167"/>
      <c r="AF167"/>
    </row>
    <row r="168" spans="1:33" ht="15"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c r="Y168"/>
      <c r="Z168"/>
      <c r="AA168"/>
      <c r="AB168"/>
      <c r="AC168"/>
      <c r="AD168"/>
      <c r="AE168"/>
      <c r="AF168"/>
    </row>
    <row r="169" spans="1:33" ht="15"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c r="Y169"/>
      <c r="Z169"/>
      <c r="AA169"/>
      <c r="AB169"/>
      <c r="AC169"/>
      <c r="AD169"/>
      <c r="AE169"/>
      <c r="AF169"/>
    </row>
    <row r="170" spans="1:33" ht="15.75" x14ac:dyDescent="0.25">
      <c r="A170" s="2"/>
      <c r="B170" s="2"/>
      <c r="C170" s="2"/>
      <c r="D170" s="27" t="s">
        <v>1109</v>
      </c>
      <c r="E170" s="27"/>
      <c r="F170" s="27"/>
      <c r="G170" s="27"/>
      <c r="H170" s="27"/>
      <c r="I170" s="27"/>
      <c r="J170" s="27"/>
      <c r="K170" s="27"/>
      <c r="L170" s="27"/>
      <c r="M170" s="27"/>
      <c r="N170" s="27"/>
      <c r="O170" s="27"/>
      <c r="P170" s="27"/>
      <c r="Q170" s="27"/>
      <c r="R170" s="27"/>
      <c r="S170" s="27"/>
      <c r="T170" s="2"/>
      <c r="U170" s="2"/>
      <c r="V170" s="2"/>
      <c r="W170" s="2"/>
      <c r="X170"/>
      <c r="Y170"/>
      <c r="Z170"/>
      <c r="AA170"/>
      <c r="AB170"/>
      <c r="AC170"/>
      <c r="AD170"/>
      <c r="AE170"/>
      <c r="AF170"/>
    </row>
    <row r="171" spans="1:33" ht="14.25" customHeight="1" x14ac:dyDescent="0.2">
      <c r="A171" s="2"/>
      <c r="B171" s="2"/>
      <c r="D171" s="14"/>
      <c r="E171" s="14"/>
      <c r="F171" s="14"/>
      <c r="G171" s="14"/>
      <c r="H171" s="14"/>
      <c r="I171" s="14"/>
      <c r="J171" s="14"/>
      <c r="K171" s="14"/>
      <c r="L171" s="14"/>
      <c r="M171" s="14"/>
      <c r="N171" s="14"/>
      <c r="O171" s="14"/>
      <c r="P171" s="14"/>
      <c r="Q171" s="14"/>
      <c r="R171" s="14"/>
      <c r="S171" s="14"/>
      <c r="T171" s="27"/>
      <c r="U171" s="27"/>
      <c r="V171" s="27"/>
      <c r="W171" s="27"/>
      <c r="X171" s="27"/>
      <c r="Y171" s="27"/>
      <c r="Z171" s="27"/>
      <c r="AA171" s="27"/>
      <c r="AB171" s="27"/>
      <c r="AC171" s="27"/>
      <c r="AD171" s="27"/>
      <c r="AE171" s="27"/>
      <c r="AF171" s="27"/>
      <c r="AG171" s="27"/>
    </row>
    <row r="172" spans="1:33" ht="15" x14ac:dyDescent="0.25">
      <c r="A172" s="2"/>
      <c r="B172" s="2"/>
      <c r="D172" s="14"/>
      <c r="E172" s="14"/>
      <c r="F172" s="43" t="s">
        <v>172</v>
      </c>
      <c r="G172" s="44" t="s">
        <v>332</v>
      </c>
      <c r="H172" s="29" t="s">
        <v>1110</v>
      </c>
      <c r="I172" s="14"/>
      <c r="J172" s="14"/>
      <c r="K172" s="14"/>
      <c r="L172" s="14"/>
      <c r="M172" s="14"/>
      <c r="N172" s="14"/>
      <c r="O172" s="14"/>
      <c r="P172" s="14"/>
      <c r="Q172" s="14"/>
      <c r="R172" s="14"/>
      <c r="S172" s="14"/>
      <c r="T172" s="2"/>
      <c r="U172" s="2"/>
      <c r="V172" s="2"/>
      <c r="W172" s="2"/>
      <c r="X172"/>
      <c r="Y172"/>
      <c r="Z172"/>
      <c r="AA172"/>
      <c r="AB172"/>
      <c r="AC172"/>
      <c r="AD172"/>
      <c r="AE172"/>
      <c r="AF172"/>
    </row>
    <row r="173" spans="1:33" ht="15.75" x14ac:dyDescent="0.25">
      <c r="A173" s="2"/>
      <c r="B173" s="2"/>
      <c r="D173" s="14"/>
      <c r="E173" s="14"/>
      <c r="F173" s="43" t="s">
        <v>451</v>
      </c>
      <c r="G173" s="44" t="s">
        <v>332</v>
      </c>
      <c r="H173" s="287">
        <f>H115</f>
        <v>3</v>
      </c>
      <c r="I173" s="287"/>
      <c r="J173" s="287"/>
      <c r="K173" s="14" t="s">
        <v>340</v>
      </c>
      <c r="L173" s="14"/>
      <c r="M173" s="14"/>
      <c r="N173" s="14"/>
      <c r="O173" s="29" t="s">
        <v>817</v>
      </c>
      <c r="P173" s="14"/>
      <c r="Q173" s="14"/>
      <c r="R173" s="14"/>
      <c r="S173" s="14"/>
      <c r="T173" s="2"/>
      <c r="U173" s="2"/>
      <c r="V173" s="2"/>
      <c r="W173" s="2"/>
      <c r="X173"/>
      <c r="Y173"/>
      <c r="Z173"/>
      <c r="AA173"/>
      <c r="AB173"/>
      <c r="AC173"/>
      <c r="AD173"/>
      <c r="AE173"/>
      <c r="AF173"/>
    </row>
    <row r="174" spans="1:33" ht="15.75" x14ac:dyDescent="0.25">
      <c r="A174" s="2"/>
      <c r="B174" s="2"/>
      <c r="C174" s="2"/>
      <c r="D174" s="14"/>
      <c r="E174" s="14"/>
      <c r="F174" s="43" t="s">
        <v>452</v>
      </c>
      <c r="G174" s="44" t="s">
        <v>332</v>
      </c>
      <c r="H174" s="287">
        <f>H116</f>
        <v>1.8</v>
      </c>
      <c r="I174" s="287"/>
      <c r="J174" s="287"/>
      <c r="K174" s="14" t="s">
        <v>340</v>
      </c>
      <c r="L174" s="14"/>
      <c r="M174" s="14"/>
      <c r="N174" s="14"/>
      <c r="O174" s="29" t="s">
        <v>818</v>
      </c>
      <c r="P174" s="14"/>
      <c r="Q174" s="14"/>
      <c r="R174" s="14"/>
      <c r="S174" s="14"/>
      <c r="T174" s="2"/>
      <c r="U174" s="2"/>
      <c r="V174" s="2"/>
      <c r="W174" s="2"/>
      <c r="X174"/>
      <c r="Y174"/>
      <c r="Z174"/>
      <c r="AA174"/>
      <c r="AB174"/>
      <c r="AC174"/>
      <c r="AD174"/>
      <c r="AE174"/>
      <c r="AF174"/>
    </row>
    <row r="175" spans="1:33" ht="15" x14ac:dyDescent="0.25">
      <c r="A175" s="2"/>
      <c r="B175" s="2"/>
      <c r="C175" s="2"/>
      <c r="D175" s="14"/>
      <c r="E175" s="14"/>
      <c r="F175" s="43" t="s">
        <v>172</v>
      </c>
      <c r="G175" s="44" t="s">
        <v>332</v>
      </c>
      <c r="H175" s="287">
        <f>MAX(H173:J174)</f>
        <v>3</v>
      </c>
      <c r="I175" s="287"/>
      <c r="J175" s="287"/>
      <c r="K175" s="14" t="s">
        <v>340</v>
      </c>
      <c r="L175" s="14"/>
      <c r="M175" s="14"/>
      <c r="N175" s="14"/>
      <c r="O175" s="29" t="s">
        <v>819</v>
      </c>
      <c r="P175" s="14"/>
      <c r="Q175" s="14"/>
      <c r="R175" s="14"/>
      <c r="S175" s="14"/>
      <c r="T175" s="2"/>
      <c r="U175" s="2"/>
      <c r="V175" s="2"/>
      <c r="W175" s="2"/>
      <c r="X175"/>
      <c r="Y175"/>
      <c r="Z175"/>
      <c r="AA175"/>
      <c r="AB175"/>
      <c r="AC175"/>
      <c r="AD175"/>
      <c r="AE175"/>
      <c r="AF175"/>
    </row>
    <row r="176" spans="1:33" ht="15" x14ac:dyDescent="0.25">
      <c r="A176" s="2"/>
      <c r="B176" s="2"/>
      <c r="C176" s="2"/>
      <c r="D176" s="14"/>
      <c r="E176" s="14"/>
      <c r="F176" s="14"/>
      <c r="G176" s="14"/>
      <c r="H176" s="14"/>
      <c r="I176" s="14"/>
      <c r="J176" s="14"/>
      <c r="K176" s="14"/>
      <c r="L176" s="14"/>
      <c r="M176" s="14"/>
      <c r="N176" s="14"/>
      <c r="O176" s="14"/>
      <c r="P176" s="14"/>
      <c r="Q176" s="14"/>
      <c r="R176" s="14"/>
      <c r="S176" s="14"/>
      <c r="T176" s="2"/>
      <c r="U176" s="2"/>
      <c r="V176" s="2"/>
      <c r="W176" s="2"/>
      <c r="X176"/>
      <c r="Y176"/>
      <c r="Z176"/>
      <c r="AA176"/>
      <c r="AB176"/>
      <c r="AC176"/>
      <c r="AD176"/>
      <c r="AE176"/>
      <c r="AF176"/>
    </row>
    <row r="177" spans="1:33" ht="15.75" x14ac:dyDescent="0.25">
      <c r="A177" s="2"/>
      <c r="B177" s="2"/>
      <c r="C177" s="2"/>
      <c r="D177" s="14"/>
      <c r="E177" s="286" t="s">
        <v>447</v>
      </c>
      <c r="F177" s="286"/>
      <c r="G177" s="44" t="s">
        <v>332</v>
      </c>
      <c r="H177" s="287">
        <f>0.6+H175/30</f>
        <v>0.7</v>
      </c>
      <c r="I177" s="287"/>
      <c r="J177" s="287"/>
      <c r="K177" s="14" t="s">
        <v>340</v>
      </c>
      <c r="L177" s="14"/>
      <c r="M177" s="29"/>
      <c r="N177" s="14"/>
      <c r="O177" s="29" t="s">
        <v>820</v>
      </c>
      <c r="P177" s="14"/>
      <c r="Q177" s="14"/>
      <c r="R177" s="14"/>
      <c r="S177" s="14"/>
      <c r="T177" s="2"/>
      <c r="U177" s="2"/>
      <c r="V177" s="2"/>
      <c r="W177" s="2"/>
      <c r="X177"/>
      <c r="Y177"/>
      <c r="Z177"/>
      <c r="AA177"/>
      <c r="AB177"/>
      <c r="AC177"/>
      <c r="AD177"/>
      <c r="AE177"/>
      <c r="AF177"/>
    </row>
    <row r="178" spans="1:33" ht="15.75" x14ac:dyDescent="0.3">
      <c r="A178" s="2"/>
      <c r="B178" s="2"/>
      <c r="C178" s="2"/>
      <c r="D178" s="2"/>
      <c r="E178" s="286" t="s">
        <v>449</v>
      </c>
      <c r="F178" s="286"/>
      <c r="G178" s="44" t="s">
        <v>332</v>
      </c>
      <c r="H178" s="287">
        <f>H167</f>
        <v>0.9</v>
      </c>
      <c r="I178" s="287"/>
      <c r="J178" s="287"/>
      <c r="K178" s="14" t="s">
        <v>340</v>
      </c>
      <c r="L178" s="2" t="s">
        <v>1111</v>
      </c>
      <c r="M178" s="2"/>
      <c r="N178" s="2"/>
      <c r="O178" s="2"/>
      <c r="P178" s="2"/>
      <c r="Q178" s="2"/>
      <c r="R178" s="2"/>
      <c r="S178" s="2"/>
      <c r="T178" s="2"/>
      <c r="U178" s="2"/>
      <c r="V178" s="2"/>
      <c r="W178" s="2"/>
      <c r="X178"/>
      <c r="Y178"/>
      <c r="Z178"/>
      <c r="AA178"/>
      <c r="AB178"/>
      <c r="AC178"/>
      <c r="AD178"/>
      <c r="AE178"/>
      <c r="AF178"/>
    </row>
    <row r="179" spans="1:33" ht="14.25" customHeight="1" x14ac:dyDescent="0.2">
      <c r="A179" s="2"/>
      <c r="B179" s="2"/>
      <c r="S179" s="27"/>
      <c r="T179" s="27"/>
      <c r="U179" s="27"/>
      <c r="V179" s="27"/>
      <c r="W179" s="27"/>
      <c r="X179" s="27"/>
      <c r="Y179" s="27"/>
      <c r="Z179" s="27"/>
      <c r="AA179" s="27"/>
      <c r="AB179" s="27"/>
      <c r="AC179" s="27"/>
      <c r="AD179" s="27"/>
      <c r="AE179" s="27"/>
      <c r="AF179" s="27"/>
      <c r="AG179" s="27"/>
    </row>
    <row r="180" spans="1:33" ht="14.25" customHeight="1" x14ac:dyDescent="0.2">
      <c r="A180" s="2"/>
      <c r="B180" s="2"/>
      <c r="S180" s="27"/>
      <c r="T180" s="27"/>
      <c r="U180" s="27"/>
      <c r="V180" s="27"/>
      <c r="W180" s="27"/>
      <c r="X180" s="27"/>
      <c r="Y180" s="27"/>
      <c r="Z180" s="27"/>
      <c r="AA180" s="27"/>
      <c r="AB180" s="27"/>
      <c r="AC180" s="27"/>
      <c r="AD180" s="27"/>
      <c r="AE180" s="27"/>
      <c r="AF180" s="27"/>
      <c r="AG180" s="27"/>
    </row>
    <row r="181" spans="1:33" ht="14.25" customHeight="1" x14ac:dyDescent="0.2">
      <c r="A181" s="2"/>
      <c r="B181" s="2"/>
      <c r="D181" s="232" t="s">
        <v>1113</v>
      </c>
      <c r="E181" s="232"/>
      <c r="F181" s="232"/>
      <c r="G181" s="232"/>
      <c r="H181" s="232"/>
      <c r="I181" s="232"/>
      <c r="J181" s="232"/>
      <c r="K181" s="232"/>
      <c r="L181" s="232"/>
      <c r="M181" s="232"/>
      <c r="N181" s="232"/>
      <c r="O181" s="232"/>
      <c r="P181" s="232"/>
      <c r="Q181" s="232"/>
      <c r="R181" s="232"/>
      <c r="S181" s="232"/>
      <c r="T181" s="232"/>
      <c r="U181" s="232"/>
      <c r="V181" s="232"/>
      <c r="W181" s="232"/>
      <c r="X181" s="232"/>
      <c r="Y181" s="232"/>
      <c r="Z181" s="232"/>
      <c r="AA181" s="232"/>
      <c r="AB181" s="232"/>
      <c r="AC181" s="232"/>
      <c r="AD181" s="232"/>
      <c r="AE181" s="232"/>
      <c r="AF181" s="232"/>
      <c r="AG181" s="232"/>
    </row>
    <row r="182" spans="1:33" ht="14.25" customHeight="1" x14ac:dyDescent="0.2">
      <c r="A182" s="2"/>
      <c r="B182" s="2"/>
      <c r="D182" s="232"/>
      <c r="E182" s="232"/>
      <c r="F182" s="232"/>
      <c r="G182" s="232"/>
      <c r="H182" s="232"/>
      <c r="I182" s="232"/>
      <c r="J182" s="232"/>
      <c r="K182" s="232"/>
      <c r="L182" s="232"/>
      <c r="M182" s="232"/>
      <c r="N182" s="232"/>
      <c r="O182" s="232"/>
      <c r="P182" s="232"/>
      <c r="Q182" s="232"/>
      <c r="R182" s="232"/>
      <c r="S182" s="232"/>
      <c r="T182" s="232"/>
      <c r="U182" s="232"/>
      <c r="V182" s="232"/>
      <c r="W182" s="232"/>
      <c r="X182" s="232"/>
      <c r="Y182" s="232"/>
      <c r="Z182" s="232"/>
      <c r="AA182" s="232"/>
      <c r="AB182" s="232"/>
      <c r="AC182" s="232"/>
      <c r="AD182" s="232"/>
      <c r="AE182" s="232"/>
      <c r="AF182" s="232"/>
      <c r="AG182" s="232"/>
    </row>
    <row r="183" spans="1:33" ht="14.25" customHeight="1" x14ac:dyDescent="0.2">
      <c r="A183" s="2"/>
      <c r="B183" s="2"/>
      <c r="S183" s="27"/>
      <c r="T183" s="27"/>
      <c r="U183" s="27"/>
      <c r="V183" s="27"/>
      <c r="W183" s="27"/>
      <c r="X183" s="27"/>
      <c r="Y183" s="27"/>
      <c r="Z183" s="27"/>
      <c r="AA183" s="27"/>
      <c r="AB183" s="27"/>
      <c r="AC183" s="27"/>
      <c r="AD183" s="27"/>
      <c r="AE183" s="27"/>
      <c r="AF183" s="27"/>
      <c r="AG183" s="27"/>
    </row>
    <row r="184" spans="1:33" ht="14.25" customHeight="1" x14ac:dyDescent="0.2">
      <c r="A184" s="2"/>
      <c r="B184" s="2"/>
      <c r="F184" s="43" t="s">
        <v>172</v>
      </c>
      <c r="G184" s="44" t="s">
        <v>332</v>
      </c>
      <c r="H184" s="287">
        <f>(H116-H121-H122)/2</f>
        <v>0.29050000000000004</v>
      </c>
      <c r="I184" s="287"/>
      <c r="J184" s="287"/>
      <c r="K184" s="29" t="s">
        <v>340</v>
      </c>
      <c r="L184" s="14"/>
      <c r="M184" s="14"/>
      <c r="N184" s="14"/>
      <c r="O184" s="29" t="s">
        <v>1455</v>
      </c>
      <c r="S184" s="27"/>
      <c r="T184" s="27"/>
      <c r="U184" s="27"/>
      <c r="V184" s="27"/>
      <c r="W184" s="27"/>
      <c r="X184" s="27"/>
      <c r="Y184" s="27"/>
      <c r="Z184" s="27"/>
      <c r="AA184" s="27"/>
      <c r="AB184" s="27"/>
      <c r="AC184" s="27"/>
      <c r="AD184" s="27"/>
      <c r="AE184" s="27"/>
      <c r="AF184" s="27"/>
      <c r="AG184" s="27"/>
    </row>
    <row r="185" spans="1:33" ht="14.25" customHeight="1" x14ac:dyDescent="0.2">
      <c r="A185" s="2"/>
      <c r="B185" s="2"/>
      <c r="F185" s="43"/>
      <c r="G185" s="44"/>
      <c r="H185" s="88"/>
      <c r="I185" s="88"/>
      <c r="J185" s="88"/>
      <c r="K185" s="29"/>
      <c r="L185" s="14"/>
      <c r="M185" s="14"/>
      <c r="N185" s="14"/>
      <c r="O185" s="29" t="s">
        <v>1461</v>
      </c>
      <c r="S185" s="27"/>
      <c r="T185" s="27"/>
      <c r="U185" s="27"/>
      <c r="V185" s="27"/>
      <c r="W185" s="27"/>
      <c r="X185" s="27"/>
      <c r="Y185" s="27"/>
      <c r="Z185" s="27"/>
      <c r="AA185" s="27"/>
      <c r="AB185" s="27"/>
      <c r="AC185" s="27"/>
      <c r="AD185" s="27"/>
      <c r="AE185" s="27"/>
      <c r="AF185" s="27"/>
      <c r="AG185" s="27"/>
    </row>
    <row r="186" spans="1:33" ht="14.25" customHeight="1" x14ac:dyDescent="0.2">
      <c r="A186" s="2"/>
      <c r="B186" s="2"/>
      <c r="F186" s="43" t="s">
        <v>1114</v>
      </c>
      <c r="G186" s="44" t="s">
        <v>332</v>
      </c>
      <c r="H186" s="297">
        <v>160000</v>
      </c>
      <c r="I186" s="297"/>
      <c r="J186" s="297"/>
      <c r="K186" s="29" t="s">
        <v>1115</v>
      </c>
      <c r="L186" s="14"/>
      <c r="M186" s="14"/>
      <c r="N186" s="14"/>
      <c r="O186" s="29" t="s">
        <v>1116</v>
      </c>
      <c r="S186" s="27"/>
      <c r="T186" s="27"/>
      <c r="U186" s="27"/>
      <c r="V186" s="27"/>
      <c r="W186" s="27"/>
      <c r="X186" s="27"/>
      <c r="Y186" s="27"/>
      <c r="Z186" s="27"/>
      <c r="AA186" s="27"/>
      <c r="AB186" s="27"/>
      <c r="AC186" s="27"/>
      <c r="AD186" s="27"/>
      <c r="AE186" s="27"/>
      <c r="AF186" s="27"/>
      <c r="AG186" s="27"/>
    </row>
    <row r="187" spans="1:33" ht="14.25" customHeight="1" x14ac:dyDescent="0.2">
      <c r="A187" s="2"/>
      <c r="B187" s="2"/>
      <c r="F187" s="43" t="s">
        <v>578</v>
      </c>
      <c r="G187" s="44" t="s">
        <v>332</v>
      </c>
      <c r="H187" s="287">
        <f>H116</f>
        <v>1.8</v>
      </c>
      <c r="I187" s="287"/>
      <c r="J187" s="287"/>
      <c r="K187" s="29" t="s">
        <v>340</v>
      </c>
      <c r="L187" s="14"/>
      <c r="M187" s="14"/>
      <c r="N187" s="14"/>
      <c r="O187" s="29" t="s">
        <v>1462</v>
      </c>
      <c r="S187" s="27"/>
      <c r="T187" s="27"/>
      <c r="U187" s="27"/>
      <c r="V187" s="27"/>
      <c r="W187" s="27"/>
      <c r="X187" s="27"/>
      <c r="Y187" s="27"/>
      <c r="Z187" s="27"/>
      <c r="AA187" s="27"/>
      <c r="AB187" s="27"/>
      <c r="AC187" s="27"/>
      <c r="AD187" s="27"/>
      <c r="AE187" s="27"/>
      <c r="AF187" s="27"/>
      <c r="AG187" s="27"/>
    </row>
    <row r="188" spans="1:33" ht="14.25" customHeight="1" x14ac:dyDescent="0.2">
      <c r="A188" s="2"/>
      <c r="B188" s="2"/>
      <c r="S188" s="27"/>
      <c r="T188" s="27"/>
      <c r="U188" s="27"/>
      <c r="V188" s="27"/>
      <c r="W188" s="27"/>
      <c r="X188" s="27"/>
      <c r="Y188" s="27"/>
      <c r="Z188" s="27"/>
      <c r="AA188" s="27"/>
      <c r="AB188" s="27"/>
      <c r="AC188" s="27"/>
      <c r="AD188" s="27"/>
      <c r="AE188" s="27"/>
      <c r="AF188" s="27"/>
      <c r="AG188" s="27"/>
    </row>
    <row r="189" spans="1:33" ht="14.25" customHeight="1" x14ac:dyDescent="0.2">
      <c r="A189" s="2"/>
      <c r="B189" s="2"/>
      <c r="E189" s="286" t="s">
        <v>447</v>
      </c>
      <c r="F189" s="286"/>
      <c r="G189" s="44" t="s">
        <v>332</v>
      </c>
      <c r="H189" s="287">
        <f>0.01*(H186*H184^4/H187)^(1/3)</f>
        <v>8.5863912704909812E-2</v>
      </c>
      <c r="I189" s="287"/>
      <c r="J189" s="287"/>
      <c r="K189" s="14" t="s">
        <v>340</v>
      </c>
      <c r="S189" s="27"/>
      <c r="T189" s="27"/>
      <c r="U189" s="27"/>
      <c r="V189" s="27"/>
      <c r="W189" s="27"/>
      <c r="X189" s="27"/>
      <c r="Y189" s="27"/>
      <c r="Z189" s="27"/>
      <c r="AA189" s="27"/>
      <c r="AB189" s="27"/>
      <c r="AC189" s="27"/>
      <c r="AD189" s="27"/>
      <c r="AE189" s="27"/>
      <c r="AF189" s="27"/>
      <c r="AG189" s="27"/>
    </row>
    <row r="190" spans="1:33" ht="14.25" customHeight="1" x14ac:dyDescent="0.3">
      <c r="A190" s="2"/>
      <c r="B190" s="2"/>
      <c r="E190" s="286" t="s">
        <v>449</v>
      </c>
      <c r="F190" s="286"/>
      <c r="G190" s="44" t="s">
        <v>332</v>
      </c>
      <c r="H190" s="287">
        <f>H178</f>
        <v>0.9</v>
      </c>
      <c r="I190" s="287"/>
      <c r="J190" s="287"/>
      <c r="K190" s="14" t="s">
        <v>340</v>
      </c>
      <c r="L190" s="2" t="s">
        <v>1111</v>
      </c>
      <c r="M190" s="2"/>
      <c r="N190" s="2"/>
      <c r="S190" s="27"/>
      <c r="T190" s="27"/>
      <c r="U190" s="27"/>
      <c r="V190" s="27"/>
      <c r="W190" s="27"/>
      <c r="X190" s="27"/>
      <c r="Y190" s="27"/>
      <c r="Z190" s="27"/>
      <c r="AA190" s="27"/>
      <c r="AB190" s="27"/>
      <c r="AC190" s="27"/>
      <c r="AD190" s="27"/>
      <c r="AE190" s="27"/>
      <c r="AF190" s="27"/>
      <c r="AG190" s="27"/>
    </row>
    <row r="191" spans="1:33" ht="14.25" customHeight="1" x14ac:dyDescent="0.2">
      <c r="A191" s="2"/>
      <c r="B191" s="2"/>
      <c r="S191" s="27"/>
      <c r="T191" s="27"/>
      <c r="U191" s="27"/>
      <c r="V191" s="27"/>
      <c r="W191" s="27"/>
      <c r="X191" s="27"/>
      <c r="Y191" s="27"/>
      <c r="Z191" s="27"/>
      <c r="AA191" s="27"/>
      <c r="AB191" s="27"/>
      <c r="AC191" s="27"/>
      <c r="AD191" s="27"/>
      <c r="AE191" s="27"/>
      <c r="AF191" s="27"/>
      <c r="AG191" s="27"/>
    </row>
    <row r="192" spans="1:33" ht="14.25" customHeight="1" x14ac:dyDescent="0.2">
      <c r="A192" s="2"/>
      <c r="B192" s="2"/>
      <c r="S192" s="27"/>
      <c r="T192" s="27"/>
      <c r="U192" s="27"/>
      <c r="V192" s="27"/>
      <c r="W192" s="27"/>
      <c r="X192" s="27"/>
      <c r="Y192" s="27"/>
      <c r="Z192" s="27"/>
      <c r="AA192" s="27"/>
      <c r="AB192" s="27"/>
      <c r="AC192" s="27"/>
      <c r="AD192" s="27"/>
      <c r="AE192" s="27"/>
      <c r="AF192" s="27"/>
      <c r="AG192" s="27"/>
    </row>
    <row r="193" spans="1:33" ht="14.25" customHeight="1" x14ac:dyDescent="0.2">
      <c r="A193" s="2"/>
      <c r="B193" s="2"/>
      <c r="S193" s="27"/>
      <c r="T193" s="27"/>
      <c r="U193" s="27"/>
      <c r="V193" s="27"/>
      <c r="W193" s="27"/>
      <c r="X193" s="27"/>
      <c r="Y193" s="27"/>
      <c r="Z193" s="27"/>
      <c r="AA193" s="27"/>
      <c r="AB193" s="27"/>
      <c r="AC193" s="27"/>
      <c r="AD193" s="27"/>
      <c r="AE193" s="27"/>
      <c r="AF193" s="27"/>
      <c r="AG193" s="27"/>
    </row>
    <row r="194" spans="1:33" ht="14.25" customHeight="1" x14ac:dyDescent="0.2">
      <c r="A194" s="2"/>
      <c r="B194" s="2"/>
      <c r="S194" s="27"/>
      <c r="T194" s="27"/>
      <c r="U194" s="27"/>
      <c r="V194" s="27"/>
      <c r="W194" s="27"/>
      <c r="X194" s="27"/>
      <c r="Y194" s="27"/>
      <c r="Z194" s="27"/>
      <c r="AA194" s="27"/>
      <c r="AB194" s="27"/>
      <c r="AC194" s="27"/>
      <c r="AD194" s="27"/>
      <c r="AE194" s="27"/>
      <c r="AF194" s="27"/>
      <c r="AG194" s="27"/>
    </row>
    <row r="195" spans="1:33" ht="14.25" customHeight="1" x14ac:dyDescent="0.2">
      <c r="A195" s="2"/>
      <c r="B195" s="2"/>
      <c r="S195" s="27"/>
      <c r="T195" s="27"/>
      <c r="U195" s="27"/>
      <c r="V195" s="27"/>
      <c r="W195" s="27"/>
      <c r="X195" s="27"/>
      <c r="Y195" s="27"/>
      <c r="Z195" s="27"/>
      <c r="AA195" s="27"/>
      <c r="AB195" s="27"/>
      <c r="AC195" s="27"/>
      <c r="AD195" s="27"/>
      <c r="AE195" s="27"/>
      <c r="AF195" s="27"/>
      <c r="AG195" s="27"/>
    </row>
    <row r="196" spans="1:33" ht="14.25" customHeight="1" x14ac:dyDescent="0.2">
      <c r="A196" s="2"/>
      <c r="B196" s="2"/>
      <c r="S196" s="27"/>
      <c r="T196" s="27"/>
      <c r="U196" s="27"/>
      <c r="V196" s="27"/>
      <c r="W196" s="27"/>
      <c r="X196" s="27"/>
      <c r="Y196" s="27"/>
      <c r="Z196" s="27"/>
      <c r="AA196" s="27"/>
      <c r="AB196" s="27"/>
      <c r="AC196" s="27"/>
      <c r="AD196" s="27"/>
      <c r="AE196" s="27"/>
      <c r="AF196" s="27"/>
      <c r="AG196" s="27"/>
    </row>
    <row r="197" spans="1:33" ht="14.25" customHeight="1" x14ac:dyDescent="0.2">
      <c r="A197" s="2"/>
      <c r="B197" s="2"/>
      <c r="S197" s="27"/>
      <c r="T197" s="27"/>
      <c r="U197" s="27"/>
      <c r="V197" s="27"/>
      <c r="W197" s="27"/>
      <c r="X197" s="27"/>
      <c r="Y197" s="27"/>
      <c r="Z197" s="27"/>
      <c r="AA197" s="27"/>
      <c r="AB197" s="27"/>
      <c r="AC197" s="27"/>
      <c r="AD197" s="27"/>
      <c r="AE197" s="27"/>
      <c r="AF197" s="27"/>
      <c r="AG197" s="27"/>
    </row>
    <row r="198" spans="1:33" ht="14.25" customHeight="1" x14ac:dyDescent="0.2">
      <c r="A198" s="2"/>
      <c r="B198" s="2"/>
      <c r="S198" s="27"/>
      <c r="T198" s="27"/>
      <c r="U198" s="27"/>
      <c r="V198" s="27"/>
      <c r="W198" s="27"/>
      <c r="X198" s="27"/>
      <c r="Y198" s="27"/>
      <c r="Z198" s="27"/>
      <c r="AA198" s="27"/>
      <c r="AB198" s="27"/>
      <c r="AC198" s="27"/>
      <c r="AD198" s="27"/>
      <c r="AE198" s="27"/>
      <c r="AF198" s="27"/>
      <c r="AG198" s="27"/>
    </row>
    <row r="199" spans="1:33" ht="14.25" customHeight="1" x14ac:dyDescent="0.2">
      <c r="A199" s="2"/>
      <c r="B199" s="2"/>
      <c r="S199" s="27"/>
      <c r="T199" s="27"/>
      <c r="U199" s="27"/>
      <c r="V199" s="27"/>
      <c r="W199" s="27"/>
      <c r="X199" s="27"/>
      <c r="Y199" s="27"/>
      <c r="Z199" s="27"/>
      <c r="AA199" s="27"/>
      <c r="AB199" s="27"/>
      <c r="AC199" s="27"/>
      <c r="AD199" s="27"/>
      <c r="AE199" s="27"/>
      <c r="AF199" s="27"/>
      <c r="AG199" s="27"/>
    </row>
    <row r="200" spans="1:33" ht="14.25" customHeight="1" x14ac:dyDescent="0.2">
      <c r="A200" s="2"/>
      <c r="B200" s="2"/>
      <c r="S200" s="27"/>
      <c r="T200" s="27"/>
      <c r="U200" s="27"/>
      <c r="V200" s="27"/>
      <c r="W200" s="27"/>
      <c r="X200" s="27"/>
      <c r="Y200" s="27"/>
      <c r="Z200" s="27"/>
      <c r="AA200" s="27"/>
      <c r="AB200" s="27"/>
      <c r="AC200" s="27"/>
      <c r="AD200" s="27"/>
      <c r="AE200" s="27"/>
      <c r="AF200" s="27"/>
      <c r="AG200" s="27"/>
    </row>
    <row r="201" spans="1:33" ht="14.25" customHeight="1" x14ac:dyDescent="0.2">
      <c r="A201" s="2"/>
      <c r="B201" s="2"/>
      <c r="S201" s="27"/>
      <c r="T201" s="27"/>
      <c r="U201" s="27"/>
      <c r="V201" s="27"/>
      <c r="W201" s="27"/>
      <c r="X201" s="27"/>
      <c r="Y201" s="27"/>
      <c r="Z201" s="27"/>
      <c r="AA201" s="27"/>
      <c r="AB201" s="27"/>
      <c r="AC201" s="27"/>
      <c r="AD201" s="27"/>
      <c r="AE201" s="27"/>
      <c r="AF201" s="27"/>
      <c r="AG201" s="27"/>
    </row>
    <row r="202" spans="1:33" ht="14.25" customHeight="1" x14ac:dyDescent="0.2">
      <c r="A202" s="2"/>
      <c r="B202" s="2"/>
      <c r="S202" s="27"/>
      <c r="T202" s="27"/>
      <c r="U202" s="27"/>
      <c r="V202" s="27"/>
      <c r="W202" s="27"/>
      <c r="X202" s="27"/>
      <c r="Y202" s="27"/>
      <c r="Z202" s="27"/>
      <c r="AA202" s="27"/>
      <c r="AB202" s="27"/>
      <c r="AC202" s="27"/>
      <c r="AD202" s="27"/>
      <c r="AE202" s="27"/>
      <c r="AF202" s="27"/>
      <c r="AG202" s="27"/>
    </row>
    <row r="203" spans="1:33" ht="14.25" customHeight="1" x14ac:dyDescent="0.2">
      <c r="A203" s="2"/>
      <c r="B203" s="2"/>
      <c r="S203" s="27"/>
      <c r="T203" s="27"/>
      <c r="U203" s="27"/>
      <c r="V203" s="27"/>
      <c r="W203" s="27"/>
      <c r="X203" s="27"/>
      <c r="Y203" s="27"/>
      <c r="Z203" s="27"/>
      <c r="AA203" s="27"/>
      <c r="AB203" s="27"/>
      <c r="AC203" s="27"/>
      <c r="AD203" s="27"/>
      <c r="AE203" s="27"/>
      <c r="AF203" s="27"/>
      <c r="AG203" s="27"/>
    </row>
    <row r="204" spans="1:33" ht="14.25" customHeight="1" x14ac:dyDescent="0.2">
      <c r="A204" s="2"/>
      <c r="B204" s="2"/>
      <c r="S204" s="27"/>
      <c r="T204" s="27"/>
      <c r="U204" s="27"/>
      <c r="V204" s="27"/>
      <c r="W204" s="27"/>
      <c r="X204" s="27"/>
      <c r="Y204" s="27"/>
      <c r="Z204" s="27"/>
      <c r="AA204" s="27"/>
      <c r="AB204" s="27"/>
      <c r="AC204" s="27"/>
      <c r="AD204" s="27"/>
      <c r="AE204" s="27"/>
      <c r="AF204" s="27"/>
      <c r="AG204" s="27"/>
    </row>
    <row r="205" spans="1:33" x14ac:dyDescent="0.2">
      <c r="A205" s="2"/>
      <c r="B205" s="2"/>
      <c r="C205" s="2" t="s">
        <v>844</v>
      </c>
      <c r="S205" s="14"/>
      <c r="T205" s="14"/>
      <c r="U205" s="14"/>
      <c r="V205" s="14"/>
      <c r="W205" s="14"/>
      <c r="X205" s="14"/>
      <c r="Y205" s="14"/>
      <c r="Z205" s="14"/>
      <c r="AA205" s="14"/>
      <c r="AB205" s="14"/>
      <c r="AC205" s="14"/>
      <c r="AD205" s="14"/>
      <c r="AE205" s="14"/>
      <c r="AF205" s="14"/>
      <c r="AG205" s="14"/>
    </row>
    <row r="206" spans="1:33" x14ac:dyDescent="0.2">
      <c r="A206" s="2"/>
      <c r="B206" s="2"/>
      <c r="S206" s="14"/>
      <c r="T206" s="14"/>
      <c r="U206" s="14"/>
      <c r="V206" s="14"/>
      <c r="W206" s="14"/>
      <c r="X206" s="14"/>
      <c r="Y206" s="14"/>
      <c r="Z206" s="14"/>
      <c r="AA206" s="14"/>
      <c r="AB206" s="14"/>
      <c r="AC206" s="14"/>
      <c r="AD206" s="14"/>
      <c r="AE206" s="14"/>
      <c r="AF206" s="14"/>
      <c r="AG206" s="14"/>
    </row>
    <row r="207" spans="1:33" x14ac:dyDescent="0.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row>
    <row r="208" spans="1:33" x14ac:dyDescent="0.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row>
    <row r="209" spans="1:33" x14ac:dyDescent="0.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row>
    <row r="210" spans="1:33" x14ac:dyDescent="0.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row>
    <row r="211" spans="1:33" x14ac:dyDescent="0.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row>
    <row r="212" spans="1:33" x14ac:dyDescent="0.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row>
    <row r="213" spans="1:33" x14ac:dyDescent="0.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row>
    <row r="214" spans="1:33" x14ac:dyDescent="0.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row>
    <row r="215" spans="1:33" x14ac:dyDescent="0.2">
      <c r="A215" s="2"/>
      <c r="B215" s="2"/>
      <c r="C215" s="18" t="s">
        <v>1112</v>
      </c>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row>
    <row r="216" spans="1:33" x14ac:dyDescent="0.2">
      <c r="A216" s="2"/>
      <c r="B216" s="2"/>
      <c r="C216" s="232" t="s">
        <v>1117</v>
      </c>
      <c r="D216" s="232"/>
      <c r="E216" s="232"/>
      <c r="F216" s="232"/>
      <c r="G216" s="232"/>
      <c r="H216" s="232"/>
      <c r="I216" s="232"/>
      <c r="J216" s="232"/>
      <c r="K216" s="232"/>
      <c r="L216" s="232"/>
      <c r="M216" s="232"/>
      <c r="N216" s="232"/>
      <c r="O216" s="232"/>
      <c r="P216" s="232"/>
      <c r="Q216" s="232"/>
      <c r="R216" s="232"/>
      <c r="S216" s="232"/>
      <c r="T216" s="232"/>
      <c r="U216" s="232"/>
      <c r="V216" s="232"/>
      <c r="W216" s="232"/>
      <c r="X216" s="232"/>
      <c r="Y216" s="232"/>
      <c r="Z216" s="232"/>
      <c r="AA216" s="232"/>
      <c r="AB216" s="232"/>
      <c r="AC216" s="232"/>
      <c r="AD216" s="232"/>
      <c r="AE216" s="232"/>
      <c r="AF216" s="232"/>
      <c r="AG216" s="232"/>
    </row>
    <row r="217" spans="1:33" x14ac:dyDescent="0.2">
      <c r="A217" s="2"/>
      <c r="B217" s="2"/>
      <c r="C217" s="232"/>
      <c r="D217" s="232"/>
      <c r="E217" s="232"/>
      <c r="F217" s="232"/>
      <c r="G217" s="232"/>
      <c r="H217" s="232"/>
      <c r="I217" s="232"/>
      <c r="J217" s="232"/>
      <c r="K217" s="232"/>
      <c r="L217" s="232"/>
      <c r="M217" s="232"/>
      <c r="N217" s="232"/>
      <c r="O217" s="232"/>
      <c r="P217" s="232"/>
      <c r="Q217" s="232"/>
      <c r="R217" s="232"/>
      <c r="S217" s="232"/>
      <c r="T217" s="232"/>
      <c r="U217" s="232"/>
      <c r="V217" s="232"/>
      <c r="W217" s="232"/>
      <c r="X217" s="232"/>
      <c r="Y217" s="232"/>
      <c r="Z217" s="232"/>
      <c r="AA217" s="232"/>
      <c r="AB217" s="232"/>
      <c r="AC217" s="232"/>
      <c r="AD217" s="232"/>
      <c r="AE217" s="232"/>
      <c r="AF217" s="232"/>
      <c r="AG217" s="232"/>
    </row>
    <row r="218" spans="1:33" x14ac:dyDescent="0.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row>
    <row r="219" spans="1:33" x14ac:dyDescent="0.2">
      <c r="A219" s="2"/>
      <c r="B219" s="2"/>
      <c r="C219" s="2"/>
      <c r="D219" s="2"/>
      <c r="E219" s="80" t="s">
        <v>1118</v>
      </c>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row>
    <row r="220" spans="1:33" x14ac:dyDescent="0.2">
      <c r="A220" s="2"/>
      <c r="B220" s="2"/>
      <c r="C220" s="2"/>
      <c r="D220" s="2"/>
      <c r="E220" s="2" t="s">
        <v>1400</v>
      </c>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row>
    <row r="221" spans="1:33" x14ac:dyDescent="0.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row>
    <row r="222" spans="1:33" ht="15.75" x14ac:dyDescent="0.3">
      <c r="A222" s="2"/>
      <c r="B222" s="2"/>
      <c r="C222" s="2"/>
      <c r="D222" s="2"/>
      <c r="E222" s="2"/>
      <c r="F222" s="2"/>
      <c r="G222" s="21" t="s">
        <v>1130</v>
      </c>
      <c r="H222" s="13" t="s">
        <v>332</v>
      </c>
      <c r="I222" s="288">
        <f>H115/2</f>
        <v>1.5</v>
      </c>
      <c r="J222" s="288"/>
      <c r="K222" s="288"/>
      <c r="L222" s="2" t="s">
        <v>340</v>
      </c>
      <c r="M222" s="2"/>
      <c r="N222" s="2"/>
      <c r="O222" s="2" t="s">
        <v>1119</v>
      </c>
      <c r="P222" s="2"/>
      <c r="Q222" s="2"/>
      <c r="R222" s="2"/>
      <c r="S222" s="2"/>
      <c r="T222" s="2"/>
      <c r="U222" s="2"/>
      <c r="V222" s="2"/>
      <c r="W222" s="2"/>
      <c r="X222" s="2"/>
      <c r="Y222" s="2"/>
      <c r="Z222" s="2"/>
      <c r="AA222" s="2"/>
      <c r="AB222" s="2"/>
      <c r="AC222" s="2"/>
      <c r="AD222" s="2"/>
      <c r="AE222" s="2"/>
      <c r="AF222" s="2"/>
      <c r="AG222" s="2"/>
    </row>
    <row r="223" spans="1:33" ht="15.75" x14ac:dyDescent="0.3">
      <c r="A223" s="2"/>
      <c r="B223" s="2"/>
      <c r="C223" s="2"/>
      <c r="D223" s="2"/>
      <c r="E223" s="2"/>
      <c r="F223" s="2"/>
      <c r="G223" s="21" t="s">
        <v>1131</v>
      </c>
      <c r="H223" s="13" t="s">
        <v>332</v>
      </c>
      <c r="I223" s="288">
        <f>H116/2</f>
        <v>0.9</v>
      </c>
      <c r="J223" s="288"/>
      <c r="K223" s="288"/>
      <c r="L223" s="2" t="s">
        <v>340</v>
      </c>
      <c r="M223" s="2"/>
      <c r="N223" s="2"/>
      <c r="O223" s="2" t="s">
        <v>1120</v>
      </c>
      <c r="P223" s="2"/>
      <c r="Q223" s="2"/>
      <c r="R223" s="2"/>
      <c r="S223" s="2"/>
      <c r="T223" s="2"/>
      <c r="U223" s="2"/>
      <c r="V223" s="2"/>
      <c r="W223" s="2"/>
      <c r="X223" s="2"/>
      <c r="Y223" s="2"/>
      <c r="Z223" s="2"/>
      <c r="AA223" s="2"/>
      <c r="AB223" s="2"/>
      <c r="AC223" s="2"/>
      <c r="AD223" s="2"/>
      <c r="AE223" s="2"/>
      <c r="AF223" s="2"/>
      <c r="AG223" s="2"/>
    </row>
    <row r="224" spans="1:33" ht="15.75" x14ac:dyDescent="0.3">
      <c r="A224" s="2"/>
      <c r="B224" s="2"/>
      <c r="C224" s="2"/>
      <c r="D224" s="2"/>
      <c r="E224" s="2"/>
      <c r="F224" s="2"/>
      <c r="G224" s="21" t="s">
        <v>1093</v>
      </c>
      <c r="H224" s="13" t="s">
        <v>332</v>
      </c>
      <c r="I224" s="231">
        <f>M139</f>
        <v>119.50934400000001</v>
      </c>
      <c r="J224" s="231"/>
      <c r="K224" s="231"/>
      <c r="L224" s="2" t="s">
        <v>335</v>
      </c>
      <c r="M224" s="2"/>
      <c r="N224" s="2"/>
      <c r="O224" s="2" t="s">
        <v>1121</v>
      </c>
      <c r="P224" s="2"/>
      <c r="Q224" s="2"/>
      <c r="R224" s="2"/>
      <c r="S224" s="2"/>
      <c r="T224" s="2"/>
      <c r="U224" s="2"/>
      <c r="V224" s="2"/>
      <c r="W224" s="2"/>
      <c r="X224" s="2"/>
      <c r="Y224" s="2"/>
      <c r="Z224" s="2"/>
      <c r="AA224" s="2"/>
      <c r="AB224" s="2"/>
      <c r="AC224" s="2"/>
      <c r="AD224" s="2"/>
      <c r="AE224" s="2"/>
      <c r="AF224" s="2"/>
      <c r="AG224" s="2"/>
    </row>
    <row r="225" spans="1:33" x14ac:dyDescent="0.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row>
    <row r="226" spans="1:33" x14ac:dyDescent="0.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row>
    <row r="227" spans="1:33" x14ac:dyDescent="0.2">
      <c r="A227" s="2"/>
      <c r="B227" s="2"/>
      <c r="C227" s="2"/>
      <c r="D227" s="2"/>
      <c r="E227" s="80" t="s">
        <v>1122</v>
      </c>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row>
    <row r="228" spans="1:33" x14ac:dyDescent="0.2">
      <c r="A228" s="2"/>
      <c r="B228" s="2"/>
      <c r="C228" s="2"/>
      <c r="D228" s="2"/>
      <c r="E228" s="2" t="s">
        <v>1400</v>
      </c>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row>
    <row r="229" spans="1:33" x14ac:dyDescent="0.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row>
    <row r="230" spans="1:33" ht="15.75" x14ac:dyDescent="0.3">
      <c r="A230" s="2"/>
      <c r="B230" s="2"/>
      <c r="C230" s="2"/>
      <c r="D230" s="2"/>
      <c r="E230" s="2"/>
      <c r="F230" s="2"/>
      <c r="G230" s="21" t="s">
        <v>1123</v>
      </c>
      <c r="H230" s="13" t="s">
        <v>332</v>
      </c>
      <c r="I230" s="285">
        <f>(H115-J26)/2</f>
        <v>0.1379999999999999</v>
      </c>
      <c r="J230" s="285"/>
      <c r="K230" s="285"/>
      <c r="L230" s="2" t="s">
        <v>340</v>
      </c>
      <c r="M230" s="2"/>
      <c r="N230" s="2"/>
      <c r="O230" s="2" t="s">
        <v>1402</v>
      </c>
      <c r="P230" s="2"/>
      <c r="Q230" s="2"/>
      <c r="R230" s="2"/>
      <c r="S230" s="2"/>
      <c r="T230" s="2"/>
      <c r="U230" s="2"/>
      <c r="V230" s="2"/>
      <c r="W230" s="2"/>
      <c r="X230" s="2"/>
      <c r="Y230" s="2"/>
      <c r="Z230" s="2"/>
      <c r="AA230" s="2"/>
      <c r="AB230" s="2"/>
      <c r="AC230" s="2"/>
      <c r="AD230" s="2"/>
      <c r="AE230" s="2"/>
      <c r="AF230" s="2"/>
      <c r="AG230" s="2"/>
    </row>
    <row r="231" spans="1:33" ht="15.75" x14ac:dyDescent="0.3">
      <c r="A231" s="2"/>
      <c r="B231" s="2"/>
      <c r="C231" s="2"/>
      <c r="D231" s="2"/>
      <c r="E231" s="2"/>
      <c r="F231" s="2"/>
      <c r="G231" s="21" t="s">
        <v>1124</v>
      </c>
      <c r="H231" s="13" t="s">
        <v>332</v>
      </c>
      <c r="I231" s="285">
        <f>(H116-J27)/2</f>
        <v>0.16000000000000003</v>
      </c>
      <c r="J231" s="285"/>
      <c r="K231" s="285"/>
      <c r="L231" s="2" t="s">
        <v>340</v>
      </c>
      <c r="M231" s="2"/>
      <c r="N231" s="2"/>
      <c r="O231" s="2" t="s">
        <v>1403</v>
      </c>
      <c r="P231" s="2"/>
      <c r="Q231" s="2"/>
      <c r="R231" s="2"/>
      <c r="S231" s="2"/>
      <c r="T231" s="2"/>
      <c r="U231" s="2"/>
      <c r="V231" s="2"/>
      <c r="W231" s="2"/>
      <c r="X231" s="2"/>
      <c r="Y231" s="2"/>
      <c r="Z231" s="2"/>
      <c r="AA231" s="2"/>
      <c r="AB231" s="2"/>
      <c r="AC231" s="2"/>
      <c r="AD231" s="2"/>
      <c r="AE231" s="2"/>
      <c r="AF231" s="2"/>
      <c r="AG231" s="2"/>
    </row>
    <row r="232" spans="1:33" x14ac:dyDescent="0.2">
      <c r="A232" s="2"/>
      <c r="B232" s="2"/>
      <c r="C232" s="2"/>
      <c r="D232" s="2"/>
      <c r="E232" s="2"/>
      <c r="F232" s="2"/>
      <c r="G232" s="21"/>
      <c r="H232" s="13"/>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row>
    <row r="233" spans="1:33" ht="15.75" x14ac:dyDescent="0.3">
      <c r="A233" s="2"/>
      <c r="B233" s="2"/>
      <c r="C233" s="2"/>
      <c r="D233" s="2"/>
      <c r="E233" s="2"/>
      <c r="F233" s="2"/>
      <c r="G233" s="21" t="s">
        <v>1128</v>
      </c>
      <c r="H233" s="13" t="s">
        <v>332</v>
      </c>
      <c r="I233" s="288">
        <f>J29+I230</f>
        <v>1.6839999999999999</v>
      </c>
      <c r="J233" s="288"/>
      <c r="K233" s="288"/>
      <c r="L233" s="2" t="s">
        <v>340</v>
      </c>
      <c r="M233" s="2"/>
      <c r="N233" s="2"/>
      <c r="O233" s="2" t="s">
        <v>1401</v>
      </c>
      <c r="P233" s="2"/>
      <c r="Q233" s="2"/>
      <c r="R233" s="2"/>
      <c r="S233" s="2"/>
      <c r="T233" s="2"/>
      <c r="U233" s="2"/>
      <c r="V233" s="2"/>
      <c r="W233" s="2"/>
      <c r="X233" s="2"/>
      <c r="Y233" s="2"/>
      <c r="Z233" s="2"/>
      <c r="AA233" s="2"/>
      <c r="AB233" s="2"/>
      <c r="AC233" s="2"/>
      <c r="AD233" s="2"/>
      <c r="AE233" s="2"/>
      <c r="AF233" s="2"/>
      <c r="AG233" s="2"/>
    </row>
    <row r="234" spans="1:33" ht="15.75" x14ac:dyDescent="0.3">
      <c r="A234" s="2"/>
      <c r="B234" s="2"/>
      <c r="C234" s="2"/>
      <c r="D234" s="2"/>
      <c r="E234" s="2"/>
      <c r="F234" s="2"/>
      <c r="G234" s="21" t="s">
        <v>1129</v>
      </c>
      <c r="H234" s="13" t="s">
        <v>332</v>
      </c>
      <c r="I234" s="288">
        <f>J30+I231</f>
        <v>0.9325</v>
      </c>
      <c r="J234" s="288"/>
      <c r="K234" s="288"/>
      <c r="L234" s="2" t="s">
        <v>340</v>
      </c>
      <c r="M234" s="2"/>
      <c r="N234" s="2"/>
      <c r="O234" s="2" t="s">
        <v>1127</v>
      </c>
      <c r="P234" s="2"/>
      <c r="Q234" s="2"/>
      <c r="R234" s="2"/>
      <c r="S234" s="2"/>
      <c r="T234" s="2"/>
      <c r="U234" s="2"/>
      <c r="V234" s="2"/>
      <c r="W234" s="2"/>
      <c r="X234" s="2"/>
      <c r="Y234" s="2"/>
      <c r="Z234" s="2"/>
      <c r="AA234" s="2"/>
      <c r="AB234" s="2"/>
      <c r="AC234" s="2"/>
      <c r="AD234" s="2"/>
      <c r="AE234" s="2"/>
      <c r="AF234" s="2"/>
      <c r="AG234" s="2"/>
    </row>
    <row r="235" spans="1:33" ht="15.75" x14ac:dyDescent="0.3">
      <c r="A235" s="2"/>
      <c r="B235" s="2"/>
      <c r="C235" s="2"/>
      <c r="D235" s="2"/>
      <c r="E235" s="2"/>
      <c r="F235" s="2"/>
      <c r="G235" s="21" t="s">
        <v>1125</v>
      </c>
      <c r="H235" s="13" t="s">
        <v>332</v>
      </c>
      <c r="I235" s="231">
        <f>J145</f>
        <v>36.679590000000005</v>
      </c>
      <c r="J235" s="231"/>
      <c r="K235" s="231"/>
      <c r="L235" s="2" t="s">
        <v>335</v>
      </c>
      <c r="M235" s="2"/>
      <c r="N235" s="2"/>
      <c r="O235" s="2" t="s">
        <v>1126</v>
      </c>
      <c r="P235" s="2"/>
      <c r="Q235" s="2"/>
      <c r="R235" s="2"/>
      <c r="S235" s="2"/>
      <c r="T235" s="2"/>
      <c r="U235" s="2"/>
      <c r="V235" s="2"/>
      <c r="W235" s="2"/>
      <c r="X235" s="2"/>
      <c r="Y235" s="2"/>
      <c r="Z235" s="2"/>
      <c r="AA235" s="2"/>
      <c r="AB235" s="2"/>
      <c r="AC235" s="2"/>
      <c r="AD235" s="2"/>
      <c r="AE235" s="2"/>
      <c r="AF235" s="2"/>
      <c r="AG235" s="2"/>
    </row>
    <row r="236" spans="1:33" x14ac:dyDescent="0.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row>
    <row r="237" spans="1:33" x14ac:dyDescent="0.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row>
    <row r="238" spans="1:33" x14ac:dyDescent="0.2">
      <c r="A238" s="2"/>
      <c r="B238" s="2"/>
      <c r="C238" s="2"/>
      <c r="D238" s="2"/>
      <c r="E238" s="80" t="s">
        <v>1132</v>
      </c>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row>
    <row r="239" spans="1:33" ht="15.75" x14ac:dyDescent="0.3">
      <c r="A239" s="2"/>
      <c r="B239" s="2"/>
      <c r="C239" s="2"/>
      <c r="D239" s="2"/>
      <c r="E239" s="2" t="s">
        <v>1135</v>
      </c>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row>
    <row r="240" spans="1:33" x14ac:dyDescent="0.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row>
    <row r="241" spans="1:33" ht="15.75" x14ac:dyDescent="0.3">
      <c r="A241" s="2"/>
      <c r="B241" s="2"/>
      <c r="C241" s="2"/>
      <c r="D241" s="2"/>
      <c r="E241" s="2"/>
      <c r="G241" s="21" t="s">
        <v>1133</v>
      </c>
      <c r="H241" s="13" t="s">
        <v>332</v>
      </c>
      <c r="I241" s="288">
        <f>(I222*I224+I233*I235)/(I224+I235)</f>
        <v>1.5432107729219793</v>
      </c>
      <c r="J241" s="288"/>
      <c r="K241" s="288"/>
      <c r="L241" s="2" t="s">
        <v>340</v>
      </c>
      <c r="M241" s="2"/>
      <c r="N241" s="2"/>
      <c r="O241" s="2"/>
      <c r="P241" s="2"/>
      <c r="Q241" s="2"/>
      <c r="R241" s="2"/>
      <c r="S241" s="2"/>
      <c r="T241" s="2"/>
      <c r="U241" s="2"/>
      <c r="V241" s="2"/>
      <c r="W241" s="2"/>
      <c r="X241" s="2"/>
      <c r="Y241" s="2"/>
      <c r="Z241" s="2"/>
      <c r="AA241" s="2"/>
      <c r="AB241" s="2"/>
      <c r="AC241" s="2"/>
      <c r="AD241" s="2"/>
      <c r="AE241" s="2"/>
      <c r="AF241" s="2"/>
      <c r="AG241" s="2"/>
    </row>
    <row r="242" spans="1:33" ht="15.75" x14ac:dyDescent="0.3">
      <c r="A242" s="2"/>
      <c r="B242" s="2"/>
      <c r="C242" s="2"/>
      <c r="D242" s="2"/>
      <c r="E242" s="2"/>
      <c r="G242" s="21" t="s">
        <v>1134</v>
      </c>
      <c r="H242" s="13" t="s">
        <v>332</v>
      </c>
      <c r="I242" s="288">
        <f>(I223*I224+I234*I235)/(I224+I235)</f>
        <v>0.9076323376085017</v>
      </c>
      <c r="J242" s="288"/>
      <c r="K242" s="288"/>
      <c r="L242" s="2" t="s">
        <v>340</v>
      </c>
      <c r="M242" s="2"/>
      <c r="N242" s="2"/>
      <c r="O242" s="2"/>
      <c r="P242" s="2"/>
      <c r="Q242" s="2"/>
      <c r="R242" s="2"/>
      <c r="S242" s="2"/>
      <c r="T242" s="2"/>
      <c r="U242" s="2"/>
      <c r="V242" s="2"/>
      <c r="W242" s="2"/>
      <c r="X242" s="2"/>
      <c r="Y242" s="2"/>
      <c r="Z242" s="2"/>
      <c r="AA242" s="2"/>
      <c r="AB242" s="2"/>
      <c r="AC242" s="2"/>
      <c r="AD242" s="2"/>
      <c r="AE242" s="2"/>
      <c r="AF242" s="2"/>
      <c r="AG242" s="2"/>
    </row>
    <row r="243" spans="1:33" x14ac:dyDescent="0.2">
      <c r="A243" s="2"/>
      <c r="B243" s="2"/>
      <c r="C243" s="2"/>
      <c r="D243" s="2"/>
      <c r="E243" s="2"/>
      <c r="F243" s="2"/>
      <c r="Q243" s="2"/>
      <c r="R243" s="2"/>
      <c r="S243" s="2"/>
      <c r="T243" s="2"/>
      <c r="U243" s="2"/>
      <c r="V243" s="2"/>
      <c r="W243" s="2"/>
      <c r="X243" s="2"/>
      <c r="Y243" s="2"/>
      <c r="Z243" s="2"/>
      <c r="AA243" s="2"/>
      <c r="AB243" s="2"/>
      <c r="AC243" s="2"/>
      <c r="AD243" s="2"/>
      <c r="AE243" s="2"/>
      <c r="AF243" s="2"/>
      <c r="AG243" s="2"/>
    </row>
    <row r="244" spans="1:33" x14ac:dyDescent="0.2">
      <c r="A244" s="2"/>
      <c r="B244" s="2"/>
      <c r="C244" s="2"/>
      <c r="D244" s="2"/>
      <c r="E244" s="2"/>
      <c r="F244" s="2"/>
      <c r="Q244" s="2"/>
      <c r="R244" s="2"/>
      <c r="S244" s="2"/>
      <c r="T244" s="2"/>
      <c r="U244" s="2"/>
      <c r="V244" s="2"/>
      <c r="W244" s="2"/>
      <c r="X244" s="2"/>
      <c r="Y244" s="2"/>
      <c r="Z244" s="2"/>
      <c r="AA244" s="2"/>
      <c r="AB244" s="2"/>
      <c r="AC244" s="2"/>
      <c r="AD244" s="2"/>
      <c r="AE244" s="2"/>
      <c r="AF244" s="2"/>
      <c r="AG244" s="2"/>
    </row>
    <row r="245" spans="1:33" x14ac:dyDescent="0.2">
      <c r="A245" s="2"/>
      <c r="B245" s="2"/>
      <c r="C245" s="2"/>
      <c r="D245" s="2"/>
      <c r="E245" s="80" t="s">
        <v>1136</v>
      </c>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row>
    <row r="246" spans="1:33" x14ac:dyDescent="0.2">
      <c r="A246" s="2"/>
      <c r="B246" s="2"/>
      <c r="C246" s="2"/>
      <c r="D246" s="2"/>
      <c r="E246" s="2" t="s">
        <v>1137</v>
      </c>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row>
    <row r="247" spans="1:33" x14ac:dyDescent="0.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row>
    <row r="248" spans="1:33" ht="15.75" x14ac:dyDescent="0.3">
      <c r="A248" s="2"/>
      <c r="B248" s="2"/>
      <c r="C248" s="2"/>
      <c r="D248" s="2"/>
      <c r="E248" s="2"/>
      <c r="F248" s="2"/>
      <c r="G248" s="21" t="s">
        <v>1138</v>
      </c>
      <c r="H248" s="13" t="s">
        <v>332</v>
      </c>
      <c r="I248" s="288">
        <f>I222</f>
        <v>1.5</v>
      </c>
      <c r="J248" s="284"/>
      <c r="K248" s="284"/>
      <c r="L248" s="2" t="s">
        <v>340</v>
      </c>
      <c r="M248" s="2"/>
      <c r="N248" s="2"/>
      <c r="O248" s="2"/>
      <c r="P248" s="2" t="s">
        <v>1404</v>
      </c>
      <c r="Q248" s="2"/>
      <c r="R248" s="2"/>
      <c r="S248" s="2"/>
      <c r="T248" s="2"/>
      <c r="U248" s="2"/>
      <c r="V248" s="2"/>
      <c r="W248" s="2"/>
      <c r="X248" s="2"/>
      <c r="Y248" s="2"/>
      <c r="Z248" s="2"/>
      <c r="AA248" s="2"/>
      <c r="AB248" s="2"/>
      <c r="AC248" s="2"/>
      <c r="AD248" s="2"/>
      <c r="AE248" s="2"/>
      <c r="AF248" s="2"/>
      <c r="AG248" s="2"/>
    </row>
    <row r="249" spans="1:33" ht="15.75" x14ac:dyDescent="0.3">
      <c r="A249" s="2"/>
      <c r="B249" s="2"/>
      <c r="C249" s="2"/>
      <c r="D249" s="2"/>
      <c r="E249" s="2"/>
      <c r="F249" s="2"/>
      <c r="G249" s="21" t="s">
        <v>1142</v>
      </c>
      <c r="H249" s="13" t="s">
        <v>332</v>
      </c>
      <c r="I249" s="288">
        <f>I241-I248</f>
        <v>4.3210772921979279E-2</v>
      </c>
      <c r="J249" s="284"/>
      <c r="K249" s="284"/>
      <c r="L249" s="2" t="s">
        <v>340</v>
      </c>
      <c r="M249" s="2"/>
      <c r="N249" s="2"/>
      <c r="O249" s="2"/>
      <c r="P249" s="2" t="s">
        <v>1405</v>
      </c>
      <c r="Q249" s="2"/>
      <c r="R249" s="2"/>
      <c r="S249" s="2"/>
      <c r="T249" s="2"/>
      <c r="U249" s="2"/>
      <c r="V249" s="2"/>
      <c r="W249" s="2"/>
      <c r="X249" s="2"/>
      <c r="Y249" s="2"/>
      <c r="Z249" s="2"/>
      <c r="AA249" s="2"/>
      <c r="AB249" s="2"/>
      <c r="AC249" s="2"/>
      <c r="AD249" s="2"/>
      <c r="AE249" s="2"/>
      <c r="AF249" s="2"/>
      <c r="AG249" s="2"/>
    </row>
    <row r="250" spans="1:33" ht="15.75" x14ac:dyDescent="0.3">
      <c r="A250" s="2"/>
      <c r="B250" s="2"/>
      <c r="C250" s="2"/>
      <c r="D250" s="2"/>
      <c r="E250" s="2"/>
      <c r="F250" s="2"/>
      <c r="G250" s="21" t="s">
        <v>1143</v>
      </c>
      <c r="H250" s="13" t="s">
        <v>332</v>
      </c>
      <c r="I250" s="291">
        <f>ABS(I249/I248)</f>
        <v>2.8807181947986187E-2</v>
      </c>
      <c r="J250" s="291"/>
      <c r="K250" s="291"/>
      <c r="L250" s="2" t="s">
        <v>455</v>
      </c>
      <c r="M250" s="2"/>
      <c r="N250" s="2"/>
      <c r="O250" s="2"/>
      <c r="P250" s="2"/>
      <c r="Q250" s="2"/>
      <c r="R250" s="2"/>
      <c r="S250" s="2"/>
      <c r="T250" s="2"/>
      <c r="U250" s="2"/>
      <c r="V250" s="2"/>
      <c r="W250" s="2"/>
      <c r="X250" s="2"/>
      <c r="Y250" s="2"/>
      <c r="Z250" s="2"/>
      <c r="AA250" s="2"/>
      <c r="AB250" s="2"/>
      <c r="AC250" s="2"/>
      <c r="AD250" s="2"/>
      <c r="AE250" s="2"/>
      <c r="AF250" s="2"/>
      <c r="AG250" s="2"/>
    </row>
    <row r="251" spans="1:33" x14ac:dyDescent="0.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row>
    <row r="252" spans="1:33" ht="15.75" x14ac:dyDescent="0.3">
      <c r="A252" s="2"/>
      <c r="B252" s="2"/>
      <c r="C252" s="2"/>
      <c r="D252" s="2"/>
      <c r="E252" s="2"/>
      <c r="F252" s="2"/>
      <c r="G252" s="21" t="s">
        <v>1139</v>
      </c>
      <c r="H252" s="13" t="s">
        <v>332</v>
      </c>
      <c r="I252" s="288">
        <f>I223</f>
        <v>0.9</v>
      </c>
      <c r="J252" s="284"/>
      <c r="K252" s="284"/>
      <c r="L252" s="2" t="s">
        <v>340</v>
      </c>
      <c r="M252" s="2"/>
      <c r="N252" s="2"/>
      <c r="O252" s="2"/>
      <c r="P252" s="2" t="s">
        <v>1406</v>
      </c>
      <c r="Q252" s="2"/>
      <c r="R252" s="2"/>
      <c r="S252" s="2"/>
      <c r="T252" s="2"/>
      <c r="U252" s="2"/>
      <c r="V252" s="2"/>
      <c r="W252" s="2"/>
      <c r="X252" s="2"/>
      <c r="Y252" s="2"/>
      <c r="Z252" s="2"/>
      <c r="AA252" s="2"/>
      <c r="AB252" s="2"/>
      <c r="AC252" s="2"/>
      <c r="AD252" s="2"/>
      <c r="AE252" s="2"/>
      <c r="AF252" s="2"/>
      <c r="AG252" s="2"/>
    </row>
    <row r="253" spans="1:33" ht="15.75" x14ac:dyDescent="0.3">
      <c r="A253" s="2"/>
      <c r="B253" s="2"/>
      <c r="C253" s="2"/>
      <c r="D253" s="2"/>
      <c r="E253" s="2"/>
      <c r="F253" s="2"/>
      <c r="G253" s="21" t="s">
        <v>1140</v>
      </c>
      <c r="H253" s="13" t="s">
        <v>332</v>
      </c>
      <c r="I253" s="288">
        <f>I242-I252</f>
        <v>7.6323376085016825E-3</v>
      </c>
      <c r="J253" s="284"/>
      <c r="K253" s="284"/>
      <c r="L253" s="2" t="s">
        <v>340</v>
      </c>
      <c r="M253" s="2"/>
      <c r="N253" s="2"/>
      <c r="O253" s="2"/>
      <c r="P253" s="2" t="s">
        <v>1407</v>
      </c>
      <c r="Q253" s="2"/>
      <c r="R253" s="2"/>
      <c r="S253" s="2"/>
      <c r="T253" s="2"/>
      <c r="U253" s="2"/>
      <c r="V253" s="2"/>
      <c r="W253" s="2"/>
      <c r="X253" s="2"/>
      <c r="Y253" s="2"/>
      <c r="Z253" s="2"/>
      <c r="AA253" s="2"/>
      <c r="AB253" s="2"/>
      <c r="AC253" s="2"/>
      <c r="AD253" s="2"/>
      <c r="AE253" s="2"/>
      <c r="AF253" s="2"/>
      <c r="AG253" s="2"/>
    </row>
    <row r="254" spans="1:33" ht="15.75" x14ac:dyDescent="0.3">
      <c r="A254" s="2"/>
      <c r="B254" s="2"/>
      <c r="C254" s="2"/>
      <c r="D254" s="2"/>
      <c r="E254" s="2"/>
      <c r="F254" s="2"/>
      <c r="G254" s="21" t="s">
        <v>1141</v>
      </c>
      <c r="H254" s="13" t="s">
        <v>332</v>
      </c>
      <c r="I254" s="291">
        <f>I253/I252</f>
        <v>8.4803751205574252E-3</v>
      </c>
      <c r="J254" s="291"/>
      <c r="K254" s="291"/>
      <c r="L254" s="2" t="s">
        <v>455</v>
      </c>
      <c r="M254" s="2"/>
      <c r="N254" s="2"/>
      <c r="O254" s="2"/>
      <c r="P254" s="2"/>
      <c r="Q254" s="2"/>
      <c r="R254" s="2"/>
      <c r="S254" s="2"/>
      <c r="T254" s="2"/>
      <c r="U254" s="2"/>
      <c r="V254" s="2"/>
      <c r="W254" s="2"/>
      <c r="X254" s="2"/>
      <c r="Y254" s="2"/>
      <c r="Z254" s="2"/>
      <c r="AA254" s="2"/>
      <c r="AB254" s="2"/>
      <c r="AC254" s="2"/>
      <c r="AD254" s="2"/>
      <c r="AE254" s="2"/>
      <c r="AF254" s="2"/>
      <c r="AG254" s="2"/>
    </row>
    <row r="255" spans="1:33" x14ac:dyDescent="0.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row>
    <row r="256" spans="1:33" x14ac:dyDescent="0.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row>
    <row r="257" spans="1:33" x14ac:dyDescent="0.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row>
    <row r="258" spans="1:33" x14ac:dyDescent="0.2">
      <c r="A258" s="2"/>
      <c r="B258" s="2"/>
      <c r="C258" s="2" t="s">
        <v>1144</v>
      </c>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row>
    <row r="259" spans="1:33" x14ac:dyDescent="0.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row>
    <row r="260" spans="1:33" x14ac:dyDescent="0.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row>
    <row r="261" spans="1:33" x14ac:dyDescent="0.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row>
    <row r="262" spans="1:33" x14ac:dyDescent="0.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row>
    <row r="263" spans="1:33" x14ac:dyDescent="0.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row>
    <row r="264" spans="1:33" x14ac:dyDescent="0.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row>
    <row r="265" spans="1:33" x14ac:dyDescent="0.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row>
    <row r="266" spans="1:33" x14ac:dyDescent="0.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row>
    <row r="267" spans="1:33" x14ac:dyDescent="0.2">
      <c r="A267" s="2"/>
      <c r="B267" s="2"/>
      <c r="C267" s="18" t="s">
        <v>1145</v>
      </c>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row>
    <row r="268" spans="1:33" x14ac:dyDescent="0.2">
      <c r="A268" s="2"/>
      <c r="B268" s="2"/>
      <c r="C268" s="232" t="s">
        <v>1463</v>
      </c>
      <c r="D268" s="232"/>
      <c r="E268" s="232"/>
      <c r="F268" s="232"/>
      <c r="G268" s="232"/>
      <c r="H268" s="232"/>
      <c r="I268" s="232"/>
      <c r="J268" s="232"/>
      <c r="K268" s="232"/>
      <c r="L268" s="232"/>
      <c r="M268" s="232"/>
      <c r="N268" s="232"/>
      <c r="O268" s="232"/>
      <c r="P268" s="232"/>
      <c r="Q268" s="232"/>
      <c r="R268" s="232"/>
      <c r="S268" s="232"/>
      <c r="T268" s="232"/>
      <c r="U268" s="232"/>
      <c r="V268" s="232"/>
      <c r="W268" s="232"/>
      <c r="X268" s="232"/>
      <c r="Y268" s="232"/>
      <c r="Z268" s="232"/>
      <c r="AA268" s="232"/>
      <c r="AB268" s="232"/>
      <c r="AC268" s="232"/>
      <c r="AD268" s="232"/>
      <c r="AE268" s="232"/>
      <c r="AF268" s="232"/>
      <c r="AG268" s="232"/>
    </row>
    <row r="269" spans="1:33" x14ac:dyDescent="0.2">
      <c r="A269" s="2"/>
      <c r="B269" s="2"/>
      <c r="C269" s="232"/>
      <c r="D269" s="232"/>
      <c r="E269" s="232"/>
      <c r="F269" s="232"/>
      <c r="G269" s="232"/>
      <c r="H269" s="232"/>
      <c r="I269" s="232"/>
      <c r="J269" s="232"/>
      <c r="K269" s="232"/>
      <c r="L269" s="232"/>
      <c r="M269" s="232"/>
      <c r="N269" s="232"/>
      <c r="O269" s="232"/>
      <c r="P269" s="232"/>
      <c r="Q269" s="232"/>
      <c r="R269" s="232"/>
      <c r="S269" s="232"/>
      <c r="T269" s="232"/>
      <c r="U269" s="232"/>
      <c r="V269" s="232"/>
      <c r="W269" s="232"/>
      <c r="X269" s="232"/>
      <c r="Y269" s="232"/>
      <c r="Z269" s="232"/>
      <c r="AA269" s="232"/>
      <c r="AB269" s="232"/>
      <c r="AC269" s="232"/>
      <c r="AD269" s="232"/>
      <c r="AE269" s="232"/>
      <c r="AF269" s="232"/>
      <c r="AG269" s="232"/>
    </row>
    <row r="270" spans="1:33" x14ac:dyDescent="0.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row>
    <row r="271" spans="1:33" x14ac:dyDescent="0.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row>
    <row r="272" spans="1:33" x14ac:dyDescent="0.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row>
    <row r="273" spans="1:33" x14ac:dyDescent="0.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row>
    <row r="274" spans="1:33" x14ac:dyDescent="0.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row>
    <row r="275" spans="1:33" x14ac:dyDescent="0.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row>
    <row r="276" spans="1:33" x14ac:dyDescent="0.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row>
    <row r="277" spans="1:33" x14ac:dyDescent="0.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row>
    <row r="278" spans="1:33" ht="15.75" x14ac:dyDescent="0.3">
      <c r="A278" s="2"/>
      <c r="B278" s="2"/>
      <c r="C278" s="2"/>
      <c r="D278" s="2"/>
      <c r="F278" s="21" t="s">
        <v>1146</v>
      </c>
      <c r="G278" s="13" t="s">
        <v>332</v>
      </c>
      <c r="H278" s="283">
        <f>O21+M139</f>
        <v>156.18893400000002</v>
      </c>
      <c r="I278" s="283"/>
      <c r="J278" s="283"/>
      <c r="K278" s="2" t="s">
        <v>335</v>
      </c>
      <c r="L278" s="2"/>
      <c r="M278" s="2"/>
      <c r="N278" s="2" t="s">
        <v>1147</v>
      </c>
      <c r="O278" s="2"/>
      <c r="P278" s="2"/>
      <c r="Q278" s="2"/>
      <c r="R278" s="2"/>
      <c r="S278" s="2"/>
      <c r="T278" s="2"/>
      <c r="U278" s="2"/>
      <c r="V278" s="2"/>
      <c r="W278" s="2"/>
      <c r="X278" s="2"/>
      <c r="Y278" s="2"/>
      <c r="Z278" s="2"/>
      <c r="AA278" s="2"/>
      <c r="AB278" s="2"/>
      <c r="AC278" s="2"/>
      <c r="AD278" s="2"/>
      <c r="AE278" s="2"/>
      <c r="AF278" s="2"/>
      <c r="AG278" s="2"/>
    </row>
    <row r="279" spans="1:33" ht="15.75" x14ac:dyDescent="0.3">
      <c r="A279" s="2"/>
      <c r="B279" s="2"/>
      <c r="C279" s="2"/>
      <c r="D279" s="2"/>
      <c r="E279" s="2"/>
      <c r="F279" s="21" t="s">
        <v>1149</v>
      </c>
      <c r="G279" s="13" t="s">
        <v>332</v>
      </c>
      <c r="H279" s="283">
        <f>H278/(H115*H116)</f>
        <v>28.923876666666668</v>
      </c>
      <c r="I279" s="283"/>
      <c r="J279" s="283"/>
      <c r="K279" s="2" t="s">
        <v>347</v>
      </c>
      <c r="L279" s="2"/>
      <c r="M279" s="2"/>
      <c r="N279" s="2" t="s">
        <v>1148</v>
      </c>
      <c r="O279" s="2"/>
      <c r="P279" s="2"/>
      <c r="Q279" s="2"/>
      <c r="R279" s="2"/>
      <c r="S279" s="2"/>
      <c r="T279" s="2"/>
      <c r="U279" s="2"/>
      <c r="V279" s="2"/>
      <c r="W279" s="2"/>
      <c r="X279" s="2"/>
      <c r="Y279" s="2"/>
      <c r="Z279" s="2"/>
      <c r="AA279" s="2"/>
      <c r="AB279" s="2"/>
      <c r="AC279" s="2"/>
      <c r="AD279" s="2"/>
      <c r="AE279" s="2"/>
      <c r="AF279" s="2"/>
      <c r="AG279" s="2"/>
    </row>
    <row r="280" spans="1:33" x14ac:dyDescent="0.2">
      <c r="A280" s="2"/>
      <c r="B280" s="2"/>
      <c r="C280" s="2"/>
      <c r="D280" s="2"/>
      <c r="E280" s="2"/>
      <c r="F280" s="21" t="s">
        <v>964</v>
      </c>
      <c r="G280" s="13" t="s">
        <v>332</v>
      </c>
      <c r="H280" s="283">
        <v>30000</v>
      </c>
      <c r="I280" s="283"/>
      <c r="J280" s="283"/>
      <c r="K280" s="2" t="s">
        <v>372</v>
      </c>
      <c r="L280" s="2"/>
      <c r="M280" s="2"/>
      <c r="N280" s="2" t="s">
        <v>1150</v>
      </c>
      <c r="O280" s="2"/>
      <c r="P280" s="2"/>
      <c r="Q280" s="2"/>
      <c r="R280" s="2"/>
      <c r="S280" s="2"/>
      <c r="T280" s="2"/>
      <c r="U280" s="2"/>
      <c r="V280" s="2"/>
      <c r="W280" s="2"/>
      <c r="X280" s="2"/>
      <c r="Y280" s="2"/>
      <c r="Z280" s="2"/>
      <c r="AA280" s="2"/>
      <c r="AB280" s="2"/>
      <c r="AC280" s="2"/>
      <c r="AD280" s="2"/>
      <c r="AE280" s="2"/>
      <c r="AF280" s="2"/>
      <c r="AG280" s="2"/>
    </row>
    <row r="281" spans="1:33" x14ac:dyDescent="0.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row>
    <row r="282" spans="1:33" ht="15.75" x14ac:dyDescent="0.3">
      <c r="A282" s="2"/>
      <c r="B282" s="2"/>
      <c r="C282" s="2"/>
      <c r="D282" s="2"/>
      <c r="E282" s="2"/>
      <c r="F282" s="21" t="s">
        <v>1151</v>
      </c>
      <c r="G282" s="13" t="s">
        <v>332</v>
      </c>
      <c r="H282" s="283">
        <f>42*SQRT(H280/H279)</f>
        <v>1352.6382592879431</v>
      </c>
      <c r="I282" s="283"/>
      <c r="J282" s="283"/>
      <c r="K282" s="2" t="s">
        <v>336</v>
      </c>
      <c r="L282" s="2"/>
      <c r="M282" s="2"/>
      <c r="N282" s="2"/>
      <c r="O282" s="2"/>
      <c r="P282" s="2"/>
      <c r="Q282" s="2"/>
      <c r="R282" s="2"/>
      <c r="S282" s="2"/>
      <c r="T282" s="2"/>
      <c r="U282" s="2"/>
      <c r="V282" s="2"/>
      <c r="W282" s="2"/>
      <c r="X282" s="2"/>
      <c r="Y282" s="2"/>
      <c r="Z282" s="2"/>
      <c r="AA282" s="2"/>
      <c r="AB282" s="2"/>
      <c r="AC282" s="2"/>
      <c r="AD282" s="2"/>
      <c r="AE282" s="2"/>
      <c r="AF282" s="2"/>
      <c r="AG282" s="2"/>
    </row>
    <row r="283" spans="1:33" ht="15.75" x14ac:dyDescent="0.3">
      <c r="A283" s="2"/>
      <c r="B283" s="2"/>
      <c r="C283" s="2"/>
      <c r="D283" s="2"/>
      <c r="E283" s="2"/>
      <c r="F283" s="21" t="s">
        <v>1152</v>
      </c>
      <c r="G283" s="13" t="s">
        <v>332</v>
      </c>
      <c r="H283" s="283">
        <f>J12</f>
        <v>3600</v>
      </c>
      <c r="I283" s="283"/>
      <c r="J283" s="283"/>
      <c r="K283" s="2" t="s">
        <v>336</v>
      </c>
      <c r="L283" s="2"/>
      <c r="M283" s="2" t="s">
        <v>1154</v>
      </c>
      <c r="N283" s="2"/>
      <c r="O283" s="2"/>
      <c r="P283" s="2"/>
      <c r="Q283" s="2"/>
      <c r="R283" s="2"/>
      <c r="S283" s="2"/>
      <c r="T283" s="2"/>
      <c r="U283" s="2"/>
      <c r="V283" s="2"/>
      <c r="W283" s="2"/>
      <c r="X283" s="2"/>
      <c r="Y283" s="2"/>
      <c r="Z283" s="2"/>
      <c r="AA283" s="2"/>
      <c r="AB283" s="2"/>
      <c r="AC283" s="2"/>
      <c r="AD283" s="2"/>
      <c r="AE283" s="2"/>
      <c r="AF283" s="2"/>
      <c r="AG283" s="2"/>
    </row>
    <row r="284" spans="1:33" x14ac:dyDescent="0.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row>
    <row r="285" spans="1:33" x14ac:dyDescent="0.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row>
    <row r="286" spans="1:33" x14ac:dyDescent="0.2">
      <c r="A286" s="2"/>
      <c r="B286" s="2"/>
      <c r="C286" s="232" t="s">
        <v>1512</v>
      </c>
      <c r="D286" s="232"/>
      <c r="E286" s="232"/>
      <c r="F286" s="232"/>
      <c r="G286" s="232"/>
      <c r="H286" s="232"/>
      <c r="I286" s="232"/>
      <c r="J286" s="232"/>
      <c r="K286" s="232"/>
      <c r="L286" s="232"/>
      <c r="M286" s="232"/>
      <c r="N286" s="232"/>
      <c r="O286" s="232"/>
      <c r="P286" s="232"/>
      <c r="Q286" s="232"/>
      <c r="R286" s="232"/>
      <c r="S286" s="232"/>
      <c r="T286" s="232"/>
      <c r="U286" s="232"/>
      <c r="V286" s="232"/>
      <c r="W286" s="232"/>
      <c r="X286" s="232"/>
      <c r="Y286" s="232"/>
      <c r="Z286" s="232"/>
      <c r="AA286" s="232"/>
      <c r="AB286" s="232"/>
      <c r="AC286" s="232"/>
      <c r="AD286" s="232"/>
      <c r="AE286" s="232"/>
      <c r="AF286" s="232"/>
      <c r="AG286" s="232"/>
    </row>
    <row r="287" spans="1:33" x14ac:dyDescent="0.2">
      <c r="A287" s="2"/>
      <c r="B287" s="2"/>
      <c r="C287" s="232"/>
      <c r="D287" s="232"/>
      <c r="E287" s="232"/>
      <c r="F287" s="232"/>
      <c r="G287" s="232"/>
      <c r="H287" s="232"/>
      <c r="I287" s="232"/>
      <c r="J287" s="232"/>
      <c r="K287" s="232"/>
      <c r="L287" s="232"/>
      <c r="M287" s="232"/>
      <c r="N287" s="232"/>
      <c r="O287" s="232"/>
      <c r="P287" s="232"/>
      <c r="Q287" s="232"/>
      <c r="R287" s="232"/>
      <c r="S287" s="232"/>
      <c r="T287" s="232"/>
      <c r="U287" s="232"/>
      <c r="V287" s="232"/>
      <c r="W287" s="232"/>
      <c r="X287" s="232"/>
      <c r="Y287" s="232"/>
      <c r="Z287" s="232"/>
      <c r="AA287" s="232"/>
      <c r="AB287" s="232"/>
      <c r="AC287" s="232"/>
      <c r="AD287" s="232"/>
      <c r="AE287" s="232"/>
      <c r="AF287" s="232"/>
      <c r="AG287" s="232"/>
    </row>
    <row r="288" spans="1:33" x14ac:dyDescent="0.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row>
    <row r="289" spans="1:33" x14ac:dyDescent="0.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row>
    <row r="290" spans="1:33" x14ac:dyDescent="0.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row>
    <row r="291" spans="1:33" x14ac:dyDescent="0.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row>
    <row r="292" spans="1:33" x14ac:dyDescent="0.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row>
    <row r="293" spans="1:33" x14ac:dyDescent="0.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row>
    <row r="294" spans="1:33" x14ac:dyDescent="0.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row>
    <row r="295" spans="1:33" x14ac:dyDescent="0.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row>
    <row r="296" spans="1:33" x14ac:dyDescent="0.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row>
    <row r="297" spans="1:33" x14ac:dyDescent="0.2">
      <c r="A297" s="2"/>
      <c r="B297" s="2"/>
      <c r="C297" s="2"/>
      <c r="D297" s="2" t="s">
        <v>1464</v>
      </c>
      <c r="E297" s="2"/>
      <c r="F297" s="2"/>
      <c r="G297" s="21" t="s">
        <v>1465</v>
      </c>
      <c r="H297" s="13" t="s">
        <v>332</v>
      </c>
      <c r="I297" s="2" t="s">
        <v>1466</v>
      </c>
      <c r="J297" s="2"/>
      <c r="K297" s="2"/>
      <c r="L297" s="2"/>
      <c r="M297" s="2"/>
      <c r="N297" s="2"/>
      <c r="O297" s="2"/>
      <c r="P297" s="2"/>
      <c r="Q297" s="2"/>
      <c r="R297" s="2"/>
      <c r="S297" s="2"/>
      <c r="T297" s="2"/>
      <c r="U297" s="2"/>
      <c r="V297" s="2"/>
      <c r="W297" s="2"/>
      <c r="X297" s="2"/>
      <c r="Y297" s="2"/>
      <c r="Z297" s="2"/>
      <c r="AA297" s="2"/>
      <c r="AB297" s="2"/>
      <c r="AC297" s="2"/>
      <c r="AD297" s="2"/>
      <c r="AE297" s="2"/>
      <c r="AF297" s="2"/>
      <c r="AG297" s="2"/>
    </row>
    <row r="298" spans="1:33" x14ac:dyDescent="0.2">
      <c r="A298" s="2"/>
      <c r="B298" s="2"/>
      <c r="C298" s="2"/>
      <c r="D298" s="2"/>
      <c r="E298" s="2"/>
      <c r="F298" s="2"/>
      <c r="G298" s="21" t="s">
        <v>558</v>
      </c>
      <c r="H298" s="13" t="s">
        <v>332</v>
      </c>
      <c r="I298" s="2" t="s">
        <v>1513</v>
      </c>
      <c r="J298" s="2"/>
      <c r="K298" s="2"/>
      <c r="L298" s="2"/>
      <c r="M298" s="2"/>
      <c r="N298" s="2"/>
      <c r="O298" s="2"/>
      <c r="P298" s="2"/>
      <c r="Q298" s="2"/>
      <c r="R298" s="2"/>
      <c r="S298" s="2"/>
      <c r="T298" s="2"/>
      <c r="U298" s="2"/>
      <c r="V298" s="2"/>
      <c r="W298" s="2"/>
      <c r="X298" s="2"/>
      <c r="Y298" s="2"/>
      <c r="Z298" s="2"/>
      <c r="AA298" s="2"/>
      <c r="AB298" s="2"/>
      <c r="AC298" s="2"/>
      <c r="AD298" s="2"/>
      <c r="AE298" s="2"/>
      <c r="AF298" s="2"/>
      <c r="AG298" s="2"/>
    </row>
    <row r="299" spans="1:33" x14ac:dyDescent="0.2">
      <c r="A299" s="2"/>
      <c r="B299" s="2"/>
      <c r="C299" s="2"/>
      <c r="D299" s="2"/>
      <c r="E299" s="2"/>
      <c r="F299" s="2"/>
      <c r="G299" s="21"/>
      <c r="H299" s="13"/>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row>
    <row r="300" spans="1:33" x14ac:dyDescent="0.2">
      <c r="A300" s="2"/>
      <c r="B300" s="2"/>
      <c r="C300" s="2"/>
      <c r="D300" s="2"/>
      <c r="E300" s="2"/>
      <c r="F300" s="2"/>
      <c r="G300" s="21" t="s">
        <v>340</v>
      </c>
      <c r="H300" s="13" t="s">
        <v>332</v>
      </c>
      <c r="I300" s="2" t="s">
        <v>1467</v>
      </c>
      <c r="J300" s="2"/>
      <c r="K300" s="2"/>
      <c r="L300" s="2"/>
      <c r="M300" s="2"/>
      <c r="N300" s="2"/>
      <c r="O300" s="2"/>
      <c r="P300" s="2"/>
      <c r="Q300" s="2"/>
      <c r="R300" s="2"/>
      <c r="S300" s="2"/>
      <c r="T300" s="2"/>
      <c r="U300" s="2"/>
      <c r="V300" s="2"/>
      <c r="W300" s="2"/>
      <c r="X300" s="2"/>
      <c r="Y300" s="2"/>
      <c r="Z300" s="2"/>
      <c r="AA300" s="2"/>
      <c r="AB300" s="2"/>
      <c r="AC300" s="2"/>
      <c r="AD300" s="2"/>
      <c r="AE300" s="2"/>
      <c r="AF300" s="2"/>
      <c r="AG300" s="2"/>
    </row>
    <row r="301" spans="1:33" ht="15.75" x14ac:dyDescent="0.3">
      <c r="A301" s="2"/>
      <c r="B301" s="2"/>
      <c r="C301" s="2"/>
      <c r="D301" s="2"/>
      <c r="E301" s="2"/>
      <c r="F301" s="2"/>
      <c r="G301" s="21" t="s">
        <v>1468</v>
      </c>
      <c r="H301" s="13" t="s">
        <v>332</v>
      </c>
      <c r="I301" s="231">
        <f>'7. Load Development'!N71</f>
        <v>137.87599768128001</v>
      </c>
      <c r="J301" s="231"/>
      <c r="K301" s="231"/>
      <c r="L301" s="2" t="s">
        <v>335</v>
      </c>
      <c r="M301" s="2"/>
      <c r="N301" s="2"/>
      <c r="O301" s="2"/>
      <c r="P301" s="2" t="s">
        <v>1518</v>
      </c>
      <c r="Q301" s="2"/>
      <c r="R301" s="2"/>
      <c r="S301" s="2"/>
      <c r="T301" s="2"/>
      <c r="U301" s="2"/>
      <c r="V301" s="2"/>
      <c r="W301" s="2"/>
      <c r="X301" s="2"/>
      <c r="Y301" s="2"/>
      <c r="Z301" s="2"/>
      <c r="AA301" s="2"/>
      <c r="AB301" s="2"/>
      <c r="AC301" s="2"/>
      <c r="AD301" s="2"/>
      <c r="AE301" s="2"/>
      <c r="AF301" s="2"/>
      <c r="AG301" s="2"/>
    </row>
    <row r="302" spans="1:33" x14ac:dyDescent="0.2">
      <c r="A302" s="2"/>
      <c r="B302" s="2"/>
      <c r="C302" s="2"/>
      <c r="D302" s="2"/>
      <c r="E302" s="2"/>
      <c r="F302" s="2"/>
      <c r="G302" s="21" t="s">
        <v>135</v>
      </c>
      <c r="H302" s="13" t="s">
        <v>332</v>
      </c>
      <c r="I302" s="231">
        <f>'7. Load Development'!H125</f>
        <v>36.679590000000005</v>
      </c>
      <c r="J302" s="231"/>
      <c r="K302" s="231"/>
      <c r="L302" s="2" t="s">
        <v>335</v>
      </c>
      <c r="M302" s="2"/>
      <c r="N302" s="2"/>
      <c r="O302" s="2"/>
      <c r="P302" s="2" t="s">
        <v>1469</v>
      </c>
      <c r="Q302" s="2"/>
      <c r="R302" s="2"/>
      <c r="S302" s="2"/>
      <c r="T302" s="2"/>
      <c r="U302" s="2"/>
      <c r="V302" s="2"/>
      <c r="W302" s="2"/>
      <c r="X302" s="2"/>
      <c r="Y302" s="2"/>
      <c r="Z302" s="2"/>
      <c r="AA302" s="2"/>
      <c r="AB302" s="2"/>
      <c r="AC302" s="2"/>
      <c r="AD302" s="2"/>
      <c r="AE302" s="2"/>
      <c r="AF302" s="2"/>
      <c r="AG302" s="2"/>
    </row>
    <row r="303" spans="1:33" x14ac:dyDescent="0.2">
      <c r="A303" s="2"/>
      <c r="B303" s="2"/>
      <c r="C303" s="2"/>
      <c r="D303" s="2"/>
      <c r="E303" s="2"/>
      <c r="F303" s="2"/>
      <c r="G303" s="21" t="s">
        <v>340</v>
      </c>
      <c r="H303" s="13" t="s">
        <v>332</v>
      </c>
      <c r="I303" s="231">
        <f>I301+I302</f>
        <v>174.55558768128003</v>
      </c>
      <c r="J303" s="231"/>
      <c r="K303" s="231"/>
      <c r="L303" s="2" t="s">
        <v>335</v>
      </c>
      <c r="M303" s="2"/>
      <c r="N303" s="2"/>
      <c r="O303" s="2"/>
      <c r="P303" s="2"/>
      <c r="Q303" s="2"/>
      <c r="R303" s="2"/>
      <c r="S303" s="2"/>
      <c r="T303" s="2"/>
      <c r="U303" s="2"/>
      <c r="V303" s="2"/>
      <c r="W303" s="2"/>
      <c r="X303" s="2"/>
      <c r="Y303" s="2"/>
      <c r="Z303" s="2"/>
      <c r="AA303" s="2"/>
      <c r="AB303" s="2"/>
      <c r="AC303" s="2"/>
      <c r="AD303" s="2"/>
      <c r="AE303" s="2"/>
      <c r="AF303" s="2"/>
      <c r="AG303" s="2"/>
    </row>
    <row r="304" spans="1:33" x14ac:dyDescent="0.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row>
    <row r="305" spans="1:33"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row>
    <row r="306" spans="1:33"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row>
    <row r="307" spans="1:33"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row>
    <row r="308" spans="1:33"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row>
    <row r="309" spans="1:33"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row>
    <row r="310" spans="1:33"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row>
    <row r="311" spans="1:33"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row>
    <row r="312" spans="1:33"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row>
    <row r="313" spans="1:33"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row>
    <row r="314" spans="1:33"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row>
    <row r="315" spans="1:33"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row>
    <row r="316" spans="1:33"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row>
    <row r="317" spans="1:33"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row>
    <row r="318" spans="1:33"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row>
    <row r="319" spans="1:33"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row>
    <row r="320" spans="1:33" x14ac:dyDescent="0.2">
      <c r="A320" s="2"/>
      <c r="B320" s="2"/>
      <c r="C320" s="2"/>
      <c r="D320" s="16" t="s">
        <v>1481</v>
      </c>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row>
    <row r="321" spans="1:34" x14ac:dyDescent="0.2">
      <c r="A321" s="2"/>
      <c r="B321" s="2"/>
      <c r="C321" s="2"/>
      <c r="D321" s="2" t="s">
        <v>1492</v>
      </c>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row>
    <row r="322" spans="1:34" ht="14.25" customHeight="1" x14ac:dyDescent="0.2">
      <c r="A322" s="2"/>
      <c r="B322" s="2"/>
      <c r="C322" s="2"/>
      <c r="D322" s="232" t="s">
        <v>1490</v>
      </c>
      <c r="E322" s="232"/>
      <c r="F322" s="232"/>
      <c r="G322" s="232"/>
      <c r="H322" s="232"/>
      <c r="I322" s="232"/>
      <c r="J322" s="232"/>
      <c r="K322" s="232"/>
      <c r="L322" s="232"/>
      <c r="M322" s="232"/>
      <c r="N322" s="232"/>
      <c r="O322" s="232"/>
      <c r="P322" s="232"/>
      <c r="Q322" s="232"/>
      <c r="R322" s="232"/>
      <c r="S322" s="232"/>
      <c r="T322" s="232"/>
      <c r="U322" s="232"/>
      <c r="V322" s="232"/>
      <c r="W322" s="232"/>
      <c r="X322" s="232"/>
      <c r="Y322" s="232"/>
      <c r="Z322" s="232"/>
      <c r="AA322" s="232"/>
      <c r="AB322" s="232"/>
      <c r="AC322" s="232"/>
      <c r="AD322" s="232"/>
      <c r="AE322" s="232"/>
      <c r="AF322" s="232"/>
      <c r="AG322" s="232"/>
      <c r="AH322" s="23"/>
    </row>
    <row r="323" spans="1:34" x14ac:dyDescent="0.2">
      <c r="A323" s="2"/>
      <c r="B323" s="2"/>
      <c r="D323" s="232"/>
      <c r="E323" s="232"/>
      <c r="F323" s="232"/>
      <c r="G323" s="232"/>
      <c r="H323" s="232"/>
      <c r="I323" s="232"/>
      <c r="J323" s="232"/>
      <c r="K323" s="232"/>
      <c r="L323" s="232"/>
      <c r="M323" s="232"/>
      <c r="N323" s="232"/>
      <c r="O323" s="232"/>
      <c r="P323" s="232"/>
      <c r="Q323" s="232"/>
      <c r="R323" s="232"/>
      <c r="S323" s="232"/>
      <c r="T323" s="232"/>
      <c r="U323" s="232"/>
      <c r="V323" s="232"/>
      <c r="W323" s="232"/>
      <c r="X323" s="232"/>
      <c r="Y323" s="232"/>
      <c r="Z323" s="232"/>
      <c r="AA323" s="232"/>
      <c r="AB323" s="232"/>
      <c r="AC323" s="232"/>
      <c r="AD323" s="232"/>
      <c r="AE323" s="232"/>
      <c r="AF323" s="232"/>
      <c r="AG323" s="232"/>
      <c r="AH323" s="23"/>
    </row>
    <row r="324" spans="1:34" x14ac:dyDescent="0.2">
      <c r="A324" s="2"/>
      <c r="B324" s="2"/>
    </row>
    <row r="325" spans="1:34" x14ac:dyDescent="0.2">
      <c r="A325" s="2"/>
      <c r="B325" s="2"/>
    </row>
    <row r="326" spans="1:34"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row>
    <row r="327" spans="1:34"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row>
    <row r="328" spans="1:34"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row>
    <row r="329" spans="1:34"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row>
    <row r="330" spans="1:34"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row>
    <row r="331" spans="1:34"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row>
    <row r="332" spans="1:34"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row>
    <row r="333" spans="1:34"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row>
    <row r="334" spans="1:34"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row>
    <row r="335" spans="1:34"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row>
    <row r="336" spans="1:34"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row>
    <row r="337" spans="1:33"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row>
    <row r="338" spans="1:33"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row>
    <row r="339" spans="1:33"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row>
    <row r="340" spans="1:33"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row>
    <row r="341" spans="1:33"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row>
    <row r="342" spans="1:33"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row>
    <row r="343" spans="1:33"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row>
    <row r="344" spans="1:33"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row>
    <row r="345" spans="1:33"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row>
    <row r="346" spans="1:33"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row>
    <row r="347" spans="1:33"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row>
    <row r="348" spans="1:33" x14ac:dyDescent="0.2">
      <c r="A348" s="2"/>
      <c r="B348" s="2"/>
      <c r="C348" s="2"/>
      <c r="D348" s="2"/>
      <c r="E348" s="2"/>
      <c r="F348" s="2"/>
      <c r="G348" s="21" t="s">
        <v>1471</v>
      </c>
      <c r="H348" s="13" t="s">
        <v>332</v>
      </c>
      <c r="I348" s="292">
        <f>0.00000347</f>
        <v>3.4699999999999998E-6</v>
      </c>
      <c r="J348" s="292"/>
      <c r="K348" s="292"/>
      <c r="L348" s="2" t="s">
        <v>340</v>
      </c>
      <c r="M348" s="2"/>
      <c r="N348" s="2"/>
      <c r="O348" s="2"/>
      <c r="P348" s="2" t="s">
        <v>1491</v>
      </c>
      <c r="Q348" s="2"/>
      <c r="R348" s="2"/>
      <c r="S348" s="2"/>
      <c r="T348" s="2"/>
      <c r="U348" s="2"/>
      <c r="V348" s="2"/>
      <c r="W348" s="2"/>
      <c r="X348" s="2"/>
      <c r="Y348" s="2"/>
      <c r="Z348" s="2"/>
      <c r="AA348" s="2"/>
      <c r="AB348" s="2"/>
      <c r="AC348" s="2"/>
      <c r="AD348" s="2"/>
      <c r="AE348" s="2"/>
      <c r="AF348" s="2"/>
      <c r="AG348" s="2"/>
    </row>
    <row r="349" spans="1:33" x14ac:dyDescent="0.2">
      <c r="A349" s="2"/>
      <c r="B349" s="2"/>
      <c r="C349" s="2"/>
      <c r="D349" s="2"/>
      <c r="E349" s="2"/>
      <c r="F349" s="2"/>
      <c r="G349" s="21" t="s">
        <v>558</v>
      </c>
      <c r="H349" s="13" t="s">
        <v>332</v>
      </c>
      <c r="I349" s="283">
        <f>1/I348</f>
        <v>288184.43804034585</v>
      </c>
      <c r="J349" s="284"/>
      <c r="K349" s="284"/>
      <c r="L349" s="2" t="s">
        <v>551</v>
      </c>
      <c r="M349" s="2"/>
      <c r="N349" s="2"/>
      <c r="O349" s="2"/>
      <c r="P349" s="2" t="s">
        <v>1472</v>
      </c>
      <c r="Q349" s="2"/>
      <c r="R349" s="2"/>
      <c r="S349" s="2"/>
      <c r="T349" s="2"/>
      <c r="U349" s="2"/>
      <c r="V349" s="2"/>
      <c r="W349" s="2"/>
      <c r="X349" s="2"/>
      <c r="Y349" s="2"/>
      <c r="Z349" s="2"/>
      <c r="AA349" s="2"/>
      <c r="AB349" s="2"/>
      <c r="AC349" s="2"/>
      <c r="AD349" s="2"/>
      <c r="AE349" s="2"/>
      <c r="AF349" s="2"/>
      <c r="AG349" s="2"/>
    </row>
    <row r="350" spans="1:33" x14ac:dyDescent="0.2">
      <c r="A350" s="2"/>
      <c r="B350" s="2"/>
      <c r="C350" s="2"/>
      <c r="D350" s="2"/>
      <c r="E350" s="2"/>
      <c r="F350" s="2"/>
      <c r="N350" s="2"/>
      <c r="O350" s="2"/>
      <c r="P350" s="2"/>
      <c r="Q350" s="2"/>
      <c r="R350" s="2"/>
      <c r="S350" s="2"/>
      <c r="T350" s="2"/>
      <c r="U350" s="2"/>
      <c r="V350" s="2"/>
      <c r="W350" s="2"/>
      <c r="X350" s="2"/>
      <c r="Y350" s="2"/>
      <c r="Z350" s="2"/>
      <c r="AA350" s="2"/>
      <c r="AB350" s="2"/>
      <c r="AC350" s="2"/>
      <c r="AD350" s="2"/>
      <c r="AE350" s="2"/>
      <c r="AF350" s="2"/>
      <c r="AG350" s="2"/>
    </row>
    <row r="351" spans="1:33" ht="15.75" x14ac:dyDescent="0.3">
      <c r="A351" s="2"/>
      <c r="B351" s="2"/>
      <c r="C351" s="2"/>
      <c r="D351" s="2"/>
      <c r="E351" s="2"/>
      <c r="F351" s="2"/>
      <c r="G351" s="21" t="s">
        <v>1473</v>
      </c>
      <c r="H351" s="13" t="s">
        <v>332</v>
      </c>
      <c r="I351" s="283">
        <f>I349*4</f>
        <v>1152737.7521613834</v>
      </c>
      <c r="J351" s="284"/>
      <c r="K351" s="284"/>
      <c r="L351" s="2" t="s">
        <v>551</v>
      </c>
      <c r="M351" s="2"/>
      <c r="N351" s="2"/>
      <c r="O351" s="2"/>
      <c r="P351" s="232" t="s">
        <v>1476</v>
      </c>
      <c r="Q351" s="232"/>
      <c r="R351" s="232"/>
      <c r="S351" s="232"/>
      <c r="T351" s="232"/>
      <c r="U351" s="232"/>
      <c r="V351" s="232"/>
      <c r="W351" s="232"/>
      <c r="X351" s="232"/>
      <c r="Y351" s="232"/>
      <c r="Z351" s="232"/>
      <c r="AA351" s="232"/>
      <c r="AB351" s="232"/>
      <c r="AC351" s="232"/>
      <c r="AD351" s="232"/>
      <c r="AE351" s="232"/>
      <c r="AF351" s="232"/>
      <c r="AG351" s="232"/>
    </row>
    <row r="352" spans="1:33" x14ac:dyDescent="0.2">
      <c r="A352" s="2"/>
      <c r="B352" s="2"/>
      <c r="C352" s="2"/>
      <c r="D352" s="2"/>
      <c r="E352" s="2"/>
      <c r="F352" s="2"/>
      <c r="G352" s="21"/>
      <c r="H352" s="13"/>
      <c r="I352" s="78"/>
      <c r="J352" s="13"/>
      <c r="K352" s="13"/>
      <c r="L352" s="2"/>
      <c r="M352" s="2"/>
      <c r="N352" s="2"/>
      <c r="O352" s="2"/>
      <c r="P352" s="232"/>
      <c r="Q352" s="232"/>
      <c r="R352" s="232"/>
      <c r="S352" s="232"/>
      <c r="T352" s="232"/>
      <c r="U352" s="232"/>
      <c r="V352" s="232"/>
      <c r="W352" s="232"/>
      <c r="X352" s="232"/>
      <c r="Y352" s="232"/>
      <c r="Z352" s="232"/>
      <c r="AA352" s="232"/>
      <c r="AB352" s="232"/>
      <c r="AC352" s="232"/>
      <c r="AD352" s="232"/>
      <c r="AE352" s="232"/>
      <c r="AF352" s="232"/>
      <c r="AG352" s="232"/>
    </row>
    <row r="353" spans="1:33" x14ac:dyDescent="0.2">
      <c r="A353" s="2"/>
      <c r="B353" s="2"/>
      <c r="C353" s="2"/>
      <c r="D353" s="2"/>
      <c r="E353" s="2"/>
      <c r="F353" s="2"/>
      <c r="G353" s="21" t="s">
        <v>1465</v>
      </c>
      <c r="H353" s="13" t="s">
        <v>332</v>
      </c>
      <c r="I353" s="285">
        <f>1/(2*PI())*SQRT(I351/I303)</f>
        <v>12.933572805413275</v>
      </c>
      <c r="J353" s="285"/>
      <c r="K353" s="285"/>
      <c r="L353" s="2" t="s">
        <v>1470</v>
      </c>
      <c r="M353" s="2"/>
      <c r="N353" s="2"/>
      <c r="O353" s="2"/>
      <c r="P353" s="2"/>
      <c r="Q353" s="2"/>
      <c r="R353" s="2"/>
      <c r="S353" s="2"/>
      <c r="T353" s="2"/>
      <c r="U353" s="2"/>
      <c r="V353" s="2"/>
      <c r="W353" s="2"/>
      <c r="X353" s="2"/>
      <c r="Y353" s="2"/>
      <c r="Z353" s="2"/>
      <c r="AA353" s="2"/>
      <c r="AB353" s="2"/>
      <c r="AC353" s="2"/>
      <c r="AD353" s="2"/>
      <c r="AE353" s="2"/>
      <c r="AF353" s="2"/>
      <c r="AG353" s="2"/>
    </row>
    <row r="354" spans="1:33" ht="15.75" x14ac:dyDescent="0.3">
      <c r="A354" s="2"/>
      <c r="B354" s="2"/>
      <c r="C354" s="2"/>
      <c r="D354" s="2"/>
      <c r="E354" s="2"/>
      <c r="F354" s="2"/>
      <c r="G354" s="2"/>
      <c r="H354" s="13" t="s">
        <v>332</v>
      </c>
      <c r="I354" s="283">
        <f>I353*60</f>
        <v>776.01436832479658</v>
      </c>
      <c r="J354" s="284"/>
      <c r="K354" s="284"/>
      <c r="L354" s="2" t="s">
        <v>336</v>
      </c>
      <c r="M354" s="2"/>
      <c r="N354" s="2" t="s">
        <v>1475</v>
      </c>
      <c r="O354" s="2"/>
      <c r="P354" s="2"/>
      <c r="Q354" s="2"/>
      <c r="R354" s="2"/>
      <c r="S354" s="2"/>
      <c r="T354" s="2"/>
      <c r="U354" s="2"/>
      <c r="V354" s="2"/>
      <c r="W354" s="2"/>
      <c r="X354" s="2"/>
      <c r="Y354" s="2"/>
      <c r="Z354" s="2"/>
      <c r="AA354" s="2"/>
      <c r="AB354" s="2"/>
      <c r="AC354" s="2"/>
      <c r="AD354" s="2"/>
      <c r="AE354" s="2"/>
      <c r="AF354" s="2"/>
      <c r="AG354" s="2"/>
    </row>
    <row r="355" spans="1:33"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row>
    <row r="356" spans="1:33" x14ac:dyDescent="0.2">
      <c r="A356" s="2"/>
      <c r="B356" s="2"/>
      <c r="D356" s="2" t="s">
        <v>1474</v>
      </c>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row>
    <row r="357" spans="1:33"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row>
    <row r="358" spans="1:33"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row>
    <row r="359" spans="1:33"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row>
    <row r="360" spans="1:33"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row>
    <row r="361" spans="1:33"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row>
    <row r="362" spans="1:33"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row>
    <row r="363" spans="1:33"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row>
    <row r="364" spans="1:33"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row>
    <row r="365" spans="1:33"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row>
    <row r="366" spans="1:33"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row>
    <row r="367" spans="1:33"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row>
    <row r="368" spans="1:33"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row>
    <row r="369" spans="1:34"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row>
    <row r="370" spans="1:34"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row>
    <row r="371" spans="1:34"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row>
    <row r="372" spans="1:34"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row>
    <row r="373" spans="1:34"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row>
    <row r="374" spans="1:34" x14ac:dyDescent="0.2">
      <c r="A374" s="2"/>
      <c r="B374" s="2"/>
      <c r="C374" s="2"/>
      <c r="D374" s="16" t="s">
        <v>1480</v>
      </c>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row>
    <row r="375" spans="1:34" x14ac:dyDescent="0.2">
      <c r="A375" s="2"/>
      <c r="B375" s="2"/>
      <c r="C375" s="2"/>
      <c r="D375" s="2" t="s">
        <v>1514</v>
      </c>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row>
    <row r="376" spans="1:34"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row>
    <row r="377" spans="1:34" x14ac:dyDescent="0.2">
      <c r="A377" s="2"/>
      <c r="B377" s="2"/>
      <c r="C377" s="2"/>
      <c r="D377" s="2"/>
      <c r="E377" s="2"/>
      <c r="F377" s="2"/>
      <c r="G377" s="21" t="s">
        <v>558</v>
      </c>
      <c r="H377" s="2" t="s">
        <v>332</v>
      </c>
      <c r="I377" s="2" t="s">
        <v>1482</v>
      </c>
      <c r="J377" s="2"/>
      <c r="K377" s="2"/>
      <c r="L377" s="2"/>
      <c r="M377" s="2"/>
      <c r="N377" s="2"/>
      <c r="O377" s="2"/>
      <c r="P377" s="2" t="s">
        <v>1493</v>
      </c>
      <c r="Q377" s="2"/>
      <c r="R377" s="2"/>
      <c r="S377" s="2"/>
      <c r="T377" s="2"/>
      <c r="U377" s="2"/>
      <c r="V377" s="2"/>
      <c r="W377" s="2"/>
      <c r="X377" s="2"/>
      <c r="Y377" s="2"/>
      <c r="Z377" s="2"/>
      <c r="AA377" s="2"/>
      <c r="AB377" s="2"/>
      <c r="AC377" s="2"/>
      <c r="AD377" s="2"/>
      <c r="AE377" s="2"/>
      <c r="AF377" s="2"/>
      <c r="AG377" s="2"/>
    </row>
    <row r="378" spans="1:34" x14ac:dyDescent="0.2">
      <c r="A378" s="2"/>
      <c r="B378" s="2"/>
      <c r="C378" s="2"/>
      <c r="D378" s="2"/>
      <c r="E378" s="2"/>
      <c r="F378" s="2"/>
      <c r="G378" s="21" t="s">
        <v>1483</v>
      </c>
      <c r="H378" s="13" t="s">
        <v>332</v>
      </c>
      <c r="I378" s="284">
        <v>200000</v>
      </c>
      <c r="J378" s="284"/>
      <c r="K378" s="284"/>
      <c r="L378" s="2" t="s">
        <v>557</v>
      </c>
      <c r="M378" s="2"/>
      <c r="N378" s="2"/>
      <c r="P378" s="2" t="s">
        <v>1489</v>
      </c>
      <c r="Q378" s="2"/>
      <c r="R378" s="2"/>
      <c r="S378" s="2"/>
      <c r="T378" s="2"/>
      <c r="U378" s="2"/>
      <c r="V378" s="2"/>
      <c r="W378" s="2"/>
      <c r="X378" s="2"/>
      <c r="Y378" s="2"/>
      <c r="Z378" s="2"/>
      <c r="AA378" s="2"/>
      <c r="AB378" s="2"/>
      <c r="AC378" s="2"/>
      <c r="AD378" s="2"/>
      <c r="AE378" s="2"/>
      <c r="AF378" s="2"/>
      <c r="AG378" s="2"/>
    </row>
    <row r="379" spans="1:34" ht="15.75" x14ac:dyDescent="0.3">
      <c r="A379" s="2"/>
      <c r="B379" s="2"/>
      <c r="C379" s="2"/>
      <c r="D379" s="2"/>
      <c r="E379" s="2"/>
      <c r="F379" s="2"/>
      <c r="G379" s="21" t="s">
        <v>1460</v>
      </c>
      <c r="H379" s="13" t="s">
        <v>332</v>
      </c>
      <c r="I379" s="288">
        <f>'8. Pile Design'!H187</f>
        <v>0.219</v>
      </c>
      <c r="J379" s="288"/>
      <c r="K379" s="288"/>
      <c r="L379" s="2" t="s">
        <v>340</v>
      </c>
      <c r="M379" s="2"/>
      <c r="N379" s="2"/>
      <c r="P379" s="2" t="s">
        <v>641</v>
      </c>
      <c r="Q379" s="2"/>
      <c r="R379" s="2"/>
      <c r="S379" s="2"/>
      <c r="T379" s="2"/>
      <c r="U379" s="2"/>
      <c r="V379" s="2"/>
      <c r="W379" s="2"/>
      <c r="X379" s="2"/>
      <c r="Y379" s="2"/>
      <c r="Z379" s="2"/>
      <c r="AA379" s="2"/>
      <c r="AB379" s="2"/>
      <c r="AC379" s="2"/>
      <c r="AD379" s="2"/>
      <c r="AE379" s="2"/>
      <c r="AF379" s="2"/>
      <c r="AG379" s="2"/>
    </row>
    <row r="380" spans="1:34" ht="15.75" x14ac:dyDescent="0.3">
      <c r="A380" s="2"/>
      <c r="B380" s="2"/>
      <c r="C380" s="2"/>
      <c r="D380" s="2"/>
      <c r="E380" s="2"/>
      <c r="F380" s="2"/>
      <c r="G380" s="21" t="s">
        <v>1485</v>
      </c>
      <c r="H380" s="13" t="s">
        <v>332</v>
      </c>
      <c r="I380" s="284">
        <f>8.2/1000</f>
        <v>8.199999999999999E-3</v>
      </c>
      <c r="J380" s="284"/>
      <c r="K380" s="284"/>
      <c r="L380" s="2" t="s">
        <v>340</v>
      </c>
      <c r="M380" s="2"/>
      <c r="N380" s="2"/>
      <c r="P380" s="2" t="s">
        <v>1487</v>
      </c>
      <c r="Q380" s="2"/>
      <c r="R380" s="2"/>
      <c r="S380" s="2"/>
      <c r="T380" s="2"/>
      <c r="U380" s="2"/>
      <c r="V380" s="2"/>
      <c r="W380" s="2"/>
      <c r="X380" s="2"/>
      <c r="Y380" s="2"/>
      <c r="Z380" s="2"/>
      <c r="AA380" s="2"/>
      <c r="AB380" s="2"/>
      <c r="AC380" s="2"/>
      <c r="AD380" s="2"/>
      <c r="AE380" s="2"/>
      <c r="AF380" s="2"/>
      <c r="AG380" s="2"/>
    </row>
    <row r="381" spans="1:34" ht="15.75" x14ac:dyDescent="0.3">
      <c r="A381" s="2"/>
      <c r="B381" s="2"/>
      <c r="C381" s="2"/>
      <c r="D381" s="2"/>
      <c r="E381" s="2"/>
      <c r="F381" s="2"/>
      <c r="G381" s="21" t="s">
        <v>1484</v>
      </c>
      <c r="H381" s="13" t="s">
        <v>332</v>
      </c>
      <c r="I381" s="289">
        <f>PI()/4*(I379^2-(I379-2*I380)^2)</f>
        <v>5.4304313972891689E-3</v>
      </c>
      <c r="J381" s="289"/>
      <c r="K381" s="289"/>
      <c r="L381" s="2" t="s">
        <v>1486</v>
      </c>
      <c r="M381" s="2"/>
      <c r="N381" s="2"/>
      <c r="P381" s="2" t="s">
        <v>1488</v>
      </c>
      <c r="Q381" s="2"/>
      <c r="R381" s="2"/>
      <c r="S381" s="2"/>
      <c r="T381" s="2"/>
      <c r="U381" s="2"/>
      <c r="V381" s="2"/>
      <c r="W381" s="2"/>
      <c r="X381" s="2"/>
      <c r="Y381" s="2"/>
      <c r="Z381" s="2"/>
      <c r="AA381" s="2"/>
      <c r="AB381" s="2"/>
      <c r="AC381" s="2"/>
      <c r="AD381" s="2"/>
      <c r="AE381" s="2"/>
      <c r="AF381" s="2"/>
      <c r="AG381" s="2"/>
    </row>
    <row r="382" spans="1:34" x14ac:dyDescent="0.2">
      <c r="A382" s="2"/>
      <c r="B382" s="2"/>
      <c r="C382" s="2"/>
      <c r="D382" s="2"/>
      <c r="E382" s="2"/>
      <c r="F382" s="2"/>
      <c r="G382" s="21" t="s">
        <v>172</v>
      </c>
      <c r="H382" s="13" t="s">
        <v>332</v>
      </c>
      <c r="I382" s="231">
        <f>'8. Pile Design'!H188</f>
        <v>12</v>
      </c>
      <c r="J382" s="231"/>
      <c r="K382" s="231"/>
      <c r="L382" s="2" t="s">
        <v>340</v>
      </c>
      <c r="M382" s="2"/>
      <c r="N382" s="2"/>
      <c r="O382" s="2"/>
      <c r="P382" s="2" t="s">
        <v>1515</v>
      </c>
      <c r="Q382" s="2"/>
      <c r="R382" s="2"/>
      <c r="S382" s="2"/>
      <c r="T382" s="2"/>
      <c r="U382" s="2"/>
      <c r="V382" s="2"/>
      <c r="W382" s="2"/>
      <c r="X382" s="2"/>
      <c r="Y382" s="2"/>
      <c r="Z382" s="2"/>
      <c r="AA382" s="2"/>
      <c r="AB382" s="2"/>
      <c r="AC382" s="2"/>
      <c r="AD382" s="2"/>
      <c r="AE382" s="2"/>
      <c r="AF382" s="2"/>
      <c r="AG382" s="2"/>
      <c r="AH382" s="89"/>
    </row>
    <row r="383" spans="1:34"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row>
    <row r="384" spans="1:34" x14ac:dyDescent="0.2">
      <c r="A384" s="2"/>
      <c r="B384" s="2"/>
      <c r="C384" s="2"/>
      <c r="D384" s="2"/>
      <c r="E384" s="2"/>
      <c r="F384" s="2"/>
      <c r="G384" s="21" t="s">
        <v>558</v>
      </c>
      <c r="H384" s="2" t="s">
        <v>332</v>
      </c>
      <c r="I384" s="285">
        <f>I378*1000*I381/I382</f>
        <v>90507.189954819492</v>
      </c>
      <c r="J384" s="285"/>
      <c r="K384" s="285"/>
      <c r="L384" s="2" t="s">
        <v>551</v>
      </c>
      <c r="M384" s="2"/>
      <c r="N384" s="2"/>
      <c r="O384" s="2"/>
      <c r="P384" s="2" t="s">
        <v>1516</v>
      </c>
      <c r="Q384" s="2"/>
      <c r="R384" s="2"/>
      <c r="S384" s="2"/>
      <c r="T384" s="2"/>
      <c r="U384" s="2"/>
      <c r="V384" s="2"/>
      <c r="W384" s="2"/>
      <c r="X384" s="2"/>
      <c r="Y384" s="2"/>
      <c r="Z384" s="2"/>
      <c r="AA384" s="2"/>
      <c r="AB384" s="2"/>
      <c r="AC384" s="2"/>
      <c r="AD384" s="2"/>
      <c r="AE384" s="2"/>
      <c r="AF384" s="2"/>
      <c r="AG384" s="2"/>
    </row>
    <row r="385" spans="1:33"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row>
    <row r="386" spans="1:33" ht="15.75" x14ac:dyDescent="0.3">
      <c r="A386" s="2"/>
      <c r="B386" s="2"/>
      <c r="C386" s="2"/>
      <c r="D386" s="2"/>
      <c r="E386" s="2"/>
      <c r="F386" s="2"/>
      <c r="G386" s="21" t="s">
        <v>1473</v>
      </c>
      <c r="H386" s="13" t="s">
        <v>332</v>
      </c>
      <c r="I386" s="283">
        <f>I384*4</f>
        <v>362028.75981927797</v>
      </c>
      <c r="J386" s="284"/>
      <c r="K386" s="284"/>
      <c r="L386" s="2" t="s">
        <v>551</v>
      </c>
      <c r="M386" s="2"/>
      <c r="N386" s="2"/>
      <c r="O386" s="2"/>
      <c r="P386" s="232" t="s">
        <v>1476</v>
      </c>
      <c r="Q386" s="232"/>
      <c r="R386" s="232"/>
      <c r="S386" s="232"/>
      <c r="T386" s="232"/>
      <c r="U386" s="232"/>
      <c r="V386" s="232"/>
      <c r="W386" s="232"/>
      <c r="X386" s="232"/>
      <c r="Y386" s="232"/>
      <c r="Z386" s="232"/>
      <c r="AA386" s="232"/>
      <c r="AB386" s="232"/>
      <c r="AC386" s="232"/>
      <c r="AD386" s="232"/>
      <c r="AE386" s="232"/>
      <c r="AF386" s="232"/>
      <c r="AG386" s="232"/>
    </row>
    <row r="387" spans="1:33" x14ac:dyDescent="0.2">
      <c r="A387" s="2"/>
      <c r="B387" s="2"/>
      <c r="C387" s="2"/>
      <c r="D387" s="2"/>
      <c r="E387" s="2"/>
      <c r="F387" s="2"/>
      <c r="G387" s="21"/>
      <c r="H387" s="13"/>
      <c r="I387" s="78"/>
      <c r="J387" s="13"/>
      <c r="K387" s="13"/>
      <c r="L387" s="2"/>
      <c r="M387" s="2"/>
      <c r="N387" s="2"/>
      <c r="O387" s="2"/>
      <c r="P387" s="232"/>
      <c r="Q387" s="232"/>
      <c r="R387" s="232"/>
      <c r="S387" s="232"/>
      <c r="T387" s="232"/>
      <c r="U387" s="232"/>
      <c r="V387" s="232"/>
      <c r="W387" s="232"/>
      <c r="X387" s="232"/>
      <c r="Y387" s="232"/>
      <c r="Z387" s="232"/>
      <c r="AA387" s="232"/>
      <c r="AB387" s="232"/>
      <c r="AC387" s="232"/>
      <c r="AD387" s="232"/>
      <c r="AE387" s="232"/>
      <c r="AF387" s="232"/>
      <c r="AG387" s="232"/>
    </row>
    <row r="388" spans="1:33" x14ac:dyDescent="0.2">
      <c r="A388" s="2"/>
      <c r="B388" s="2"/>
      <c r="C388" s="2"/>
      <c r="D388" s="2"/>
      <c r="E388" s="2"/>
      <c r="F388" s="2"/>
      <c r="G388" s="21" t="s">
        <v>1465</v>
      </c>
      <c r="H388" s="13" t="s">
        <v>332</v>
      </c>
      <c r="I388" s="285">
        <f>1/(2*PI())*SQRT(I386/I303)</f>
        <v>7.2481102407596536</v>
      </c>
      <c r="J388" s="285"/>
      <c r="K388" s="285"/>
      <c r="L388" s="2" t="s">
        <v>1470</v>
      </c>
      <c r="M388" s="2"/>
      <c r="N388" s="2"/>
      <c r="O388" s="2"/>
      <c r="P388" s="2"/>
      <c r="Q388" s="2"/>
      <c r="R388" s="2"/>
      <c r="S388" s="2"/>
      <c r="T388" s="2"/>
      <c r="U388" s="2"/>
      <c r="V388" s="2"/>
      <c r="W388" s="2"/>
      <c r="X388" s="2"/>
      <c r="Y388" s="2"/>
      <c r="Z388" s="2"/>
      <c r="AA388" s="2"/>
      <c r="AB388" s="2"/>
      <c r="AC388" s="2"/>
      <c r="AD388" s="2"/>
      <c r="AE388" s="2"/>
      <c r="AF388" s="2"/>
      <c r="AG388" s="2"/>
    </row>
    <row r="389" spans="1:33" ht="15.75" x14ac:dyDescent="0.3">
      <c r="A389" s="2"/>
      <c r="B389" s="2"/>
      <c r="C389" s="2"/>
      <c r="D389" s="2"/>
      <c r="E389" s="2"/>
      <c r="F389" s="2"/>
      <c r="G389" s="2"/>
      <c r="H389" s="13" t="s">
        <v>332</v>
      </c>
      <c r="I389" s="283">
        <f>I388*60</f>
        <v>434.8866144455792</v>
      </c>
      <c r="J389" s="284"/>
      <c r="K389" s="284"/>
      <c r="L389" s="2" t="s">
        <v>336</v>
      </c>
      <c r="M389" s="2"/>
      <c r="N389" s="2" t="s">
        <v>1475</v>
      </c>
      <c r="O389" s="2"/>
      <c r="P389" s="2"/>
      <c r="Q389" s="2"/>
      <c r="R389" s="2"/>
      <c r="S389" s="2"/>
      <c r="T389" s="2"/>
      <c r="U389" s="2"/>
      <c r="V389" s="2"/>
      <c r="W389" s="2"/>
      <c r="X389" s="2"/>
      <c r="Y389" s="2"/>
      <c r="Z389" s="2"/>
      <c r="AA389" s="2"/>
      <c r="AB389" s="2"/>
      <c r="AC389" s="2"/>
      <c r="AD389" s="2"/>
      <c r="AE389" s="2"/>
      <c r="AF389" s="2"/>
      <c r="AG389" s="2"/>
    </row>
    <row r="390" spans="1:33"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row>
    <row r="391" spans="1:33" x14ac:dyDescent="0.2">
      <c r="A391" s="2"/>
      <c r="B391" s="2"/>
      <c r="C391" s="2"/>
      <c r="D391" s="2"/>
      <c r="E391" s="2" t="s">
        <v>1474</v>
      </c>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row>
    <row r="392" spans="1:33"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row>
    <row r="393" spans="1:33"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row>
    <row r="394" spans="1:33"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row>
    <row r="395" spans="1:33"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row>
    <row r="396" spans="1:33"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row>
    <row r="397" spans="1:33"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row>
    <row r="398" spans="1:33"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row>
    <row r="399" spans="1:33"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row>
    <row r="400" spans="1:33"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row>
    <row r="401" spans="1:33"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row>
    <row r="402" spans="1:33" x14ac:dyDescent="0.2">
      <c r="A402" s="2"/>
      <c r="B402" s="2"/>
      <c r="C402" s="18" t="s">
        <v>1155</v>
      </c>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row>
    <row r="403" spans="1:33"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row>
    <row r="404" spans="1:33" x14ac:dyDescent="0.2">
      <c r="A404" s="2"/>
      <c r="B404" s="2"/>
      <c r="C404" s="2"/>
      <c r="D404" s="16" t="s">
        <v>1177</v>
      </c>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row>
    <row r="405" spans="1:33" x14ac:dyDescent="0.2">
      <c r="A405" s="2"/>
      <c r="B405" s="2"/>
      <c r="C405" s="2"/>
      <c r="D405" s="2" t="s">
        <v>1180</v>
      </c>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row>
    <row r="406" spans="1:33"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row>
    <row r="407" spans="1:33"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row>
    <row r="408" spans="1:33"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row>
    <row r="409" spans="1:33"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row>
    <row r="410" spans="1:33" x14ac:dyDescent="0.2">
      <c r="A410" s="2"/>
      <c r="B410" s="2"/>
      <c r="C410" s="2"/>
      <c r="D410" s="2"/>
      <c r="E410" s="2"/>
      <c r="F410" s="21" t="s">
        <v>172</v>
      </c>
      <c r="G410" s="13" t="s">
        <v>332</v>
      </c>
      <c r="H410" s="285">
        <f>(2902-25)/1000</f>
        <v>2.8769999999999998</v>
      </c>
      <c r="I410" s="285"/>
      <c r="J410" s="285"/>
      <c r="K410" s="2" t="s">
        <v>340</v>
      </c>
      <c r="L410" s="2"/>
      <c r="M410" s="2"/>
      <c r="N410" s="2" t="s">
        <v>1181</v>
      </c>
      <c r="O410" s="2"/>
      <c r="P410" s="2"/>
      <c r="Q410" s="2"/>
      <c r="R410" s="2"/>
      <c r="S410" s="2"/>
      <c r="T410" s="2"/>
      <c r="U410" s="2"/>
      <c r="V410" s="2"/>
      <c r="W410" s="2"/>
      <c r="X410" s="2"/>
      <c r="Y410" s="2"/>
      <c r="Z410" s="2"/>
      <c r="AA410" s="2"/>
      <c r="AB410" s="2"/>
      <c r="AC410" s="2"/>
      <c r="AD410" s="2"/>
      <c r="AE410" s="2"/>
      <c r="AF410" s="2"/>
      <c r="AG410" s="2"/>
    </row>
    <row r="411" spans="1:33" ht="15.75" x14ac:dyDescent="0.3">
      <c r="A411" s="2"/>
      <c r="B411" s="2"/>
      <c r="C411" s="2"/>
      <c r="D411" s="2"/>
      <c r="E411" s="2"/>
      <c r="F411" s="21" t="s">
        <v>1183</v>
      </c>
      <c r="G411" s="13" t="s">
        <v>332</v>
      </c>
      <c r="H411" s="285">
        <f>H410+2*0.05</f>
        <v>2.9769999999999999</v>
      </c>
      <c r="I411" s="285"/>
      <c r="J411" s="285"/>
      <c r="K411" s="2" t="s">
        <v>340</v>
      </c>
      <c r="L411" s="2"/>
      <c r="M411" s="2"/>
      <c r="N411" s="2" t="s">
        <v>1182</v>
      </c>
      <c r="O411" s="2"/>
      <c r="P411" s="2"/>
      <c r="Q411" s="2"/>
      <c r="R411" s="2"/>
      <c r="S411" s="2"/>
      <c r="T411" s="2"/>
      <c r="U411" s="2"/>
      <c r="V411" s="2"/>
      <c r="W411" s="2"/>
      <c r="X411" s="2"/>
      <c r="Y411" s="2"/>
      <c r="Z411" s="2"/>
      <c r="AA411" s="2"/>
      <c r="AB411" s="2"/>
      <c r="AC411" s="2"/>
      <c r="AD411" s="2"/>
      <c r="AE411" s="2"/>
      <c r="AF411" s="2"/>
      <c r="AG411" s="2"/>
    </row>
    <row r="412" spans="1:33" ht="15.75" x14ac:dyDescent="0.3">
      <c r="A412" s="2"/>
      <c r="B412" s="2"/>
      <c r="C412" s="2"/>
      <c r="D412" s="2"/>
      <c r="E412" s="2"/>
      <c r="F412" s="21" t="s">
        <v>1092</v>
      </c>
      <c r="G412" s="13" t="s">
        <v>332</v>
      </c>
      <c r="H412" s="285">
        <f>H115</f>
        <v>3</v>
      </c>
      <c r="I412" s="285"/>
      <c r="J412" s="285"/>
      <c r="K412" s="2" t="s">
        <v>340</v>
      </c>
      <c r="L412" s="2" t="s">
        <v>1184</v>
      </c>
      <c r="M412" s="2"/>
      <c r="N412" s="2"/>
      <c r="O412" s="2"/>
      <c r="P412" s="2"/>
      <c r="Q412" s="2"/>
      <c r="R412" s="2"/>
      <c r="S412" s="2"/>
      <c r="T412" s="2"/>
      <c r="U412" s="2"/>
      <c r="V412" s="2"/>
      <c r="W412" s="2"/>
      <c r="X412" s="2"/>
      <c r="Y412" s="2"/>
      <c r="Z412" s="2"/>
      <c r="AA412" s="2"/>
      <c r="AB412" s="2"/>
      <c r="AC412" s="2"/>
      <c r="AD412" s="2"/>
      <c r="AE412" s="2"/>
      <c r="AF412" s="2"/>
      <c r="AG412" s="2"/>
    </row>
    <row r="413" spans="1:33"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row>
    <row r="414" spans="1:33"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row>
    <row r="415" spans="1:33" x14ac:dyDescent="0.2">
      <c r="A415" s="2"/>
      <c r="B415" s="2"/>
      <c r="C415" s="2"/>
      <c r="D415" s="2"/>
      <c r="E415" s="2"/>
      <c r="F415" s="21" t="s">
        <v>1185</v>
      </c>
      <c r="G415" s="13" t="s">
        <v>332</v>
      </c>
      <c r="H415" s="285">
        <f>1524/1000</f>
        <v>1.524</v>
      </c>
      <c r="I415" s="285"/>
      <c r="J415" s="285"/>
      <c r="K415" s="2" t="s">
        <v>340</v>
      </c>
      <c r="L415" s="2"/>
      <c r="M415" s="2"/>
      <c r="N415" s="2" t="s">
        <v>1186</v>
      </c>
      <c r="O415" s="2"/>
      <c r="P415" s="2"/>
      <c r="Q415" s="2"/>
      <c r="R415" s="2"/>
      <c r="S415" s="2"/>
      <c r="T415" s="2"/>
      <c r="U415" s="2"/>
      <c r="V415" s="2"/>
      <c r="W415" s="2"/>
      <c r="X415" s="2"/>
      <c r="Y415" s="2"/>
      <c r="Z415" s="2"/>
      <c r="AA415" s="2"/>
      <c r="AB415" s="2"/>
      <c r="AC415" s="2"/>
      <c r="AD415" s="2"/>
      <c r="AE415" s="2"/>
      <c r="AF415" s="2"/>
      <c r="AG415" s="2"/>
    </row>
    <row r="416" spans="1:33" ht="15.75" x14ac:dyDescent="0.3">
      <c r="A416" s="2"/>
      <c r="B416" s="2"/>
      <c r="C416" s="2"/>
      <c r="D416" s="2"/>
      <c r="E416" s="2"/>
      <c r="F416" s="21" t="s">
        <v>1173</v>
      </c>
      <c r="G416" s="13" t="s">
        <v>332</v>
      </c>
      <c r="H416" s="285">
        <f>H415+2*0.05</f>
        <v>1.6240000000000001</v>
      </c>
      <c r="I416" s="285"/>
      <c r="J416" s="285"/>
      <c r="K416" s="2" t="s">
        <v>340</v>
      </c>
      <c r="L416" s="2"/>
      <c r="M416" s="2"/>
      <c r="N416" s="2" t="s">
        <v>1187</v>
      </c>
      <c r="O416" s="2"/>
      <c r="P416" s="2"/>
      <c r="Q416" s="2"/>
      <c r="R416" s="2"/>
      <c r="S416" s="2"/>
      <c r="T416" s="2"/>
      <c r="U416" s="2"/>
      <c r="V416" s="2"/>
      <c r="W416" s="2"/>
      <c r="X416" s="2"/>
      <c r="Y416" s="2"/>
      <c r="Z416" s="2"/>
      <c r="AA416" s="2"/>
      <c r="AB416" s="2"/>
      <c r="AC416" s="2"/>
      <c r="AD416" s="2"/>
      <c r="AE416" s="2"/>
      <c r="AF416" s="2"/>
      <c r="AG416" s="2"/>
    </row>
    <row r="417" spans="1:33" ht="15.75" x14ac:dyDescent="0.3">
      <c r="A417" s="2"/>
      <c r="B417" s="2"/>
      <c r="C417" s="2"/>
      <c r="D417" s="2"/>
      <c r="E417" s="2"/>
      <c r="F417" s="21" t="s">
        <v>1093</v>
      </c>
      <c r="G417" s="13" t="s">
        <v>332</v>
      </c>
      <c r="H417" s="285">
        <f>H116</f>
        <v>1.8</v>
      </c>
      <c r="I417" s="285"/>
      <c r="J417" s="285"/>
      <c r="K417" s="2" t="s">
        <v>340</v>
      </c>
      <c r="L417" s="2" t="s">
        <v>1175</v>
      </c>
      <c r="M417" s="2"/>
      <c r="N417" s="2"/>
      <c r="O417" s="2"/>
      <c r="P417" s="2"/>
      <c r="Q417" s="2"/>
      <c r="R417" s="2"/>
      <c r="S417" s="2"/>
      <c r="T417" s="2"/>
      <c r="U417" s="2"/>
      <c r="V417" s="2"/>
      <c r="W417" s="2"/>
      <c r="X417" s="2"/>
      <c r="Y417" s="2"/>
      <c r="Z417" s="2"/>
      <c r="AA417" s="2"/>
      <c r="AB417" s="2"/>
      <c r="AC417" s="2"/>
      <c r="AD417" s="2"/>
      <c r="AE417" s="2"/>
      <c r="AF417" s="2"/>
      <c r="AG417" s="2"/>
    </row>
    <row r="418" spans="1:33"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row>
    <row r="419" spans="1:33"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row>
    <row r="420" spans="1:33"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row>
    <row r="421" spans="1:33"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row>
    <row r="422" spans="1:33"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row>
    <row r="423" spans="1:33"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row>
    <row r="424" spans="1:33"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row>
    <row r="425" spans="1:33"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row>
    <row r="426" spans="1:33"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row>
    <row r="427" spans="1:33" x14ac:dyDescent="0.2">
      <c r="A427" s="2"/>
      <c r="B427" s="2"/>
      <c r="C427" s="2"/>
      <c r="D427" s="16" t="s">
        <v>1179</v>
      </c>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row>
    <row r="428" spans="1:33" x14ac:dyDescent="0.2">
      <c r="A428" s="2"/>
      <c r="B428" s="2"/>
      <c r="C428" s="2"/>
      <c r="D428" s="2" t="s">
        <v>1178</v>
      </c>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row>
    <row r="429" spans="1:33"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row>
    <row r="430" spans="1:33"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row>
    <row r="431" spans="1:33"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row>
    <row r="432" spans="1:33"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row>
    <row r="433" spans="1:33"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row>
    <row r="434" spans="1:33"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row>
    <row r="435" spans="1:33"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row>
    <row r="436" spans="1:33"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row>
    <row r="437" spans="1:33" ht="15.75" x14ac:dyDescent="0.3">
      <c r="A437" s="2"/>
      <c r="B437" s="2"/>
      <c r="C437" s="2"/>
      <c r="D437" s="2"/>
      <c r="E437" s="2"/>
      <c r="F437" s="21" t="s">
        <v>1168</v>
      </c>
      <c r="G437" s="13" t="s">
        <v>332</v>
      </c>
      <c r="H437" s="285">
        <f>H117</f>
        <v>0.9</v>
      </c>
      <c r="I437" s="284"/>
      <c r="J437" s="284"/>
      <c r="K437" s="2" t="s">
        <v>340</v>
      </c>
      <c r="L437" s="2"/>
      <c r="M437" s="2"/>
      <c r="N437" s="2" t="s">
        <v>1170</v>
      </c>
      <c r="O437" s="2"/>
      <c r="P437" s="2"/>
      <c r="Q437" s="2"/>
      <c r="R437" s="2"/>
      <c r="S437" s="2"/>
      <c r="T437" s="2"/>
      <c r="U437" s="2"/>
      <c r="V437" s="2"/>
      <c r="W437" s="2"/>
      <c r="X437" s="2"/>
      <c r="Y437" s="2"/>
      <c r="Z437" s="2"/>
      <c r="AA437" s="2"/>
      <c r="AB437" s="2"/>
      <c r="AC437" s="2"/>
      <c r="AD437" s="2"/>
      <c r="AE437" s="2"/>
      <c r="AF437" s="2"/>
      <c r="AG437" s="2"/>
    </row>
    <row r="438" spans="1:33" ht="15.75" x14ac:dyDescent="0.3">
      <c r="A438" s="2"/>
      <c r="B438" s="2"/>
      <c r="C438" s="2"/>
      <c r="D438" s="2"/>
      <c r="E438" s="2"/>
      <c r="F438" s="21" t="s">
        <v>1095</v>
      </c>
      <c r="G438" s="13" t="s">
        <v>332</v>
      </c>
      <c r="H438" s="285">
        <f>H118</f>
        <v>0.04</v>
      </c>
      <c r="I438" s="284"/>
      <c r="J438" s="284"/>
      <c r="K438" s="2" t="s">
        <v>340</v>
      </c>
      <c r="L438" s="2"/>
      <c r="M438" s="2"/>
      <c r="N438" s="2" t="s">
        <v>1171</v>
      </c>
      <c r="O438" s="2"/>
      <c r="P438" s="2"/>
      <c r="Q438" s="2"/>
      <c r="R438" s="2"/>
      <c r="S438" s="2"/>
      <c r="T438" s="2"/>
      <c r="U438" s="2"/>
      <c r="V438" s="2"/>
      <c r="W438" s="2"/>
      <c r="X438" s="2"/>
      <c r="Y438" s="2"/>
      <c r="Z438" s="2"/>
      <c r="AA438" s="2"/>
      <c r="AB438" s="2"/>
      <c r="AC438" s="2"/>
      <c r="AD438" s="2"/>
      <c r="AE438" s="2"/>
      <c r="AF438" s="2"/>
      <c r="AG438" s="2"/>
    </row>
    <row r="439" spans="1:33" ht="15.75" x14ac:dyDescent="0.3">
      <c r="A439" s="2"/>
      <c r="B439" s="2"/>
      <c r="C439" s="2"/>
      <c r="D439" s="2"/>
      <c r="E439" s="2"/>
      <c r="F439" s="21" t="s">
        <v>1169</v>
      </c>
      <c r="G439" s="13" t="s">
        <v>332</v>
      </c>
      <c r="H439" s="284">
        <f>762/1000</f>
        <v>0.76200000000000001</v>
      </c>
      <c r="I439" s="284"/>
      <c r="J439" s="284"/>
      <c r="K439" s="2" t="s">
        <v>340</v>
      </c>
      <c r="L439" s="2"/>
      <c r="M439" s="2"/>
      <c r="N439" s="2" t="s">
        <v>1172</v>
      </c>
      <c r="O439" s="2"/>
      <c r="P439" s="2"/>
      <c r="Q439" s="2"/>
      <c r="R439" s="2"/>
      <c r="S439" s="2"/>
      <c r="T439" s="2"/>
      <c r="U439" s="2"/>
      <c r="V439" s="2"/>
      <c r="W439" s="2"/>
      <c r="X439" s="2"/>
      <c r="Y439" s="2"/>
      <c r="Z439" s="2"/>
      <c r="AA439" s="2"/>
      <c r="AB439" s="2"/>
      <c r="AC439" s="2"/>
      <c r="AD439" s="2"/>
      <c r="AE439" s="2"/>
      <c r="AF439" s="2"/>
      <c r="AG439" s="2"/>
    </row>
    <row r="440" spans="1:33"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row>
    <row r="441" spans="1:33" ht="15.75" x14ac:dyDescent="0.3">
      <c r="A441" s="2"/>
      <c r="B441" s="2"/>
      <c r="C441" s="2"/>
      <c r="D441" s="2"/>
      <c r="E441" s="2"/>
      <c r="F441" s="21" t="s">
        <v>1173</v>
      </c>
      <c r="G441" s="13" t="s">
        <v>332</v>
      </c>
      <c r="H441" s="285">
        <f>3/4*(H437+H438+H439)</f>
        <v>1.2765</v>
      </c>
      <c r="I441" s="285"/>
      <c r="J441" s="285"/>
      <c r="K441" s="2" t="s">
        <v>340</v>
      </c>
      <c r="L441" s="2"/>
      <c r="M441" s="2"/>
      <c r="N441" s="2" t="s">
        <v>1174</v>
      </c>
      <c r="O441" s="2"/>
      <c r="P441" s="2"/>
      <c r="Q441" s="2"/>
      <c r="R441" s="2"/>
      <c r="S441" s="2"/>
      <c r="T441" s="2"/>
      <c r="U441" s="2"/>
      <c r="V441" s="2"/>
      <c r="W441" s="2"/>
      <c r="X441" s="2"/>
      <c r="Y441" s="2"/>
      <c r="Z441" s="2"/>
      <c r="AA441" s="2"/>
      <c r="AB441" s="2"/>
      <c r="AC441" s="2"/>
      <c r="AD441" s="2"/>
      <c r="AE441" s="2"/>
      <c r="AF441" s="2"/>
      <c r="AG441" s="2"/>
    </row>
    <row r="442" spans="1:33" ht="15.75" x14ac:dyDescent="0.3">
      <c r="A442" s="2"/>
      <c r="B442" s="2"/>
      <c r="C442" s="2"/>
      <c r="D442" s="2"/>
      <c r="E442" s="2"/>
      <c r="F442" s="21" t="s">
        <v>1093</v>
      </c>
      <c r="G442" s="13" t="s">
        <v>332</v>
      </c>
      <c r="H442" s="285">
        <f>H116</f>
        <v>1.8</v>
      </c>
      <c r="I442" s="285"/>
      <c r="J442" s="285"/>
      <c r="K442" s="2" t="s">
        <v>340</v>
      </c>
      <c r="L442" s="2" t="s">
        <v>1175</v>
      </c>
      <c r="M442" s="2"/>
      <c r="N442" s="2"/>
      <c r="O442" s="2"/>
      <c r="P442" s="2"/>
      <c r="Q442" s="2"/>
      <c r="R442" s="2"/>
      <c r="S442" s="2"/>
      <c r="T442" s="2"/>
      <c r="U442" s="2"/>
      <c r="V442" s="2"/>
      <c r="W442" s="2"/>
      <c r="X442" s="2"/>
      <c r="Y442" s="2"/>
      <c r="Z442" s="2"/>
      <c r="AA442" s="2"/>
      <c r="AB442" s="2"/>
      <c r="AC442" s="2"/>
      <c r="AD442" s="2"/>
      <c r="AE442" s="2"/>
      <c r="AF442" s="2"/>
      <c r="AG442" s="2"/>
    </row>
    <row r="443" spans="1:33"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row>
    <row r="444" spans="1:33" x14ac:dyDescent="0.2">
      <c r="A444" s="2"/>
      <c r="B444" s="2"/>
      <c r="C444" s="2"/>
      <c r="D444" s="2" t="s">
        <v>1176</v>
      </c>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row>
    <row r="445" spans="1:33"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row>
    <row r="446" spans="1:33"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row>
    <row r="447" spans="1:33"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row>
    <row r="448" spans="1:33" x14ac:dyDescent="0.2">
      <c r="A448" s="2"/>
      <c r="B448" s="2"/>
      <c r="C448" s="2"/>
      <c r="D448" s="16" t="s">
        <v>1156</v>
      </c>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row>
    <row r="449" spans="1:33" ht="15.75" x14ac:dyDescent="0.2">
      <c r="A449" s="2"/>
      <c r="B449" s="2"/>
      <c r="C449" s="2"/>
      <c r="D449" s="3" t="s">
        <v>1408</v>
      </c>
      <c r="E449" s="3"/>
      <c r="F449" s="3"/>
      <c r="G449" s="3"/>
      <c r="H449" s="3"/>
      <c r="I449" s="3"/>
      <c r="J449" s="3"/>
      <c r="K449" s="3"/>
      <c r="L449" s="3"/>
      <c r="M449" s="3"/>
      <c r="N449" s="3"/>
      <c r="O449" s="3"/>
      <c r="P449" s="3"/>
      <c r="Q449" s="3"/>
      <c r="R449" s="3"/>
      <c r="S449" s="3"/>
      <c r="T449" s="3"/>
      <c r="U449" s="3"/>
      <c r="V449" s="3"/>
      <c r="W449" s="3"/>
      <c r="X449" s="3"/>
      <c r="Y449" s="3"/>
      <c r="Z449" s="3"/>
      <c r="AA449" s="2"/>
      <c r="AB449" s="2"/>
      <c r="AC449" s="2"/>
      <c r="AD449" s="2"/>
      <c r="AE449" s="2"/>
      <c r="AF449" s="2"/>
      <c r="AG449" s="2"/>
    </row>
    <row r="450" spans="1:33" ht="15.75" customHeight="1" x14ac:dyDescent="0.2">
      <c r="A450" s="2"/>
      <c r="B450" s="2"/>
      <c r="C450" s="2"/>
      <c r="D450" s="232" t="s">
        <v>1161</v>
      </c>
      <c r="E450" s="232"/>
      <c r="F450" s="232"/>
      <c r="G450" s="232"/>
      <c r="H450" s="232"/>
      <c r="I450" s="232"/>
      <c r="J450" s="232"/>
      <c r="K450" s="232"/>
      <c r="L450" s="232"/>
      <c r="M450" s="232"/>
      <c r="N450" s="232"/>
      <c r="O450" s="232"/>
      <c r="P450" s="232"/>
      <c r="Q450" s="232"/>
      <c r="R450" s="232"/>
      <c r="S450" s="232"/>
      <c r="T450" s="232"/>
      <c r="U450" s="232"/>
      <c r="V450" s="232"/>
      <c r="W450" s="232"/>
      <c r="X450" s="232"/>
      <c r="Y450" s="232"/>
      <c r="Z450" s="232"/>
      <c r="AA450" s="232"/>
      <c r="AB450" s="232"/>
      <c r="AC450" s="232"/>
      <c r="AD450" s="232"/>
      <c r="AE450" s="232"/>
      <c r="AF450" s="232"/>
      <c r="AG450" s="232"/>
    </row>
    <row r="451" spans="1:33" x14ac:dyDescent="0.2">
      <c r="A451" s="2"/>
      <c r="B451" s="2"/>
      <c r="C451" s="2"/>
      <c r="D451" s="232"/>
      <c r="E451" s="232"/>
      <c r="F451" s="232"/>
      <c r="G451" s="232"/>
      <c r="H451" s="232"/>
      <c r="I451" s="232"/>
      <c r="J451" s="232"/>
      <c r="K451" s="232"/>
      <c r="L451" s="232"/>
      <c r="M451" s="232"/>
      <c r="N451" s="232"/>
      <c r="O451" s="232"/>
      <c r="P451" s="232"/>
      <c r="Q451" s="232"/>
      <c r="R451" s="232"/>
      <c r="S451" s="232"/>
      <c r="T451" s="232"/>
      <c r="U451" s="232"/>
      <c r="V451" s="232"/>
      <c r="W451" s="232"/>
      <c r="X451" s="232"/>
      <c r="Y451" s="232"/>
      <c r="Z451" s="232"/>
      <c r="AA451" s="232"/>
      <c r="AB451" s="232"/>
      <c r="AC451" s="232"/>
      <c r="AD451" s="232"/>
      <c r="AE451" s="232"/>
      <c r="AF451" s="232"/>
      <c r="AG451" s="232"/>
    </row>
    <row r="452" spans="1:33" x14ac:dyDescent="0.2">
      <c r="A452" s="2"/>
      <c r="B452" s="2"/>
      <c r="C452" s="2"/>
      <c r="D452" s="3"/>
      <c r="E452" s="3"/>
      <c r="F452" s="3"/>
      <c r="G452" s="3"/>
      <c r="H452" s="3"/>
      <c r="I452" s="3"/>
      <c r="J452" s="3"/>
      <c r="K452" s="3"/>
      <c r="L452" s="3"/>
      <c r="M452" s="3"/>
      <c r="N452" s="3"/>
      <c r="O452" s="3"/>
      <c r="P452" s="3"/>
      <c r="Q452" s="3"/>
      <c r="R452" s="3"/>
      <c r="S452" s="3"/>
      <c r="T452" s="3"/>
      <c r="U452" s="3"/>
      <c r="V452" s="3"/>
      <c r="W452" s="3"/>
      <c r="X452" s="3"/>
      <c r="Y452" s="3"/>
      <c r="Z452" s="3"/>
      <c r="AA452" s="2"/>
      <c r="AB452" s="2"/>
      <c r="AC452" s="2"/>
      <c r="AD452" s="2"/>
      <c r="AE452" s="2"/>
      <c r="AF452" s="2"/>
      <c r="AG452" s="2"/>
    </row>
    <row r="453" spans="1:33" ht="15.75" x14ac:dyDescent="0.2">
      <c r="A453" s="2"/>
      <c r="B453" s="2"/>
      <c r="C453" s="2"/>
      <c r="D453" s="3"/>
      <c r="E453" s="3"/>
      <c r="F453" s="25" t="s">
        <v>1160</v>
      </c>
      <c r="G453" s="12" t="s">
        <v>332</v>
      </c>
      <c r="H453" s="290">
        <f>J40</f>
        <v>19.049999999999997</v>
      </c>
      <c r="I453" s="290"/>
      <c r="J453" s="290"/>
      <c r="K453" s="3" t="s">
        <v>337</v>
      </c>
      <c r="L453" s="3"/>
      <c r="M453" s="3"/>
      <c r="N453" s="3"/>
      <c r="O453" s="3" t="s">
        <v>942</v>
      </c>
      <c r="P453" s="3"/>
      <c r="Q453" s="3"/>
      <c r="R453" s="3"/>
      <c r="S453" s="3"/>
      <c r="T453" s="3"/>
      <c r="U453" s="3"/>
      <c r="V453" s="3"/>
      <c r="W453" s="3"/>
      <c r="X453" s="3"/>
      <c r="Y453" s="3"/>
      <c r="Z453" s="3"/>
      <c r="AA453" s="2"/>
      <c r="AB453" s="2"/>
      <c r="AC453" s="2"/>
      <c r="AD453" s="2"/>
      <c r="AE453" s="2"/>
      <c r="AF453" s="2"/>
      <c r="AG453" s="2"/>
    </row>
    <row r="454" spans="1:33" ht="15.75" x14ac:dyDescent="0.2">
      <c r="A454" s="2"/>
      <c r="B454" s="2"/>
      <c r="C454" s="2"/>
      <c r="D454" s="3"/>
      <c r="E454" s="3"/>
      <c r="F454" s="25" t="s">
        <v>1157</v>
      </c>
      <c r="G454" s="12" t="s">
        <v>332</v>
      </c>
      <c r="H454" s="290">
        <f>6*H453</f>
        <v>114.29999999999998</v>
      </c>
      <c r="I454" s="290"/>
      <c r="J454" s="290"/>
      <c r="K454" s="3" t="s">
        <v>337</v>
      </c>
      <c r="L454" s="12"/>
      <c r="M454" s="3"/>
      <c r="N454" s="3"/>
      <c r="O454" s="3"/>
      <c r="P454" s="3"/>
      <c r="Q454" s="3"/>
      <c r="R454" s="3"/>
      <c r="S454" s="3"/>
      <c r="T454" s="3"/>
      <c r="U454" s="3"/>
      <c r="V454" s="3"/>
      <c r="W454" s="3"/>
      <c r="X454" s="3"/>
      <c r="Y454" s="3"/>
      <c r="Z454" s="3"/>
      <c r="AA454" s="2"/>
      <c r="AB454" s="2"/>
      <c r="AC454" s="2"/>
      <c r="AD454" s="2"/>
      <c r="AE454" s="2"/>
      <c r="AF454" s="2"/>
      <c r="AG454" s="2"/>
    </row>
    <row r="455" spans="1:33" ht="15.75" x14ac:dyDescent="0.2">
      <c r="A455" s="2"/>
      <c r="B455" s="2"/>
      <c r="C455" s="2"/>
      <c r="D455" s="3"/>
      <c r="E455" s="3"/>
      <c r="F455" s="25" t="s">
        <v>1162</v>
      </c>
      <c r="G455" s="12" t="s">
        <v>332</v>
      </c>
      <c r="H455" s="290">
        <f>2*25.4</f>
        <v>50.8</v>
      </c>
      <c r="I455" s="290"/>
      <c r="J455" s="290"/>
      <c r="K455" s="3" t="s">
        <v>337</v>
      </c>
      <c r="L455" s="3"/>
      <c r="M455" s="3"/>
      <c r="N455" s="3"/>
      <c r="O455" s="3" t="s">
        <v>1409</v>
      </c>
      <c r="P455" s="3"/>
      <c r="Q455" s="3"/>
      <c r="R455" s="3"/>
      <c r="S455" s="3"/>
      <c r="T455" s="3"/>
      <c r="U455" s="3"/>
      <c r="V455" s="3"/>
      <c r="W455" s="3"/>
      <c r="X455" s="3"/>
      <c r="Y455" s="3"/>
      <c r="Z455" s="3"/>
      <c r="AA455" s="2"/>
      <c r="AB455" s="2"/>
      <c r="AC455" s="2"/>
      <c r="AD455" s="2"/>
      <c r="AE455" s="2"/>
      <c r="AF455" s="2"/>
      <c r="AG455" s="2"/>
    </row>
    <row r="456" spans="1:33" ht="15.75" x14ac:dyDescent="0.2">
      <c r="A456" s="2"/>
      <c r="B456" s="2"/>
      <c r="C456" s="2"/>
      <c r="D456" s="3"/>
      <c r="E456" s="3"/>
      <c r="F456" s="25" t="s">
        <v>1164</v>
      </c>
      <c r="G456" s="12" t="s">
        <v>332</v>
      </c>
      <c r="H456" s="290">
        <f>H454+0.5*(H455-J40)</f>
        <v>130.17499999999998</v>
      </c>
      <c r="I456" s="290"/>
      <c r="J456" s="290"/>
      <c r="K456" s="3" t="s">
        <v>337</v>
      </c>
      <c r="L456" s="3"/>
      <c r="M456" s="3"/>
      <c r="N456" s="3"/>
      <c r="O456" s="57" t="s">
        <v>1163</v>
      </c>
      <c r="P456" s="3"/>
      <c r="Q456" s="3"/>
      <c r="R456" s="3"/>
      <c r="S456" s="3"/>
      <c r="T456" s="3"/>
      <c r="U456" s="3"/>
      <c r="V456" s="3"/>
      <c r="W456" s="3"/>
      <c r="X456" s="3"/>
      <c r="Y456" s="3"/>
      <c r="Z456" s="3"/>
      <c r="AA456" s="2"/>
      <c r="AB456" s="2"/>
      <c r="AC456" s="2"/>
      <c r="AD456" s="2"/>
      <c r="AE456" s="2"/>
      <c r="AF456" s="2"/>
      <c r="AG456" s="2"/>
    </row>
    <row r="457" spans="1:33" x14ac:dyDescent="0.2">
      <c r="A457" s="2"/>
      <c r="B457" s="2"/>
      <c r="C457" s="2"/>
      <c r="D457" s="3"/>
      <c r="E457" s="3"/>
      <c r="M457" s="298"/>
      <c r="N457" s="298"/>
      <c r="O457" s="298"/>
      <c r="P457" s="3"/>
      <c r="Q457" s="3"/>
      <c r="R457" s="3"/>
      <c r="S457" s="3"/>
      <c r="T457" s="3"/>
      <c r="U457" s="3"/>
      <c r="V457" s="3"/>
      <c r="W457" s="3"/>
      <c r="X457" s="3"/>
      <c r="Y457" s="3"/>
      <c r="Z457" s="3"/>
      <c r="AA457" s="2"/>
      <c r="AB457" s="2"/>
      <c r="AC457" s="2"/>
      <c r="AD457" s="2"/>
      <c r="AE457" s="2"/>
      <c r="AF457" s="2"/>
      <c r="AG457" s="2"/>
    </row>
    <row r="458" spans="1:33" ht="15.75" x14ac:dyDescent="0.3">
      <c r="A458" s="2"/>
      <c r="B458" s="2"/>
      <c r="C458" s="2"/>
      <c r="D458" s="2"/>
      <c r="E458" s="2"/>
      <c r="F458" s="25" t="s">
        <v>1165</v>
      </c>
      <c r="G458" s="12" t="s">
        <v>332</v>
      </c>
      <c r="H458" s="290">
        <f>(H116-J37)/2*1000</f>
        <v>185.5</v>
      </c>
      <c r="I458" s="290"/>
      <c r="J458" s="290"/>
      <c r="K458" s="3" t="s">
        <v>337</v>
      </c>
      <c r="L458" s="2"/>
      <c r="M458" s="2" t="s">
        <v>1166</v>
      </c>
      <c r="N458" s="2"/>
      <c r="O458" s="2"/>
      <c r="P458" s="2"/>
      <c r="Q458" s="2"/>
      <c r="R458" s="2" t="s">
        <v>1188</v>
      </c>
      <c r="S458" s="2"/>
      <c r="T458" s="2"/>
      <c r="U458" s="2"/>
      <c r="V458" s="2"/>
      <c r="W458" s="2"/>
      <c r="X458" s="2"/>
      <c r="Y458" s="2"/>
      <c r="Z458" s="2"/>
      <c r="AA458" s="2"/>
      <c r="AB458" s="2"/>
      <c r="AC458" s="2"/>
      <c r="AD458" s="2"/>
      <c r="AE458" s="2"/>
      <c r="AF458" s="2"/>
      <c r="AG458" s="2"/>
    </row>
    <row r="459" spans="1:33"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row>
    <row r="460" spans="1:33"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row>
    <row r="461" spans="1:33" x14ac:dyDescent="0.2">
      <c r="A461" s="2"/>
      <c r="B461" s="2"/>
      <c r="C461" s="2"/>
      <c r="D461" s="2" t="s">
        <v>1167</v>
      </c>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row>
    <row r="462" spans="1:33"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row>
    <row r="463" spans="1:33"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row>
    <row r="464" spans="1:33"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row>
    <row r="465" spans="1:33"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row>
    <row r="466" spans="1:33"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row>
    <row r="467" spans="1:33"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row>
    <row r="468" spans="1:33"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row>
    <row r="469" spans="1:33"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row>
    <row r="470" spans="1:33" x14ac:dyDescent="0.2">
      <c r="A470" s="2"/>
      <c r="B470" s="2"/>
      <c r="C470" s="2"/>
      <c r="D470" s="2"/>
      <c r="E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row>
    <row r="471" spans="1:33"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row>
    <row r="472" spans="1:33"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row>
  </sheetData>
  <mergeCells count="134">
    <mergeCell ref="B3:AG4"/>
    <mergeCell ref="J29:L29"/>
    <mergeCell ref="B8:AG9"/>
    <mergeCell ref="J30:L30"/>
    <mergeCell ref="J31:L31"/>
    <mergeCell ref="J26:L26"/>
    <mergeCell ref="J27:L27"/>
    <mergeCell ref="J19:L19"/>
    <mergeCell ref="J17:L17"/>
    <mergeCell ref="J18:L18"/>
    <mergeCell ref="J11:L11"/>
    <mergeCell ref="J12:L12"/>
    <mergeCell ref="J16:L16"/>
    <mergeCell ref="J21:L21"/>
    <mergeCell ref="O16:Q16"/>
    <mergeCell ref="O17:Q17"/>
    <mergeCell ref="O18:Q18"/>
    <mergeCell ref="O19:Q19"/>
    <mergeCell ref="O21:Q21"/>
    <mergeCell ref="O11:Q11"/>
    <mergeCell ref="H458:J458"/>
    <mergeCell ref="H439:J439"/>
    <mergeCell ref="H438:J438"/>
    <mergeCell ref="I224:K224"/>
    <mergeCell ref="I233:K233"/>
    <mergeCell ref="I230:K230"/>
    <mergeCell ref="C216:AG217"/>
    <mergeCell ref="I222:K222"/>
    <mergeCell ref="I223:K223"/>
    <mergeCell ref="I234:K234"/>
    <mergeCell ref="I241:K241"/>
    <mergeCell ref="I242:K242"/>
    <mergeCell ref="I248:K248"/>
    <mergeCell ref="I249:K249"/>
    <mergeCell ref="I250:K250"/>
    <mergeCell ref="I252:K252"/>
    <mergeCell ref="M457:O457"/>
    <mergeCell ref="D450:AG451"/>
    <mergeCell ref="H455:J455"/>
    <mergeCell ref="H456:J456"/>
    <mergeCell ref="H437:J437"/>
    <mergeCell ref="I253:K253"/>
    <mergeCell ref="H453:J453"/>
    <mergeCell ref="I235:K235"/>
    <mergeCell ref="H116:J116"/>
    <mergeCell ref="H117:J117"/>
    <mergeCell ref="H133:K133"/>
    <mergeCell ref="J145:L145"/>
    <mergeCell ref="J150:L150"/>
    <mergeCell ref="H186:J186"/>
    <mergeCell ref="H187:J187"/>
    <mergeCell ref="E189:F189"/>
    <mergeCell ref="H189:J189"/>
    <mergeCell ref="H173:J173"/>
    <mergeCell ref="H174:J174"/>
    <mergeCell ref="H175:J175"/>
    <mergeCell ref="E177:F177"/>
    <mergeCell ref="H177:J177"/>
    <mergeCell ref="E178:F178"/>
    <mergeCell ref="H178:J178"/>
    <mergeCell ref="D181:AG182"/>
    <mergeCell ref="H184:J184"/>
    <mergeCell ref="T138:AG139"/>
    <mergeCell ref="T134:W134"/>
    <mergeCell ref="L133:O133"/>
    <mergeCell ref="H120:J120"/>
    <mergeCell ref="H121:J121"/>
    <mergeCell ref="H122:J122"/>
    <mergeCell ref="J36:L36"/>
    <mergeCell ref="J37:L37"/>
    <mergeCell ref="J38:L38"/>
    <mergeCell ref="J39:L39"/>
    <mergeCell ref="J40:L40"/>
    <mergeCell ref="B110:AG111"/>
    <mergeCell ref="H115:J115"/>
    <mergeCell ref="E190:F190"/>
    <mergeCell ref="H190:J190"/>
    <mergeCell ref="M138:O138"/>
    <mergeCell ref="M139:O139"/>
    <mergeCell ref="H118:J118"/>
    <mergeCell ref="C126:AG127"/>
    <mergeCell ref="D130:AG131"/>
    <mergeCell ref="D135:G135"/>
    <mergeCell ref="H135:K135"/>
    <mergeCell ref="L135:O135"/>
    <mergeCell ref="P135:S135"/>
    <mergeCell ref="T135:W135"/>
    <mergeCell ref="T136:W136"/>
    <mergeCell ref="D134:G134"/>
    <mergeCell ref="H134:K134"/>
    <mergeCell ref="L134:O134"/>
    <mergeCell ref="P134:S134"/>
    <mergeCell ref="H454:J454"/>
    <mergeCell ref="I254:K254"/>
    <mergeCell ref="C268:AG269"/>
    <mergeCell ref="H278:J278"/>
    <mergeCell ref="H279:J279"/>
    <mergeCell ref="H280:J280"/>
    <mergeCell ref="H417:J417"/>
    <mergeCell ref="H410:J410"/>
    <mergeCell ref="H411:J411"/>
    <mergeCell ref="H412:J412"/>
    <mergeCell ref="H415:J415"/>
    <mergeCell ref="H416:J416"/>
    <mergeCell ref="H282:J282"/>
    <mergeCell ref="H283:J283"/>
    <mergeCell ref="H441:J441"/>
    <mergeCell ref="H442:J442"/>
    <mergeCell ref="C286:AG287"/>
    <mergeCell ref="I301:K301"/>
    <mergeCell ref="I302:K302"/>
    <mergeCell ref="I303:K303"/>
    <mergeCell ref="I349:K349"/>
    <mergeCell ref="I353:K353"/>
    <mergeCell ref="I354:K354"/>
    <mergeCell ref="I348:K348"/>
    <mergeCell ref="I351:K351"/>
    <mergeCell ref="P351:AG352"/>
    <mergeCell ref="D322:AG323"/>
    <mergeCell ref="P133:S133"/>
    <mergeCell ref="T133:W133"/>
    <mergeCell ref="I231:K231"/>
    <mergeCell ref="E167:F167"/>
    <mergeCell ref="H167:J167"/>
    <mergeCell ref="I389:K389"/>
    <mergeCell ref="I378:K378"/>
    <mergeCell ref="I379:K379"/>
    <mergeCell ref="I380:K380"/>
    <mergeCell ref="I381:K381"/>
    <mergeCell ref="I382:K382"/>
    <mergeCell ref="I384:K384"/>
    <mergeCell ref="I386:K386"/>
    <mergeCell ref="P386:AG387"/>
    <mergeCell ref="I388:K388"/>
  </mergeCells>
  <pageMargins left="0.7" right="0.7" top="1.25" bottom="0.75" header="0.3" footer="0.3"/>
  <pageSetup scale="87" fitToHeight="0" orientation="portrait" horizontalDpi="1200" verticalDpi="1200" r:id="rId1"/>
  <headerFooter>
    <oddHeader>&amp;L&amp;G
Client: Keyera
Project No: F3KY&amp;C&amp;G&amp;RDesigned By: CW
Checked By: JS
Date: 13-MAY-2026
Revision: 0</oddHeader>
    <oddFooter>&amp;LContractor Document No:  F3KY-215-CAL-047</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577DE-BD70-48E7-9AF5-E1CF1E40994F}">
  <sheetPr codeName="Sheet7">
    <pageSetUpPr fitToPage="1"/>
  </sheetPr>
  <dimension ref="A1:AS457"/>
  <sheetViews>
    <sheetView view="pageBreakPreview" topLeftCell="A111" zoomScale="115" zoomScaleNormal="100" zoomScaleSheetLayoutView="115" zoomScalePageLayoutView="85" workbookViewId="0">
      <selection activeCell="U231" sqref="U231"/>
    </sheetView>
  </sheetViews>
  <sheetFormatPr defaultRowHeight="14.25" x14ac:dyDescent="0.2"/>
  <cols>
    <col min="1" max="33" width="3.140625" style="1" customWidth="1"/>
    <col min="34" max="16384" width="9.140625" style="1"/>
  </cols>
  <sheetData>
    <row r="1" spans="1:45" x14ac:dyDescent="0.2">
      <c r="AI1" s="1" t="s">
        <v>0</v>
      </c>
      <c r="AS1" s="1" t="s">
        <v>146</v>
      </c>
    </row>
    <row r="2" spans="1:45" ht="15" x14ac:dyDescent="0.25">
      <c r="B2" s="4" t="s">
        <v>1066</v>
      </c>
      <c r="AI2" s="1" t="s">
        <v>77</v>
      </c>
      <c r="AS2" s="1" t="s">
        <v>147</v>
      </c>
    </row>
    <row r="3" spans="1:45"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I3" s="1" t="s">
        <v>150</v>
      </c>
      <c r="AS3" s="1" t="s">
        <v>148</v>
      </c>
    </row>
    <row r="4" spans="1:45" x14ac:dyDescent="0.2">
      <c r="A4" s="2"/>
      <c r="B4" s="2"/>
      <c r="C4" s="232" t="s">
        <v>279</v>
      </c>
      <c r="D4" s="232"/>
      <c r="E4" s="232"/>
      <c r="F4" s="232"/>
      <c r="G4" s="232"/>
      <c r="H4" s="232"/>
      <c r="I4" s="232"/>
      <c r="J4" s="232"/>
      <c r="K4" s="232"/>
      <c r="L4" s="232"/>
      <c r="M4" s="232"/>
      <c r="N4" s="232"/>
      <c r="O4" s="232"/>
      <c r="P4" s="232"/>
      <c r="Q4" s="232"/>
      <c r="R4" s="232"/>
      <c r="S4" s="232"/>
      <c r="T4" s="232"/>
      <c r="U4" s="232"/>
      <c r="V4" s="232"/>
      <c r="W4" s="232"/>
      <c r="X4" s="232"/>
      <c r="Y4" s="232"/>
      <c r="Z4" s="232"/>
      <c r="AA4" s="232"/>
      <c r="AB4" s="232"/>
      <c r="AC4" s="232"/>
      <c r="AD4" s="232"/>
      <c r="AE4" s="232"/>
      <c r="AF4" s="232"/>
      <c r="AG4" s="2"/>
    </row>
    <row r="5" spans="1:45" x14ac:dyDescent="0.2">
      <c r="A5" s="2"/>
      <c r="B5" s="2"/>
      <c r="C5" s="232"/>
      <c r="D5" s="232"/>
      <c r="E5" s="232"/>
      <c r="F5" s="232"/>
      <c r="G5" s="232"/>
      <c r="H5" s="232"/>
      <c r="I5" s="232"/>
      <c r="J5" s="232"/>
      <c r="K5" s="232"/>
      <c r="L5" s="232"/>
      <c r="M5" s="232"/>
      <c r="N5" s="232"/>
      <c r="O5" s="232"/>
      <c r="P5" s="232"/>
      <c r="Q5" s="232"/>
      <c r="R5" s="232"/>
      <c r="S5" s="232"/>
      <c r="T5" s="232"/>
      <c r="U5" s="232"/>
      <c r="V5" s="232"/>
      <c r="W5" s="232"/>
      <c r="X5" s="232"/>
      <c r="Y5" s="232"/>
      <c r="Z5" s="232"/>
      <c r="AA5" s="232"/>
      <c r="AB5" s="232"/>
      <c r="AC5" s="232"/>
      <c r="AD5" s="232"/>
      <c r="AE5" s="232"/>
      <c r="AF5" s="232"/>
      <c r="AG5" s="2"/>
    </row>
    <row r="6" spans="1:45" x14ac:dyDescent="0.2">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row>
    <row r="7" spans="1:45" ht="15" thickBot="1" x14ac:dyDescent="0.25">
      <c r="A7" s="2"/>
      <c r="B7" s="2"/>
      <c r="C7" s="2" t="s">
        <v>1190</v>
      </c>
      <c r="D7" s="2"/>
      <c r="E7" s="2"/>
      <c r="F7" s="2"/>
      <c r="G7" s="2"/>
      <c r="H7" s="2"/>
      <c r="I7" s="2"/>
      <c r="J7" s="2"/>
      <c r="K7" s="2"/>
      <c r="L7" s="2"/>
      <c r="M7" s="2"/>
      <c r="N7" s="2"/>
      <c r="O7" s="2"/>
      <c r="P7" s="2"/>
      <c r="Q7" s="2"/>
      <c r="R7" s="2"/>
      <c r="S7" s="2"/>
      <c r="T7" s="2"/>
      <c r="U7" s="2"/>
      <c r="V7" s="2"/>
      <c r="W7" s="2"/>
      <c r="X7" s="2"/>
      <c r="Y7" s="2"/>
      <c r="Z7" s="2"/>
      <c r="AA7" s="2"/>
      <c r="AB7" s="2"/>
      <c r="AC7" s="2"/>
      <c r="AD7" s="2"/>
      <c r="AE7" s="2"/>
      <c r="AF7" s="2"/>
      <c r="AG7" s="2"/>
    </row>
    <row r="8" spans="1:45" ht="30.75" customHeight="1" thickBot="1" x14ac:dyDescent="0.25">
      <c r="A8" s="2"/>
      <c r="B8" s="2"/>
      <c r="C8" s="305" t="s">
        <v>110</v>
      </c>
      <c r="D8" s="306"/>
      <c r="E8" s="306"/>
      <c r="F8" s="307"/>
      <c r="G8" s="308" t="s">
        <v>111</v>
      </c>
      <c r="H8" s="309"/>
      <c r="I8" s="310"/>
      <c r="J8" s="305" t="s">
        <v>86</v>
      </c>
      <c r="K8" s="306"/>
      <c r="L8" s="306"/>
      <c r="M8" s="306"/>
      <c r="N8" s="306"/>
      <c r="O8" s="306"/>
      <c r="P8" s="306"/>
      <c r="Q8" s="306"/>
      <c r="R8" s="306"/>
      <c r="S8" s="306"/>
      <c r="T8" s="306"/>
      <c r="U8" s="306"/>
      <c r="V8" s="306"/>
      <c r="W8" s="306"/>
      <c r="X8" s="306"/>
      <c r="Y8" s="306"/>
      <c r="Z8" s="306"/>
      <c r="AA8" s="306"/>
      <c r="AB8" s="307"/>
      <c r="AC8" s="308" t="s">
        <v>112</v>
      </c>
      <c r="AD8" s="309"/>
      <c r="AE8" s="309"/>
      <c r="AF8" s="310"/>
      <c r="AG8" s="2"/>
      <c r="AI8" s="10" t="s">
        <v>142</v>
      </c>
    </row>
    <row r="9" spans="1:45" ht="15" customHeight="1" x14ac:dyDescent="0.2">
      <c r="A9" s="2"/>
      <c r="B9" s="2"/>
      <c r="C9" s="189" t="s">
        <v>113</v>
      </c>
      <c r="D9" s="191"/>
      <c r="E9" s="191"/>
      <c r="F9" s="190"/>
      <c r="G9" s="189" t="s">
        <v>131</v>
      </c>
      <c r="H9" s="191"/>
      <c r="I9" s="190"/>
      <c r="J9" s="314" t="s">
        <v>280</v>
      </c>
      <c r="K9" s="315"/>
      <c r="L9" s="315"/>
      <c r="M9" s="315"/>
      <c r="N9" s="315"/>
      <c r="O9" s="315"/>
      <c r="P9" s="315"/>
      <c r="Q9" s="315"/>
      <c r="R9" s="315"/>
      <c r="S9" s="315"/>
      <c r="T9" s="315"/>
      <c r="U9" s="315"/>
      <c r="V9" s="315"/>
      <c r="W9" s="315"/>
      <c r="X9" s="315"/>
      <c r="Y9" s="315"/>
      <c r="Z9" s="315"/>
      <c r="AA9" s="315"/>
      <c r="AB9" s="316"/>
      <c r="AC9" s="317" t="s">
        <v>147</v>
      </c>
      <c r="AD9" s="318"/>
      <c r="AE9" s="318"/>
      <c r="AF9" s="319"/>
      <c r="AG9" s="2"/>
      <c r="AI9" s="1" t="s">
        <v>143</v>
      </c>
    </row>
    <row r="10" spans="1:45" ht="15" customHeight="1" x14ac:dyDescent="0.2">
      <c r="A10" s="2"/>
      <c r="B10" s="2"/>
      <c r="C10" s="183" t="s">
        <v>114</v>
      </c>
      <c r="D10" s="185"/>
      <c r="E10" s="185"/>
      <c r="F10" s="184"/>
      <c r="G10" s="183" t="s">
        <v>132</v>
      </c>
      <c r="H10" s="185"/>
      <c r="I10" s="184"/>
      <c r="J10" s="311" t="s">
        <v>281</v>
      </c>
      <c r="K10" s="312"/>
      <c r="L10" s="312"/>
      <c r="M10" s="312"/>
      <c r="N10" s="312"/>
      <c r="O10" s="312"/>
      <c r="P10" s="312"/>
      <c r="Q10" s="312"/>
      <c r="R10" s="312"/>
      <c r="S10" s="312"/>
      <c r="T10" s="312"/>
      <c r="U10" s="312"/>
      <c r="V10" s="312"/>
      <c r="W10" s="312"/>
      <c r="X10" s="312"/>
      <c r="Y10" s="312"/>
      <c r="Z10" s="312"/>
      <c r="AA10" s="312"/>
      <c r="AB10" s="313"/>
      <c r="AC10" s="183" t="s">
        <v>148</v>
      </c>
      <c r="AD10" s="185"/>
      <c r="AE10" s="185"/>
      <c r="AF10" s="184"/>
      <c r="AG10" s="2"/>
    </row>
    <row r="11" spans="1:45" x14ac:dyDescent="0.2">
      <c r="A11" s="2"/>
      <c r="B11" s="2"/>
      <c r="C11" s="183" t="s">
        <v>115</v>
      </c>
      <c r="D11" s="185"/>
      <c r="E11" s="185"/>
      <c r="F11" s="184"/>
      <c r="G11" s="183" t="s">
        <v>133</v>
      </c>
      <c r="H11" s="185"/>
      <c r="I11" s="184"/>
      <c r="J11" s="311" t="s">
        <v>282</v>
      </c>
      <c r="K11" s="312"/>
      <c r="L11" s="312"/>
      <c r="M11" s="312"/>
      <c r="N11" s="312"/>
      <c r="O11" s="312"/>
      <c r="P11" s="312"/>
      <c r="Q11" s="312"/>
      <c r="R11" s="312"/>
      <c r="S11" s="312"/>
      <c r="T11" s="312"/>
      <c r="U11" s="312"/>
      <c r="V11" s="312"/>
      <c r="W11" s="312"/>
      <c r="X11" s="312"/>
      <c r="Y11" s="312"/>
      <c r="Z11" s="312"/>
      <c r="AA11" s="312"/>
      <c r="AB11" s="313"/>
      <c r="AC11" s="183" t="s">
        <v>148</v>
      </c>
      <c r="AD11" s="185"/>
      <c r="AE11" s="185"/>
      <c r="AF11" s="184"/>
      <c r="AG11" s="2"/>
      <c r="AI11" s="1" t="s">
        <v>149</v>
      </c>
    </row>
    <row r="12" spans="1:45" x14ac:dyDescent="0.2">
      <c r="A12" s="2"/>
      <c r="B12" s="2"/>
      <c r="C12" s="183" t="s">
        <v>116</v>
      </c>
      <c r="D12" s="185"/>
      <c r="E12" s="185"/>
      <c r="F12" s="184"/>
      <c r="G12" s="183" t="s">
        <v>166</v>
      </c>
      <c r="H12" s="185"/>
      <c r="I12" s="184"/>
      <c r="J12" s="311" t="s">
        <v>456</v>
      </c>
      <c r="K12" s="312"/>
      <c r="L12" s="312"/>
      <c r="M12" s="312"/>
      <c r="N12" s="312"/>
      <c r="O12" s="312"/>
      <c r="P12" s="312"/>
      <c r="Q12" s="312"/>
      <c r="R12" s="312"/>
      <c r="S12" s="312"/>
      <c r="T12" s="312"/>
      <c r="U12" s="312"/>
      <c r="V12" s="312"/>
      <c r="W12" s="312"/>
      <c r="X12" s="312"/>
      <c r="Y12" s="312"/>
      <c r="Z12" s="312"/>
      <c r="AA12" s="312"/>
      <c r="AB12" s="313"/>
      <c r="AC12" s="183" t="s">
        <v>148</v>
      </c>
      <c r="AD12" s="185"/>
      <c r="AE12" s="185"/>
      <c r="AF12" s="184"/>
      <c r="AG12" s="2"/>
    </row>
    <row r="13" spans="1:45" x14ac:dyDescent="0.2">
      <c r="A13" s="2"/>
      <c r="B13" s="2"/>
      <c r="C13" s="183" t="s">
        <v>117</v>
      </c>
      <c r="D13" s="185"/>
      <c r="E13" s="185"/>
      <c r="F13" s="184"/>
      <c r="G13" s="183" t="s">
        <v>167</v>
      </c>
      <c r="H13" s="185"/>
      <c r="I13" s="184"/>
      <c r="J13" s="311" t="s">
        <v>292</v>
      </c>
      <c r="K13" s="312"/>
      <c r="L13" s="312"/>
      <c r="M13" s="312"/>
      <c r="N13" s="312"/>
      <c r="O13" s="312"/>
      <c r="P13" s="312"/>
      <c r="Q13" s="312"/>
      <c r="R13" s="312"/>
      <c r="S13" s="312"/>
      <c r="T13" s="312"/>
      <c r="U13" s="312"/>
      <c r="V13" s="312"/>
      <c r="W13" s="312"/>
      <c r="X13" s="312"/>
      <c r="Y13" s="312"/>
      <c r="Z13" s="312"/>
      <c r="AA13" s="312"/>
      <c r="AB13" s="313"/>
      <c r="AC13" s="183" t="s">
        <v>148</v>
      </c>
      <c r="AD13" s="185"/>
      <c r="AE13" s="185"/>
      <c r="AF13" s="184"/>
      <c r="AG13" s="2"/>
    </row>
    <row r="14" spans="1:45" x14ac:dyDescent="0.2">
      <c r="A14" s="2"/>
      <c r="B14" s="2"/>
      <c r="C14" s="183" t="s">
        <v>118</v>
      </c>
      <c r="D14" s="185"/>
      <c r="E14" s="185"/>
      <c r="F14" s="184"/>
      <c r="G14" s="183" t="s">
        <v>137</v>
      </c>
      <c r="H14" s="185"/>
      <c r="I14" s="184"/>
      <c r="J14" s="311" t="s">
        <v>289</v>
      </c>
      <c r="K14" s="312"/>
      <c r="L14" s="312"/>
      <c r="M14" s="312"/>
      <c r="N14" s="312"/>
      <c r="O14" s="312"/>
      <c r="P14" s="312"/>
      <c r="Q14" s="312"/>
      <c r="R14" s="312"/>
      <c r="S14" s="312"/>
      <c r="T14" s="312"/>
      <c r="U14" s="312"/>
      <c r="V14" s="312"/>
      <c r="W14" s="312"/>
      <c r="X14" s="312"/>
      <c r="Y14" s="312"/>
      <c r="Z14" s="312"/>
      <c r="AA14" s="312"/>
      <c r="AB14" s="313"/>
      <c r="AC14" s="183" t="s">
        <v>148</v>
      </c>
      <c r="AD14" s="185"/>
      <c r="AE14" s="185"/>
      <c r="AF14" s="184"/>
      <c r="AG14" s="2"/>
    </row>
    <row r="15" spans="1:45" x14ac:dyDescent="0.2">
      <c r="A15" s="2"/>
      <c r="B15" s="2"/>
      <c r="C15" s="183" t="s">
        <v>119</v>
      </c>
      <c r="D15" s="185"/>
      <c r="E15" s="185"/>
      <c r="F15" s="184"/>
      <c r="G15" s="183" t="s">
        <v>138</v>
      </c>
      <c r="H15" s="185"/>
      <c r="I15" s="184"/>
      <c r="J15" s="311" t="s">
        <v>290</v>
      </c>
      <c r="K15" s="312"/>
      <c r="L15" s="312"/>
      <c r="M15" s="312"/>
      <c r="N15" s="312"/>
      <c r="O15" s="312"/>
      <c r="P15" s="312"/>
      <c r="Q15" s="312"/>
      <c r="R15" s="312"/>
      <c r="S15" s="312"/>
      <c r="T15" s="312"/>
      <c r="U15" s="312"/>
      <c r="V15" s="312"/>
      <c r="W15" s="312"/>
      <c r="X15" s="312"/>
      <c r="Y15" s="312"/>
      <c r="Z15" s="312"/>
      <c r="AA15" s="312"/>
      <c r="AB15" s="313"/>
      <c r="AC15" s="183" t="s">
        <v>148</v>
      </c>
      <c r="AD15" s="185"/>
      <c r="AE15" s="185"/>
      <c r="AF15" s="184"/>
      <c r="AG15" s="2"/>
    </row>
    <row r="16" spans="1:45" x14ac:dyDescent="0.2">
      <c r="A16" s="2"/>
      <c r="B16" s="2"/>
      <c r="C16" s="183" t="s">
        <v>120</v>
      </c>
      <c r="D16" s="185"/>
      <c r="E16" s="185"/>
      <c r="F16" s="184"/>
      <c r="G16" s="183" t="s">
        <v>168</v>
      </c>
      <c r="H16" s="185"/>
      <c r="I16" s="184"/>
      <c r="J16" s="311" t="s">
        <v>291</v>
      </c>
      <c r="K16" s="312"/>
      <c r="L16" s="312"/>
      <c r="M16" s="312"/>
      <c r="N16" s="312"/>
      <c r="O16" s="312"/>
      <c r="P16" s="312"/>
      <c r="Q16" s="312"/>
      <c r="R16" s="312"/>
      <c r="S16" s="312"/>
      <c r="T16" s="312"/>
      <c r="U16" s="312"/>
      <c r="V16" s="312"/>
      <c r="W16" s="312"/>
      <c r="X16" s="312"/>
      <c r="Y16" s="312"/>
      <c r="Z16" s="312"/>
      <c r="AA16" s="312"/>
      <c r="AB16" s="313"/>
      <c r="AC16" s="183" t="s">
        <v>148</v>
      </c>
      <c r="AD16" s="185"/>
      <c r="AE16" s="185"/>
      <c r="AF16" s="184"/>
      <c r="AG16" s="2"/>
    </row>
    <row r="17" spans="1:33" x14ac:dyDescent="0.2">
      <c r="A17" s="2"/>
      <c r="B17" s="2"/>
      <c r="C17" s="183" t="s">
        <v>169</v>
      </c>
      <c r="D17" s="185"/>
      <c r="E17" s="185"/>
      <c r="F17" s="184"/>
      <c r="G17" s="183" t="s">
        <v>170</v>
      </c>
      <c r="H17" s="185"/>
      <c r="I17" s="184"/>
      <c r="J17" s="311" t="s">
        <v>302</v>
      </c>
      <c r="K17" s="312"/>
      <c r="L17" s="312"/>
      <c r="M17" s="312"/>
      <c r="N17" s="312"/>
      <c r="O17" s="312"/>
      <c r="P17" s="312"/>
      <c r="Q17" s="312"/>
      <c r="R17" s="312"/>
      <c r="S17" s="312"/>
      <c r="T17" s="312"/>
      <c r="U17" s="312"/>
      <c r="V17" s="312"/>
      <c r="W17" s="312"/>
      <c r="X17" s="312"/>
      <c r="Y17" s="312"/>
      <c r="Z17" s="312"/>
      <c r="AA17" s="312"/>
      <c r="AB17" s="313"/>
      <c r="AC17" s="183" t="s">
        <v>148</v>
      </c>
      <c r="AD17" s="185"/>
      <c r="AE17" s="185"/>
      <c r="AF17" s="184"/>
      <c r="AG17" s="2"/>
    </row>
    <row r="18" spans="1:33" x14ac:dyDescent="0.2">
      <c r="A18" s="2"/>
      <c r="B18" s="2"/>
      <c r="C18" s="183" t="s">
        <v>121</v>
      </c>
      <c r="D18" s="185"/>
      <c r="E18" s="185"/>
      <c r="F18" s="184"/>
      <c r="G18" s="183" t="s">
        <v>141</v>
      </c>
      <c r="H18" s="185"/>
      <c r="I18" s="184"/>
      <c r="J18" s="311" t="s">
        <v>301</v>
      </c>
      <c r="K18" s="312"/>
      <c r="L18" s="312"/>
      <c r="M18" s="312"/>
      <c r="N18" s="312"/>
      <c r="O18" s="312"/>
      <c r="P18" s="312"/>
      <c r="Q18" s="312"/>
      <c r="R18" s="312"/>
      <c r="S18" s="312"/>
      <c r="T18" s="312"/>
      <c r="U18" s="312"/>
      <c r="V18" s="312"/>
      <c r="W18" s="312"/>
      <c r="X18" s="312"/>
      <c r="Y18" s="312"/>
      <c r="Z18" s="312"/>
      <c r="AA18" s="312"/>
      <c r="AB18" s="313"/>
      <c r="AC18" s="183" t="s">
        <v>148</v>
      </c>
      <c r="AD18" s="185"/>
      <c r="AE18" s="185"/>
      <c r="AF18" s="184"/>
      <c r="AG18" s="2"/>
    </row>
    <row r="19" spans="1:33" x14ac:dyDescent="0.2">
      <c r="A19" s="2"/>
      <c r="B19" s="2"/>
      <c r="C19" s="183" t="s">
        <v>122</v>
      </c>
      <c r="D19" s="185"/>
      <c r="E19" s="185"/>
      <c r="F19" s="184"/>
      <c r="G19" s="183" t="s">
        <v>134</v>
      </c>
      <c r="H19" s="185"/>
      <c r="I19" s="184"/>
      <c r="J19" s="311" t="s">
        <v>283</v>
      </c>
      <c r="K19" s="312"/>
      <c r="L19" s="312"/>
      <c r="M19" s="312"/>
      <c r="N19" s="312"/>
      <c r="O19" s="312"/>
      <c r="P19" s="312"/>
      <c r="Q19" s="312"/>
      <c r="R19" s="312"/>
      <c r="S19" s="312"/>
      <c r="T19" s="312"/>
      <c r="U19" s="312"/>
      <c r="V19" s="312"/>
      <c r="W19" s="312"/>
      <c r="X19" s="312"/>
      <c r="Y19" s="312"/>
      <c r="Z19" s="312"/>
      <c r="AA19" s="312"/>
      <c r="AB19" s="313"/>
      <c r="AC19" s="183" t="s">
        <v>148</v>
      </c>
      <c r="AD19" s="185"/>
      <c r="AE19" s="185"/>
      <c r="AF19" s="184"/>
      <c r="AG19" s="2"/>
    </row>
    <row r="20" spans="1:33" x14ac:dyDescent="0.2">
      <c r="A20" s="2"/>
      <c r="B20" s="2"/>
      <c r="C20" s="183" t="s">
        <v>123</v>
      </c>
      <c r="D20" s="185"/>
      <c r="E20" s="185"/>
      <c r="F20" s="184"/>
      <c r="G20" s="183" t="s">
        <v>135</v>
      </c>
      <c r="H20" s="185"/>
      <c r="I20" s="184"/>
      <c r="J20" s="311" t="s">
        <v>284</v>
      </c>
      <c r="K20" s="312"/>
      <c r="L20" s="312"/>
      <c r="M20" s="312"/>
      <c r="N20" s="312"/>
      <c r="O20" s="312"/>
      <c r="P20" s="312"/>
      <c r="Q20" s="312"/>
      <c r="R20" s="312"/>
      <c r="S20" s="312"/>
      <c r="T20" s="312"/>
      <c r="U20" s="312"/>
      <c r="V20" s="312"/>
      <c r="W20" s="312"/>
      <c r="X20" s="312"/>
      <c r="Y20" s="312"/>
      <c r="Z20" s="312"/>
      <c r="AA20" s="312"/>
      <c r="AB20" s="313"/>
      <c r="AC20" s="320" t="s">
        <v>147</v>
      </c>
      <c r="AD20" s="321"/>
      <c r="AE20" s="321"/>
      <c r="AF20" s="322"/>
      <c r="AG20" s="2"/>
    </row>
    <row r="21" spans="1:33" x14ac:dyDescent="0.2">
      <c r="A21" s="2"/>
      <c r="B21" s="2"/>
      <c r="C21" s="183" t="s">
        <v>124</v>
      </c>
      <c r="D21" s="185"/>
      <c r="E21" s="185"/>
      <c r="F21" s="184"/>
      <c r="G21" s="183" t="s">
        <v>136</v>
      </c>
      <c r="H21" s="185"/>
      <c r="I21" s="184"/>
      <c r="J21" s="311" t="s">
        <v>285</v>
      </c>
      <c r="K21" s="312"/>
      <c r="L21" s="312"/>
      <c r="M21" s="312"/>
      <c r="N21" s="312"/>
      <c r="O21" s="312"/>
      <c r="P21" s="312"/>
      <c r="Q21" s="312"/>
      <c r="R21" s="312"/>
      <c r="S21" s="312"/>
      <c r="T21" s="312"/>
      <c r="U21" s="312"/>
      <c r="V21" s="312"/>
      <c r="W21" s="312"/>
      <c r="X21" s="312"/>
      <c r="Y21" s="312"/>
      <c r="Z21" s="312"/>
      <c r="AA21" s="312"/>
      <c r="AB21" s="313"/>
      <c r="AC21" s="320" t="s">
        <v>147</v>
      </c>
      <c r="AD21" s="321"/>
      <c r="AE21" s="321"/>
      <c r="AF21" s="322"/>
      <c r="AG21" s="2"/>
    </row>
    <row r="22" spans="1:33" x14ac:dyDescent="0.2">
      <c r="A22" s="2"/>
      <c r="B22" s="2"/>
      <c r="C22" s="183" t="s">
        <v>125</v>
      </c>
      <c r="D22" s="185"/>
      <c r="E22" s="185"/>
      <c r="F22" s="184"/>
      <c r="G22" s="183" t="s">
        <v>171</v>
      </c>
      <c r="H22" s="185"/>
      <c r="I22" s="184"/>
      <c r="J22" s="311" t="s">
        <v>286</v>
      </c>
      <c r="K22" s="312"/>
      <c r="L22" s="312"/>
      <c r="M22" s="312"/>
      <c r="N22" s="312"/>
      <c r="O22" s="312"/>
      <c r="P22" s="312"/>
      <c r="Q22" s="312"/>
      <c r="R22" s="312"/>
      <c r="S22" s="312"/>
      <c r="T22" s="312"/>
      <c r="U22" s="312"/>
      <c r="V22" s="312"/>
      <c r="W22" s="312"/>
      <c r="X22" s="312"/>
      <c r="Y22" s="312"/>
      <c r="Z22" s="312"/>
      <c r="AA22" s="312"/>
      <c r="AB22" s="313"/>
      <c r="AC22" s="183" t="s">
        <v>148</v>
      </c>
      <c r="AD22" s="185"/>
      <c r="AE22" s="185"/>
      <c r="AF22" s="184"/>
      <c r="AG22" s="2"/>
    </row>
    <row r="23" spans="1:33" x14ac:dyDescent="0.2">
      <c r="A23" s="2"/>
      <c r="B23" s="2"/>
      <c r="C23" s="183" t="s">
        <v>126</v>
      </c>
      <c r="D23" s="185"/>
      <c r="E23" s="185"/>
      <c r="F23" s="184"/>
      <c r="G23" s="183" t="s">
        <v>172</v>
      </c>
      <c r="H23" s="185"/>
      <c r="I23" s="184"/>
      <c r="J23" s="311" t="s">
        <v>287</v>
      </c>
      <c r="K23" s="312"/>
      <c r="L23" s="312"/>
      <c r="M23" s="312"/>
      <c r="N23" s="312"/>
      <c r="O23" s="312"/>
      <c r="P23" s="312"/>
      <c r="Q23" s="312"/>
      <c r="R23" s="312"/>
      <c r="S23" s="312"/>
      <c r="T23" s="312"/>
      <c r="U23" s="312"/>
      <c r="V23" s="312"/>
      <c r="W23" s="312"/>
      <c r="X23" s="312"/>
      <c r="Y23" s="312"/>
      <c r="Z23" s="312"/>
      <c r="AA23" s="312"/>
      <c r="AB23" s="313"/>
      <c r="AC23" s="183" t="s">
        <v>148</v>
      </c>
      <c r="AD23" s="185"/>
      <c r="AE23" s="185"/>
      <c r="AF23" s="184"/>
      <c r="AG23" s="2"/>
    </row>
    <row r="24" spans="1:33" x14ac:dyDescent="0.2">
      <c r="A24" s="2"/>
      <c r="B24" s="2"/>
      <c r="C24" s="183" t="s">
        <v>127</v>
      </c>
      <c r="D24" s="185"/>
      <c r="E24" s="185"/>
      <c r="F24" s="184"/>
      <c r="G24" s="183" t="s">
        <v>173</v>
      </c>
      <c r="H24" s="185"/>
      <c r="I24" s="184"/>
      <c r="J24" s="311" t="s">
        <v>288</v>
      </c>
      <c r="K24" s="312"/>
      <c r="L24" s="312"/>
      <c r="M24" s="312"/>
      <c r="N24" s="312"/>
      <c r="O24" s="312"/>
      <c r="P24" s="312"/>
      <c r="Q24" s="312"/>
      <c r="R24" s="312"/>
      <c r="S24" s="312"/>
      <c r="T24" s="312"/>
      <c r="U24" s="312"/>
      <c r="V24" s="312"/>
      <c r="W24" s="312"/>
      <c r="X24" s="312"/>
      <c r="Y24" s="312"/>
      <c r="Z24" s="312"/>
      <c r="AA24" s="312"/>
      <c r="AB24" s="313"/>
      <c r="AC24" s="183" t="s">
        <v>148</v>
      </c>
      <c r="AD24" s="185"/>
      <c r="AE24" s="185"/>
      <c r="AF24" s="184"/>
      <c r="AG24" s="2"/>
    </row>
    <row r="25" spans="1:33" x14ac:dyDescent="0.2">
      <c r="A25" s="2"/>
      <c r="B25" s="2"/>
      <c r="C25" s="183" t="s">
        <v>128</v>
      </c>
      <c r="D25" s="185"/>
      <c r="E25" s="185"/>
      <c r="F25" s="184"/>
      <c r="G25" s="183" t="s">
        <v>139</v>
      </c>
      <c r="H25" s="185"/>
      <c r="I25" s="184"/>
      <c r="J25" s="311" t="s">
        <v>293</v>
      </c>
      <c r="K25" s="312"/>
      <c r="L25" s="312"/>
      <c r="M25" s="312"/>
      <c r="N25" s="312"/>
      <c r="O25" s="312"/>
      <c r="P25" s="312"/>
      <c r="Q25" s="312"/>
      <c r="R25" s="312"/>
      <c r="S25" s="312"/>
      <c r="T25" s="312"/>
      <c r="U25" s="312"/>
      <c r="V25" s="312"/>
      <c r="W25" s="312"/>
      <c r="X25" s="312"/>
      <c r="Y25" s="312"/>
      <c r="Z25" s="312"/>
      <c r="AA25" s="312"/>
      <c r="AB25" s="313"/>
      <c r="AC25" s="183" t="s">
        <v>148</v>
      </c>
      <c r="AD25" s="185"/>
      <c r="AE25" s="185"/>
      <c r="AF25" s="184"/>
      <c r="AG25" s="2"/>
    </row>
    <row r="26" spans="1:33" x14ac:dyDescent="0.2">
      <c r="A26" s="2"/>
      <c r="B26" s="2"/>
      <c r="C26" s="183" t="s">
        <v>129</v>
      </c>
      <c r="D26" s="185"/>
      <c r="E26" s="185"/>
      <c r="F26" s="184"/>
      <c r="G26" s="183" t="s">
        <v>140</v>
      </c>
      <c r="H26" s="185"/>
      <c r="I26" s="184"/>
      <c r="J26" s="311" t="s">
        <v>294</v>
      </c>
      <c r="K26" s="312"/>
      <c r="L26" s="312"/>
      <c r="M26" s="312"/>
      <c r="N26" s="312"/>
      <c r="O26" s="312"/>
      <c r="P26" s="312"/>
      <c r="Q26" s="312"/>
      <c r="R26" s="312"/>
      <c r="S26" s="312"/>
      <c r="T26" s="312"/>
      <c r="U26" s="312"/>
      <c r="V26" s="312"/>
      <c r="W26" s="312"/>
      <c r="X26" s="312"/>
      <c r="Y26" s="312"/>
      <c r="Z26" s="312"/>
      <c r="AA26" s="312"/>
      <c r="AB26" s="313"/>
      <c r="AC26" s="183" t="s">
        <v>148</v>
      </c>
      <c r="AD26" s="185"/>
      <c r="AE26" s="185"/>
      <c r="AF26" s="184"/>
      <c r="AG26" s="2"/>
    </row>
    <row r="27" spans="1:33" x14ac:dyDescent="0.2">
      <c r="A27" s="2"/>
      <c r="B27" s="2"/>
      <c r="C27" s="183" t="s">
        <v>130</v>
      </c>
      <c r="D27" s="185"/>
      <c r="E27" s="185"/>
      <c r="F27" s="184"/>
      <c r="G27" s="183" t="s">
        <v>174</v>
      </c>
      <c r="H27" s="185"/>
      <c r="I27" s="184"/>
      <c r="J27" s="311" t="s">
        <v>295</v>
      </c>
      <c r="K27" s="312"/>
      <c r="L27" s="312"/>
      <c r="M27" s="312"/>
      <c r="N27" s="312"/>
      <c r="O27" s="312"/>
      <c r="P27" s="312"/>
      <c r="Q27" s="312"/>
      <c r="R27" s="312"/>
      <c r="S27" s="312"/>
      <c r="T27" s="312"/>
      <c r="U27" s="312"/>
      <c r="V27" s="312"/>
      <c r="W27" s="312"/>
      <c r="X27" s="312"/>
      <c r="Y27" s="312"/>
      <c r="Z27" s="312"/>
      <c r="AA27" s="312"/>
      <c r="AB27" s="313"/>
      <c r="AC27" s="320" t="s">
        <v>147</v>
      </c>
      <c r="AD27" s="321"/>
      <c r="AE27" s="321"/>
      <c r="AF27" s="322"/>
      <c r="AG27" s="2"/>
    </row>
    <row r="28" spans="1:33" x14ac:dyDescent="0.2">
      <c r="A28" s="2"/>
      <c r="B28" s="2"/>
      <c r="C28" s="183" t="s">
        <v>175</v>
      </c>
      <c r="D28" s="185"/>
      <c r="E28" s="185"/>
      <c r="F28" s="184"/>
      <c r="G28" s="183" t="s">
        <v>296</v>
      </c>
      <c r="H28" s="185"/>
      <c r="I28" s="184"/>
      <c r="J28" s="311" t="s">
        <v>297</v>
      </c>
      <c r="K28" s="312"/>
      <c r="L28" s="312"/>
      <c r="M28" s="312"/>
      <c r="N28" s="312"/>
      <c r="O28" s="312"/>
      <c r="P28" s="312"/>
      <c r="Q28" s="312"/>
      <c r="R28" s="312"/>
      <c r="S28" s="312"/>
      <c r="T28" s="312"/>
      <c r="U28" s="312"/>
      <c r="V28" s="312"/>
      <c r="W28" s="312"/>
      <c r="X28" s="312"/>
      <c r="Y28" s="312"/>
      <c r="Z28" s="312"/>
      <c r="AA28" s="312"/>
      <c r="AB28" s="313"/>
      <c r="AC28" s="320" t="s">
        <v>147</v>
      </c>
      <c r="AD28" s="321"/>
      <c r="AE28" s="321"/>
      <c r="AF28" s="322"/>
      <c r="AG28" s="2"/>
    </row>
    <row r="29" spans="1:33" x14ac:dyDescent="0.2">
      <c r="A29" s="2"/>
      <c r="B29" s="2"/>
      <c r="C29" s="183" t="s">
        <v>176</v>
      </c>
      <c r="D29" s="185"/>
      <c r="E29" s="185"/>
      <c r="F29" s="184"/>
      <c r="G29" s="183" t="s">
        <v>177</v>
      </c>
      <c r="H29" s="185"/>
      <c r="I29" s="184"/>
      <c r="J29" s="311" t="s">
        <v>298</v>
      </c>
      <c r="K29" s="312"/>
      <c r="L29" s="312"/>
      <c r="M29" s="312"/>
      <c r="N29" s="312"/>
      <c r="O29" s="312"/>
      <c r="P29" s="312"/>
      <c r="Q29" s="312"/>
      <c r="R29" s="312"/>
      <c r="S29" s="312"/>
      <c r="T29" s="312"/>
      <c r="U29" s="312"/>
      <c r="V29" s="312"/>
      <c r="W29" s="312"/>
      <c r="X29" s="312"/>
      <c r="Y29" s="312"/>
      <c r="Z29" s="312"/>
      <c r="AA29" s="312"/>
      <c r="AB29" s="313"/>
      <c r="AC29" s="183" t="s">
        <v>148</v>
      </c>
      <c r="AD29" s="185"/>
      <c r="AE29" s="185"/>
      <c r="AF29" s="184"/>
      <c r="AG29" s="2"/>
    </row>
    <row r="30" spans="1:33" x14ac:dyDescent="0.2">
      <c r="A30" s="2"/>
      <c r="B30" s="2"/>
      <c r="C30" s="183" t="s">
        <v>178</v>
      </c>
      <c r="D30" s="185"/>
      <c r="E30" s="185"/>
      <c r="F30" s="184"/>
      <c r="G30" s="183" t="s">
        <v>299</v>
      </c>
      <c r="H30" s="185"/>
      <c r="I30" s="184"/>
      <c r="J30" s="311" t="s">
        <v>300</v>
      </c>
      <c r="K30" s="312"/>
      <c r="L30" s="312"/>
      <c r="M30" s="312"/>
      <c r="N30" s="312"/>
      <c r="O30" s="312"/>
      <c r="P30" s="312"/>
      <c r="Q30" s="312"/>
      <c r="R30" s="312"/>
      <c r="S30" s="312"/>
      <c r="T30" s="312"/>
      <c r="U30" s="312"/>
      <c r="V30" s="312"/>
      <c r="W30" s="312"/>
      <c r="X30" s="312"/>
      <c r="Y30" s="312"/>
      <c r="Z30" s="312"/>
      <c r="AA30" s="312"/>
      <c r="AB30" s="313"/>
      <c r="AC30" s="183" t="s">
        <v>148</v>
      </c>
      <c r="AD30" s="185"/>
      <c r="AE30" s="185"/>
      <c r="AF30" s="184"/>
      <c r="AG30" s="2"/>
    </row>
    <row r="31" spans="1:33" x14ac:dyDescent="0.2">
      <c r="A31" s="2"/>
      <c r="B31" s="2"/>
      <c r="C31" s="183" t="s">
        <v>179</v>
      </c>
      <c r="D31" s="185"/>
      <c r="E31" s="185"/>
      <c r="F31" s="184"/>
      <c r="G31" s="183" t="s">
        <v>180</v>
      </c>
      <c r="H31" s="185"/>
      <c r="I31" s="184"/>
      <c r="J31" s="311" t="s">
        <v>324</v>
      </c>
      <c r="K31" s="312"/>
      <c r="L31" s="312"/>
      <c r="M31" s="312"/>
      <c r="N31" s="312"/>
      <c r="O31" s="312"/>
      <c r="P31" s="312"/>
      <c r="Q31" s="312"/>
      <c r="R31" s="312"/>
      <c r="S31" s="312"/>
      <c r="T31" s="312"/>
      <c r="U31" s="312"/>
      <c r="V31" s="312"/>
      <c r="W31" s="312"/>
      <c r="X31" s="312"/>
      <c r="Y31" s="312"/>
      <c r="Z31" s="312"/>
      <c r="AA31" s="312"/>
      <c r="AB31" s="313"/>
      <c r="AC31" s="183" t="s">
        <v>148</v>
      </c>
      <c r="AD31" s="185"/>
      <c r="AE31" s="185"/>
      <c r="AF31" s="184"/>
      <c r="AG31" s="2"/>
    </row>
    <row r="32" spans="1:33" x14ac:dyDescent="0.2">
      <c r="A32" s="2"/>
      <c r="B32" s="2"/>
      <c r="C32" s="183" t="s">
        <v>181</v>
      </c>
      <c r="D32" s="185"/>
      <c r="E32" s="185"/>
      <c r="F32" s="184"/>
      <c r="G32" s="183" t="s">
        <v>309</v>
      </c>
      <c r="H32" s="185"/>
      <c r="I32" s="184"/>
      <c r="J32" s="311" t="s">
        <v>310</v>
      </c>
      <c r="K32" s="312"/>
      <c r="L32" s="312"/>
      <c r="M32" s="312"/>
      <c r="N32" s="312"/>
      <c r="O32" s="312"/>
      <c r="P32" s="312"/>
      <c r="Q32" s="312"/>
      <c r="R32" s="312"/>
      <c r="S32" s="312"/>
      <c r="T32" s="312"/>
      <c r="U32" s="312"/>
      <c r="V32" s="312"/>
      <c r="W32" s="312"/>
      <c r="X32" s="312"/>
      <c r="Y32" s="312"/>
      <c r="Z32" s="312"/>
      <c r="AA32" s="312"/>
      <c r="AB32" s="313"/>
      <c r="AC32" s="183" t="s">
        <v>148</v>
      </c>
      <c r="AD32" s="185"/>
      <c r="AE32" s="185"/>
      <c r="AF32" s="184"/>
      <c r="AG32" s="2"/>
    </row>
    <row r="33" spans="1:33" x14ac:dyDescent="0.2">
      <c r="A33" s="2"/>
      <c r="B33" s="2"/>
      <c r="C33" s="183" t="s">
        <v>144</v>
      </c>
      <c r="D33" s="185"/>
      <c r="E33" s="185"/>
      <c r="F33" s="184"/>
      <c r="G33" s="183" t="s">
        <v>312</v>
      </c>
      <c r="H33" s="185"/>
      <c r="I33" s="184"/>
      <c r="J33" s="311" t="s">
        <v>313</v>
      </c>
      <c r="K33" s="312"/>
      <c r="L33" s="312"/>
      <c r="M33" s="312"/>
      <c r="N33" s="312"/>
      <c r="O33" s="312"/>
      <c r="P33" s="312"/>
      <c r="Q33" s="312"/>
      <c r="R33" s="312"/>
      <c r="S33" s="312"/>
      <c r="T33" s="312"/>
      <c r="U33" s="312"/>
      <c r="V33" s="312"/>
      <c r="W33" s="312"/>
      <c r="X33" s="312"/>
      <c r="Y33" s="312"/>
      <c r="Z33" s="312"/>
      <c r="AA33" s="312"/>
      <c r="AB33" s="313"/>
      <c r="AC33" s="183" t="s">
        <v>148</v>
      </c>
      <c r="AD33" s="185"/>
      <c r="AE33" s="185"/>
      <c r="AF33" s="184"/>
      <c r="AG33" s="2"/>
    </row>
    <row r="34" spans="1:33" x14ac:dyDescent="0.2">
      <c r="A34" s="2"/>
      <c r="B34" s="2"/>
      <c r="C34" s="183" t="s">
        <v>182</v>
      </c>
      <c r="D34" s="185"/>
      <c r="E34" s="185"/>
      <c r="F34" s="184"/>
      <c r="G34" s="183" t="s">
        <v>305</v>
      </c>
      <c r="H34" s="185"/>
      <c r="I34" s="184"/>
      <c r="J34" s="311" t="s">
        <v>306</v>
      </c>
      <c r="K34" s="312"/>
      <c r="L34" s="312"/>
      <c r="M34" s="312"/>
      <c r="N34" s="312"/>
      <c r="O34" s="312"/>
      <c r="P34" s="312"/>
      <c r="Q34" s="312"/>
      <c r="R34" s="312"/>
      <c r="S34" s="312"/>
      <c r="T34" s="312"/>
      <c r="U34" s="312"/>
      <c r="V34" s="312"/>
      <c r="W34" s="312"/>
      <c r="X34" s="312"/>
      <c r="Y34" s="312"/>
      <c r="Z34" s="312"/>
      <c r="AA34" s="312"/>
      <c r="AB34" s="313"/>
      <c r="AC34" s="183" t="s">
        <v>148</v>
      </c>
      <c r="AD34" s="185"/>
      <c r="AE34" s="185"/>
      <c r="AF34" s="184"/>
      <c r="AG34" s="2"/>
    </row>
    <row r="35" spans="1:33" x14ac:dyDescent="0.2">
      <c r="A35" s="2"/>
      <c r="B35" s="2"/>
      <c r="C35" s="183" t="s">
        <v>311</v>
      </c>
      <c r="D35" s="185"/>
      <c r="E35" s="185"/>
      <c r="F35" s="184"/>
      <c r="G35" s="183" t="s">
        <v>307</v>
      </c>
      <c r="H35" s="185"/>
      <c r="I35" s="184"/>
      <c r="J35" s="311" t="s">
        <v>308</v>
      </c>
      <c r="K35" s="312"/>
      <c r="L35" s="312"/>
      <c r="M35" s="312"/>
      <c r="N35" s="312"/>
      <c r="O35" s="312"/>
      <c r="P35" s="312"/>
      <c r="Q35" s="312"/>
      <c r="R35" s="312"/>
      <c r="S35" s="312"/>
      <c r="T35" s="312"/>
      <c r="U35" s="312"/>
      <c r="V35" s="312"/>
      <c r="W35" s="312"/>
      <c r="X35" s="312"/>
      <c r="Y35" s="312"/>
      <c r="Z35" s="312"/>
      <c r="AA35" s="312"/>
      <c r="AB35" s="313"/>
      <c r="AC35" s="183" t="s">
        <v>148</v>
      </c>
      <c r="AD35" s="185"/>
      <c r="AE35" s="185"/>
      <c r="AF35" s="184"/>
      <c r="AG35" s="2"/>
    </row>
    <row r="36" spans="1:33" x14ac:dyDescent="0.2">
      <c r="A36" s="2"/>
      <c r="B36" s="2"/>
      <c r="C36" s="183" t="s">
        <v>314</v>
      </c>
      <c r="D36" s="185"/>
      <c r="E36" s="185"/>
      <c r="F36" s="184"/>
      <c r="G36" s="183" t="s">
        <v>303</v>
      </c>
      <c r="H36" s="185"/>
      <c r="I36" s="184"/>
      <c r="J36" s="311" t="s">
        <v>304</v>
      </c>
      <c r="K36" s="312"/>
      <c r="L36" s="312"/>
      <c r="M36" s="312"/>
      <c r="N36" s="312"/>
      <c r="O36" s="312"/>
      <c r="P36" s="312"/>
      <c r="Q36" s="312"/>
      <c r="R36" s="312"/>
      <c r="S36" s="312"/>
      <c r="T36" s="312"/>
      <c r="U36" s="312"/>
      <c r="V36" s="312"/>
      <c r="W36" s="312"/>
      <c r="X36" s="312"/>
      <c r="Y36" s="312"/>
      <c r="Z36" s="312"/>
      <c r="AA36" s="312"/>
      <c r="AB36" s="313"/>
      <c r="AC36" s="183" t="s">
        <v>148</v>
      </c>
      <c r="AD36" s="185"/>
      <c r="AE36" s="185"/>
      <c r="AF36" s="184"/>
      <c r="AG36" s="2"/>
    </row>
    <row r="37" spans="1:33" x14ac:dyDescent="0.2">
      <c r="A37" s="2"/>
      <c r="B37" s="2"/>
      <c r="C37" s="183"/>
      <c r="D37" s="185"/>
      <c r="E37" s="185"/>
      <c r="F37" s="184"/>
      <c r="G37" s="183"/>
      <c r="H37" s="185"/>
      <c r="I37" s="184"/>
      <c r="J37" s="311"/>
      <c r="K37" s="312"/>
      <c r="L37" s="312"/>
      <c r="M37" s="312"/>
      <c r="N37" s="312"/>
      <c r="O37" s="312"/>
      <c r="P37" s="312"/>
      <c r="Q37" s="312"/>
      <c r="R37" s="312"/>
      <c r="S37" s="312"/>
      <c r="T37" s="312"/>
      <c r="U37" s="312"/>
      <c r="V37" s="312"/>
      <c r="W37" s="312"/>
      <c r="X37" s="312"/>
      <c r="Y37" s="312"/>
      <c r="Z37" s="312"/>
      <c r="AA37" s="312"/>
      <c r="AB37" s="313"/>
      <c r="AC37" s="183"/>
      <c r="AD37" s="185"/>
      <c r="AE37" s="185"/>
      <c r="AF37" s="184"/>
      <c r="AG37" s="2"/>
    </row>
    <row r="38" spans="1:33" x14ac:dyDescent="0.2">
      <c r="A38" s="2"/>
      <c r="B38" s="2"/>
      <c r="C38" s="183"/>
      <c r="D38" s="185"/>
      <c r="E38" s="185"/>
      <c r="F38" s="184"/>
      <c r="G38" s="183"/>
      <c r="H38" s="185"/>
      <c r="I38" s="184"/>
      <c r="J38" s="329" t="s">
        <v>145</v>
      </c>
      <c r="K38" s="330"/>
      <c r="L38" s="330"/>
      <c r="M38" s="330"/>
      <c r="N38" s="330"/>
      <c r="O38" s="330"/>
      <c r="P38" s="330"/>
      <c r="Q38" s="330"/>
      <c r="R38" s="330"/>
      <c r="S38" s="330"/>
      <c r="T38" s="330"/>
      <c r="U38" s="330"/>
      <c r="V38" s="330"/>
      <c r="W38" s="330"/>
      <c r="X38" s="330"/>
      <c r="Y38" s="330"/>
      <c r="Z38" s="330"/>
      <c r="AA38" s="330"/>
      <c r="AB38" s="331"/>
      <c r="AC38" s="183"/>
      <c r="AD38" s="185"/>
      <c r="AE38" s="185"/>
      <c r="AF38" s="184"/>
      <c r="AG38" s="2"/>
    </row>
    <row r="39" spans="1:33" x14ac:dyDescent="0.2">
      <c r="A39" s="2"/>
      <c r="B39" s="2"/>
      <c r="C39" s="183" t="s">
        <v>316</v>
      </c>
      <c r="D39" s="185"/>
      <c r="E39" s="185"/>
      <c r="F39" s="184"/>
      <c r="G39" s="183" t="s">
        <v>193</v>
      </c>
      <c r="H39" s="185"/>
      <c r="I39" s="184"/>
      <c r="J39" s="311" t="s">
        <v>315</v>
      </c>
      <c r="K39" s="312"/>
      <c r="L39" s="312"/>
      <c r="M39" s="312"/>
      <c r="N39" s="312"/>
      <c r="O39" s="312"/>
      <c r="P39" s="312"/>
      <c r="Q39" s="312"/>
      <c r="R39" s="312"/>
      <c r="S39" s="312"/>
      <c r="T39" s="312"/>
      <c r="U39" s="312"/>
      <c r="V39" s="312"/>
      <c r="W39" s="312"/>
      <c r="X39" s="312"/>
      <c r="Y39" s="312"/>
      <c r="Z39" s="312"/>
      <c r="AA39" s="312"/>
      <c r="AB39" s="313"/>
      <c r="AC39" s="183" t="s">
        <v>148</v>
      </c>
      <c r="AD39" s="185"/>
      <c r="AE39" s="185"/>
      <c r="AF39" s="184"/>
      <c r="AG39" s="2"/>
    </row>
    <row r="40" spans="1:33" x14ac:dyDescent="0.2">
      <c r="A40" s="2"/>
      <c r="B40" s="2"/>
      <c r="C40" s="183" t="s">
        <v>183</v>
      </c>
      <c r="D40" s="185"/>
      <c r="E40" s="185"/>
      <c r="F40" s="184"/>
      <c r="G40" s="183" t="s">
        <v>194</v>
      </c>
      <c r="H40" s="185"/>
      <c r="I40" s="184"/>
      <c r="J40" s="311" t="s">
        <v>317</v>
      </c>
      <c r="K40" s="312"/>
      <c r="L40" s="312"/>
      <c r="M40" s="312"/>
      <c r="N40" s="312"/>
      <c r="O40" s="312"/>
      <c r="P40" s="312"/>
      <c r="Q40" s="312"/>
      <c r="R40" s="312"/>
      <c r="S40" s="312"/>
      <c r="T40" s="312"/>
      <c r="U40" s="312"/>
      <c r="V40" s="312"/>
      <c r="W40" s="312"/>
      <c r="X40" s="312"/>
      <c r="Y40" s="312"/>
      <c r="Z40" s="312"/>
      <c r="AA40" s="312"/>
      <c r="AB40" s="313"/>
      <c r="AC40" s="183" t="s">
        <v>148</v>
      </c>
      <c r="AD40" s="185"/>
      <c r="AE40" s="185"/>
      <c r="AF40" s="184"/>
      <c r="AG40" s="2"/>
    </row>
    <row r="41" spans="1:33" x14ac:dyDescent="0.2">
      <c r="A41" s="2"/>
      <c r="B41" s="2"/>
      <c r="C41" s="183" t="s">
        <v>184</v>
      </c>
      <c r="D41" s="185"/>
      <c r="E41" s="185"/>
      <c r="F41" s="184"/>
      <c r="G41" s="183" t="s">
        <v>195</v>
      </c>
      <c r="H41" s="185"/>
      <c r="I41" s="184"/>
      <c r="J41" s="311" t="s">
        <v>318</v>
      </c>
      <c r="K41" s="312"/>
      <c r="L41" s="312"/>
      <c r="M41" s="312"/>
      <c r="N41" s="312"/>
      <c r="O41" s="312"/>
      <c r="P41" s="312"/>
      <c r="Q41" s="312"/>
      <c r="R41" s="312"/>
      <c r="S41" s="312"/>
      <c r="T41" s="312"/>
      <c r="U41" s="312"/>
      <c r="V41" s="312"/>
      <c r="W41" s="312"/>
      <c r="X41" s="312"/>
      <c r="Y41" s="312"/>
      <c r="Z41" s="312"/>
      <c r="AA41" s="312"/>
      <c r="AB41" s="313"/>
      <c r="AC41" s="183" t="s">
        <v>148</v>
      </c>
      <c r="AD41" s="185"/>
      <c r="AE41" s="185"/>
      <c r="AF41" s="184"/>
      <c r="AG41" s="2"/>
    </row>
    <row r="42" spans="1:33" x14ac:dyDescent="0.2">
      <c r="A42" s="2"/>
      <c r="B42" s="2"/>
      <c r="C42" s="183" t="s">
        <v>185</v>
      </c>
      <c r="D42" s="185"/>
      <c r="E42" s="185"/>
      <c r="F42" s="184"/>
      <c r="G42" s="183" t="s">
        <v>196</v>
      </c>
      <c r="H42" s="185"/>
      <c r="I42" s="184"/>
      <c r="J42" s="311" t="s">
        <v>319</v>
      </c>
      <c r="K42" s="312"/>
      <c r="L42" s="312"/>
      <c r="M42" s="312"/>
      <c r="N42" s="312"/>
      <c r="O42" s="312"/>
      <c r="P42" s="312"/>
      <c r="Q42" s="312"/>
      <c r="R42" s="312"/>
      <c r="S42" s="312"/>
      <c r="T42" s="312"/>
      <c r="U42" s="312"/>
      <c r="V42" s="312"/>
      <c r="W42" s="312"/>
      <c r="X42" s="312"/>
      <c r="Y42" s="312"/>
      <c r="Z42" s="312"/>
      <c r="AA42" s="312"/>
      <c r="AB42" s="313"/>
      <c r="AC42" s="183" t="s">
        <v>148</v>
      </c>
      <c r="AD42" s="185"/>
      <c r="AE42" s="185"/>
      <c r="AF42" s="184"/>
      <c r="AG42" s="2"/>
    </row>
    <row r="43" spans="1:33" x14ac:dyDescent="0.2">
      <c r="A43" s="2"/>
      <c r="B43" s="2"/>
      <c r="C43" s="183" t="s">
        <v>186</v>
      </c>
      <c r="D43" s="185"/>
      <c r="E43" s="185"/>
      <c r="F43" s="184"/>
      <c r="G43" s="183" t="s">
        <v>197</v>
      </c>
      <c r="H43" s="185"/>
      <c r="I43" s="184"/>
      <c r="J43" s="311" t="s">
        <v>320</v>
      </c>
      <c r="K43" s="312"/>
      <c r="L43" s="312"/>
      <c r="M43" s="312"/>
      <c r="N43" s="312"/>
      <c r="O43" s="312"/>
      <c r="P43" s="312"/>
      <c r="Q43" s="312"/>
      <c r="R43" s="312"/>
      <c r="S43" s="312"/>
      <c r="T43" s="312"/>
      <c r="U43" s="312"/>
      <c r="V43" s="312"/>
      <c r="W43" s="312"/>
      <c r="X43" s="312"/>
      <c r="Y43" s="312"/>
      <c r="Z43" s="312"/>
      <c r="AA43" s="312"/>
      <c r="AB43" s="313"/>
      <c r="AC43" s="183" t="s">
        <v>148</v>
      </c>
      <c r="AD43" s="185"/>
      <c r="AE43" s="185"/>
      <c r="AF43" s="184"/>
      <c r="AG43" s="2"/>
    </row>
    <row r="44" spans="1:33" x14ac:dyDescent="0.2">
      <c r="A44" s="2"/>
      <c r="B44" s="2"/>
      <c r="C44" s="183" t="s">
        <v>187</v>
      </c>
      <c r="D44" s="185"/>
      <c r="E44" s="185"/>
      <c r="F44" s="184"/>
      <c r="G44" s="183" t="s">
        <v>198</v>
      </c>
      <c r="H44" s="185"/>
      <c r="I44" s="184"/>
      <c r="J44" s="311" t="s">
        <v>321</v>
      </c>
      <c r="K44" s="312"/>
      <c r="L44" s="312"/>
      <c r="M44" s="312"/>
      <c r="N44" s="312"/>
      <c r="O44" s="312"/>
      <c r="P44" s="312"/>
      <c r="Q44" s="312"/>
      <c r="R44" s="312"/>
      <c r="S44" s="312"/>
      <c r="T44" s="312"/>
      <c r="U44" s="312"/>
      <c r="V44" s="312"/>
      <c r="W44" s="312"/>
      <c r="X44" s="312"/>
      <c r="Y44" s="312"/>
      <c r="Z44" s="312"/>
      <c r="AA44" s="312"/>
      <c r="AB44" s="313"/>
      <c r="AC44" s="183" t="s">
        <v>148</v>
      </c>
      <c r="AD44" s="185"/>
      <c r="AE44" s="185"/>
      <c r="AF44" s="184"/>
      <c r="AG44" s="2"/>
    </row>
    <row r="45" spans="1:33" ht="15" customHeight="1" x14ac:dyDescent="0.2">
      <c r="A45" s="2"/>
      <c r="B45" s="2"/>
      <c r="C45" s="183" t="s">
        <v>188</v>
      </c>
      <c r="D45" s="185"/>
      <c r="E45" s="185"/>
      <c r="F45" s="184"/>
      <c r="G45" s="183" t="s">
        <v>199</v>
      </c>
      <c r="H45" s="185"/>
      <c r="I45" s="184"/>
      <c r="J45" s="311" t="s">
        <v>322</v>
      </c>
      <c r="K45" s="312"/>
      <c r="L45" s="312"/>
      <c r="M45" s="312"/>
      <c r="N45" s="312"/>
      <c r="O45" s="312"/>
      <c r="P45" s="312"/>
      <c r="Q45" s="312"/>
      <c r="R45" s="312"/>
      <c r="S45" s="312"/>
      <c r="T45" s="312"/>
      <c r="U45" s="312"/>
      <c r="V45" s="312"/>
      <c r="W45" s="312"/>
      <c r="X45" s="312"/>
      <c r="Y45" s="312"/>
      <c r="Z45" s="312"/>
      <c r="AA45" s="312"/>
      <c r="AB45" s="313"/>
      <c r="AC45" s="183" t="s">
        <v>148</v>
      </c>
      <c r="AD45" s="185"/>
      <c r="AE45" s="185"/>
      <c r="AF45" s="184"/>
      <c r="AG45" s="2"/>
    </row>
    <row r="46" spans="1:33" ht="15.75" customHeight="1" x14ac:dyDescent="0.2">
      <c r="A46" s="2"/>
      <c r="B46" s="2"/>
      <c r="C46" s="183" t="s">
        <v>189</v>
      </c>
      <c r="D46" s="185"/>
      <c r="E46" s="185"/>
      <c r="F46" s="184"/>
      <c r="G46" s="183" t="s">
        <v>200</v>
      </c>
      <c r="H46" s="185"/>
      <c r="I46" s="184"/>
      <c r="J46" s="311" t="s">
        <v>323</v>
      </c>
      <c r="K46" s="312"/>
      <c r="L46" s="312"/>
      <c r="M46" s="312"/>
      <c r="N46" s="312"/>
      <c r="O46" s="312"/>
      <c r="P46" s="312"/>
      <c r="Q46" s="312"/>
      <c r="R46" s="312"/>
      <c r="S46" s="312"/>
      <c r="T46" s="312"/>
      <c r="U46" s="312"/>
      <c r="V46" s="312"/>
      <c r="W46" s="312"/>
      <c r="X46" s="312"/>
      <c r="Y46" s="312"/>
      <c r="Z46" s="312"/>
      <c r="AA46" s="312"/>
      <c r="AB46" s="313"/>
      <c r="AC46" s="183" t="s">
        <v>148</v>
      </c>
      <c r="AD46" s="185"/>
      <c r="AE46" s="185"/>
      <c r="AF46" s="184"/>
      <c r="AG46" s="2"/>
    </row>
    <row r="47" spans="1:33" x14ac:dyDescent="0.2">
      <c r="A47" s="2"/>
      <c r="B47" s="2"/>
      <c r="C47" s="323" t="s">
        <v>190</v>
      </c>
      <c r="D47" s="324"/>
      <c r="E47" s="324"/>
      <c r="F47" s="325"/>
      <c r="G47" s="323" t="s">
        <v>201</v>
      </c>
      <c r="H47" s="324"/>
      <c r="I47" s="325"/>
      <c r="J47" s="326" t="s">
        <v>328</v>
      </c>
      <c r="K47" s="327"/>
      <c r="L47" s="327"/>
      <c r="M47" s="327"/>
      <c r="N47" s="327"/>
      <c r="O47" s="327"/>
      <c r="P47" s="327"/>
      <c r="Q47" s="327"/>
      <c r="R47" s="327"/>
      <c r="S47" s="327"/>
      <c r="T47" s="327"/>
      <c r="U47" s="327"/>
      <c r="V47" s="327"/>
      <c r="W47" s="327"/>
      <c r="X47" s="327"/>
      <c r="Y47" s="327"/>
      <c r="Z47" s="327"/>
      <c r="AA47" s="327"/>
      <c r="AB47" s="328"/>
      <c r="AC47" s="323" t="s">
        <v>148</v>
      </c>
      <c r="AD47" s="324"/>
      <c r="AE47" s="324"/>
      <c r="AF47" s="325"/>
      <c r="AG47" s="2"/>
    </row>
    <row r="48" spans="1:33" x14ac:dyDescent="0.2">
      <c r="A48" s="2"/>
      <c r="B48" s="2"/>
      <c r="C48" s="183" t="s">
        <v>191</v>
      </c>
      <c r="D48" s="185"/>
      <c r="E48" s="185"/>
      <c r="F48" s="184"/>
      <c r="G48" s="183" t="s">
        <v>202</v>
      </c>
      <c r="H48" s="185"/>
      <c r="I48" s="184"/>
      <c r="J48" s="311" t="s">
        <v>329</v>
      </c>
      <c r="K48" s="312"/>
      <c r="L48" s="312"/>
      <c r="M48" s="312"/>
      <c r="N48" s="312"/>
      <c r="O48" s="312"/>
      <c r="P48" s="312"/>
      <c r="Q48" s="312"/>
      <c r="R48" s="312"/>
      <c r="S48" s="312"/>
      <c r="T48" s="312"/>
      <c r="U48" s="312"/>
      <c r="V48" s="312"/>
      <c r="W48" s="312"/>
      <c r="X48" s="312"/>
      <c r="Y48" s="312"/>
      <c r="Z48" s="312"/>
      <c r="AA48" s="312"/>
      <c r="AB48" s="313"/>
      <c r="AC48" s="183" t="s">
        <v>148</v>
      </c>
      <c r="AD48" s="185"/>
      <c r="AE48" s="185"/>
      <c r="AF48" s="184"/>
      <c r="AG48" s="2"/>
    </row>
    <row r="49" spans="1:33" x14ac:dyDescent="0.2">
      <c r="A49" s="2"/>
      <c r="B49" s="2"/>
      <c r="C49" s="183" t="s">
        <v>192</v>
      </c>
      <c r="D49" s="185"/>
      <c r="E49" s="185"/>
      <c r="F49" s="184"/>
      <c r="G49" s="183" t="s">
        <v>326</v>
      </c>
      <c r="H49" s="185"/>
      <c r="I49" s="184"/>
      <c r="J49" s="311" t="s">
        <v>330</v>
      </c>
      <c r="K49" s="312"/>
      <c r="L49" s="312"/>
      <c r="M49" s="312"/>
      <c r="N49" s="312"/>
      <c r="O49" s="312"/>
      <c r="P49" s="312"/>
      <c r="Q49" s="312"/>
      <c r="R49" s="312"/>
      <c r="S49" s="312"/>
      <c r="T49" s="312"/>
      <c r="U49" s="312"/>
      <c r="V49" s="312"/>
      <c r="W49" s="312"/>
      <c r="X49" s="312"/>
      <c r="Y49" s="312"/>
      <c r="Z49" s="312"/>
      <c r="AA49" s="312"/>
      <c r="AB49" s="313"/>
      <c r="AC49" s="183" t="s">
        <v>148</v>
      </c>
      <c r="AD49" s="185"/>
      <c r="AE49" s="185"/>
      <c r="AF49" s="184"/>
      <c r="AG49" s="2"/>
    </row>
    <row r="50" spans="1:33" ht="15" thickBot="1" x14ac:dyDescent="0.25">
      <c r="A50" s="2"/>
      <c r="B50" s="2"/>
      <c r="C50" s="242" t="s">
        <v>325</v>
      </c>
      <c r="D50" s="243"/>
      <c r="E50" s="243"/>
      <c r="F50" s="244"/>
      <c r="G50" s="242" t="s">
        <v>327</v>
      </c>
      <c r="H50" s="243"/>
      <c r="I50" s="244"/>
      <c r="J50" s="332" t="s">
        <v>331</v>
      </c>
      <c r="K50" s="333"/>
      <c r="L50" s="333"/>
      <c r="M50" s="333"/>
      <c r="N50" s="333"/>
      <c r="O50" s="333"/>
      <c r="P50" s="333"/>
      <c r="Q50" s="333"/>
      <c r="R50" s="333"/>
      <c r="S50" s="333"/>
      <c r="T50" s="333"/>
      <c r="U50" s="333"/>
      <c r="V50" s="333"/>
      <c r="W50" s="333"/>
      <c r="X50" s="333"/>
      <c r="Y50" s="333"/>
      <c r="Z50" s="333"/>
      <c r="AA50" s="333"/>
      <c r="AB50" s="334"/>
      <c r="AC50" s="242" t="s">
        <v>148</v>
      </c>
      <c r="AD50" s="243"/>
      <c r="AE50" s="243"/>
      <c r="AF50" s="244"/>
      <c r="AG50" s="2"/>
    </row>
    <row r="51" spans="1:33" x14ac:dyDescent="0.2">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row>
    <row r="52" spans="1:33" x14ac:dyDescent="0.2">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row>
    <row r="53" spans="1:33" x14ac:dyDescent="0.2">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row>
    <row r="54" spans="1:33" ht="15" x14ac:dyDescent="0.25">
      <c r="B54" s="4" t="s">
        <v>1191</v>
      </c>
    </row>
    <row r="55" spans="1:33" s="2" customFormat="1" ht="12.75" x14ac:dyDescent="0.2">
      <c r="B55" s="2" t="s">
        <v>865</v>
      </c>
    </row>
    <row r="56" spans="1:33" s="2" customFormat="1" ht="12.75" x14ac:dyDescent="0.2">
      <c r="B56" s="18"/>
    </row>
    <row r="57" spans="1:33" s="2" customFormat="1" ht="12.75" x14ac:dyDescent="0.2">
      <c r="B57" s="18"/>
    </row>
    <row r="58" spans="1:33" s="2" customFormat="1" ht="12.75" x14ac:dyDescent="0.2">
      <c r="B58" s="18"/>
      <c r="C58" s="48" t="s">
        <v>1192</v>
      </c>
    </row>
    <row r="59" spans="1:33" s="2" customFormat="1" ht="12.75" x14ac:dyDescent="0.2">
      <c r="B59" s="18"/>
      <c r="C59" s="232" t="s">
        <v>1410</v>
      </c>
      <c r="D59" s="232"/>
      <c r="E59" s="232"/>
      <c r="F59" s="232"/>
      <c r="G59" s="232"/>
      <c r="H59" s="232"/>
      <c r="I59" s="232"/>
      <c r="J59" s="232"/>
      <c r="K59" s="232"/>
      <c r="L59" s="232"/>
      <c r="M59" s="232"/>
      <c r="N59" s="232"/>
      <c r="O59" s="232"/>
      <c r="P59" s="232"/>
      <c r="Q59" s="232"/>
      <c r="R59" s="232"/>
      <c r="S59" s="232"/>
      <c r="T59" s="232"/>
      <c r="U59" s="232"/>
      <c r="V59" s="232"/>
      <c r="W59" s="232"/>
      <c r="X59" s="232"/>
      <c r="Y59" s="232"/>
      <c r="Z59" s="232"/>
      <c r="AA59" s="232"/>
      <c r="AB59" s="232"/>
      <c r="AC59" s="232"/>
      <c r="AD59" s="232"/>
      <c r="AE59" s="232"/>
      <c r="AF59" s="232"/>
      <c r="AG59" s="232"/>
    </row>
    <row r="60" spans="1:33" s="2" customFormat="1" ht="12.75" x14ac:dyDescent="0.2">
      <c r="B60" s="18"/>
      <c r="C60" s="232"/>
      <c r="D60" s="232"/>
      <c r="E60" s="232"/>
      <c r="F60" s="232"/>
      <c r="G60" s="232"/>
      <c r="H60" s="232"/>
      <c r="I60" s="232"/>
      <c r="J60" s="232"/>
      <c r="K60" s="232"/>
      <c r="L60" s="232"/>
      <c r="M60" s="232"/>
      <c r="N60" s="232"/>
      <c r="O60" s="232"/>
      <c r="P60" s="232"/>
      <c r="Q60" s="232"/>
      <c r="R60" s="232"/>
      <c r="S60" s="232"/>
      <c r="T60" s="232"/>
      <c r="U60" s="232"/>
      <c r="V60" s="232"/>
      <c r="W60" s="232"/>
      <c r="X60" s="232"/>
      <c r="Y60" s="232"/>
      <c r="Z60" s="232"/>
      <c r="AA60" s="232"/>
      <c r="AB60" s="232"/>
      <c r="AC60" s="232"/>
      <c r="AD60" s="232"/>
      <c r="AE60" s="232"/>
      <c r="AF60" s="232"/>
      <c r="AG60" s="232"/>
    </row>
    <row r="61" spans="1:33" s="2" customFormat="1" ht="12.75" x14ac:dyDescent="0.2">
      <c r="B61" s="18"/>
      <c r="C61" s="2" t="s">
        <v>457</v>
      </c>
    </row>
    <row r="62" spans="1:33" s="2" customFormat="1" ht="12.75" x14ac:dyDescent="0.2">
      <c r="B62" s="18"/>
    </row>
    <row r="63" spans="1:33" s="2" customFormat="1" ht="12.75" x14ac:dyDescent="0.2">
      <c r="B63" s="18"/>
    </row>
    <row r="64" spans="1:33" s="2" customFormat="1" ht="15" x14ac:dyDescent="0.25">
      <c r="B64" s="18"/>
      <c r="H64" s="233" t="s">
        <v>367</v>
      </c>
      <c r="I64" s="234"/>
      <c r="J64" s="234"/>
      <c r="K64" s="235"/>
      <c r="L64" s="233" t="s">
        <v>368</v>
      </c>
      <c r="M64" s="234"/>
      <c r="N64" s="234"/>
      <c r="O64" s="235"/>
      <c r="P64" s="233" t="s">
        <v>369</v>
      </c>
      <c r="Q64" s="234"/>
      <c r="R64" s="234"/>
      <c r="S64" s="235"/>
      <c r="T64" s="233" t="s">
        <v>370</v>
      </c>
      <c r="U64" s="234"/>
      <c r="V64" s="234"/>
      <c r="W64" s="235"/>
      <c r="AB64"/>
      <c r="AC64"/>
      <c r="AD64"/>
      <c r="AE64"/>
      <c r="AF64"/>
    </row>
    <row r="65" spans="2:34" s="2" customFormat="1" ht="15" x14ac:dyDescent="0.25">
      <c r="B65" s="18"/>
      <c r="D65" s="233" t="s">
        <v>361</v>
      </c>
      <c r="E65" s="234"/>
      <c r="F65" s="234"/>
      <c r="G65" s="235"/>
      <c r="H65" s="293">
        <f>'6. Pump Info'!H134</f>
        <v>3</v>
      </c>
      <c r="I65" s="234"/>
      <c r="J65" s="234"/>
      <c r="K65" s="235"/>
      <c r="L65" s="293">
        <f>'6. Pump Info'!L134</f>
        <v>1.8</v>
      </c>
      <c r="M65" s="234"/>
      <c r="N65" s="234"/>
      <c r="O65" s="235"/>
      <c r="P65" s="293">
        <f>'6. Pump Info'!P134</f>
        <v>0.9</v>
      </c>
      <c r="Q65" s="234"/>
      <c r="R65" s="234"/>
      <c r="S65" s="235"/>
      <c r="T65" s="293">
        <f>H65*L65*P65</f>
        <v>4.8600000000000003</v>
      </c>
      <c r="U65" s="294"/>
      <c r="V65" s="294"/>
      <c r="W65" s="295"/>
      <c r="AB65"/>
      <c r="AC65"/>
      <c r="AD65"/>
      <c r="AE65"/>
      <c r="AF65"/>
    </row>
    <row r="66" spans="2:34" s="2" customFormat="1" ht="15" x14ac:dyDescent="0.25">
      <c r="B66" s="18"/>
      <c r="D66" s="233" t="s">
        <v>1193</v>
      </c>
      <c r="E66" s="234"/>
      <c r="F66" s="234"/>
      <c r="G66" s="235"/>
      <c r="H66" s="293">
        <f>'6. Pump Info'!J26</f>
        <v>2.7240000000000002</v>
      </c>
      <c r="I66" s="294"/>
      <c r="J66" s="294"/>
      <c r="K66" s="295"/>
      <c r="L66" s="233">
        <f>'6. Pump Info'!J27</f>
        <v>1.48</v>
      </c>
      <c r="M66" s="234"/>
      <c r="N66" s="234"/>
      <c r="O66" s="235"/>
      <c r="P66" s="293">
        <f>(0.165+0.222)/2</f>
        <v>0.19350000000000001</v>
      </c>
      <c r="Q66" s="294"/>
      <c r="R66" s="294"/>
      <c r="S66" s="295"/>
      <c r="T66" s="293">
        <f>H66*L66*P66</f>
        <v>0.78009912000000015</v>
      </c>
      <c r="U66" s="294"/>
      <c r="V66" s="294"/>
      <c r="W66" s="295"/>
      <c r="AB66"/>
      <c r="AC66"/>
      <c r="AD66"/>
      <c r="AE66"/>
      <c r="AF66"/>
    </row>
    <row r="67" spans="2:34" s="2" customFormat="1" ht="15" x14ac:dyDescent="0.25">
      <c r="B67" s="18"/>
      <c r="D67" s="233" t="s">
        <v>371</v>
      </c>
      <c r="E67" s="234"/>
      <c r="F67" s="234"/>
      <c r="G67" s="235"/>
      <c r="H67" s="293">
        <f>'6. Pump Info'!H135</f>
        <v>3</v>
      </c>
      <c r="I67" s="234"/>
      <c r="J67" s="234"/>
      <c r="K67" s="235"/>
      <c r="L67" s="293">
        <f>'6. Pump Info'!L135</f>
        <v>1.8</v>
      </c>
      <c r="M67" s="234"/>
      <c r="N67" s="234"/>
      <c r="O67" s="235"/>
      <c r="P67" s="293">
        <f>'6. Pump Info'!P135</f>
        <v>0.04</v>
      </c>
      <c r="Q67" s="234"/>
      <c r="R67" s="234"/>
      <c r="S67" s="235"/>
      <c r="T67" s="293">
        <f>H67*L67*P67</f>
        <v>0.21600000000000003</v>
      </c>
      <c r="U67" s="294"/>
      <c r="V67" s="294"/>
      <c r="W67" s="295"/>
      <c r="AB67"/>
      <c r="AC67"/>
      <c r="AD67"/>
      <c r="AE67"/>
      <c r="AF67"/>
    </row>
    <row r="68" spans="2:34" s="2" customFormat="1" ht="15" x14ac:dyDescent="0.25">
      <c r="B68" s="18"/>
      <c r="S68" s="21" t="s">
        <v>362</v>
      </c>
      <c r="T68" s="304">
        <f>SUM(T64:W67)</f>
        <v>5.8560991200000005</v>
      </c>
      <c r="U68" s="304"/>
      <c r="V68" s="304"/>
      <c r="W68" s="304"/>
      <c r="X68" s="2" t="s">
        <v>373</v>
      </c>
      <c r="AB68"/>
      <c r="AC68"/>
      <c r="AD68"/>
      <c r="AE68"/>
      <c r="AF68"/>
    </row>
    <row r="69" spans="2:34" s="2" customFormat="1" ht="15" x14ac:dyDescent="0.25">
      <c r="B69" s="18"/>
      <c r="AB69"/>
      <c r="AC69"/>
      <c r="AD69"/>
      <c r="AE69"/>
      <c r="AF69"/>
    </row>
    <row r="70" spans="2:34" s="2" customFormat="1" ht="14.25" customHeight="1" x14ac:dyDescent="0.2">
      <c r="B70" s="18"/>
      <c r="E70" s="1"/>
      <c r="M70" s="21" t="s">
        <v>363</v>
      </c>
      <c r="N70" s="231">
        <f>'6. Pump Info'!M138</f>
        <v>23.544</v>
      </c>
      <c r="O70" s="231"/>
      <c r="P70" s="231"/>
      <c r="Q70" s="2" t="s">
        <v>372</v>
      </c>
      <c r="U70" s="232" t="s">
        <v>1398</v>
      </c>
      <c r="V70" s="232"/>
      <c r="W70" s="232"/>
      <c r="X70" s="232"/>
      <c r="Y70" s="232"/>
      <c r="Z70" s="232"/>
      <c r="AA70" s="232"/>
      <c r="AB70" s="232"/>
      <c r="AC70" s="232"/>
      <c r="AD70" s="232"/>
      <c r="AE70" s="232"/>
      <c r="AF70" s="232"/>
      <c r="AG70" s="232"/>
      <c r="AH70" s="23"/>
    </row>
    <row r="71" spans="2:34" s="2" customFormat="1" x14ac:dyDescent="0.2">
      <c r="B71" s="18"/>
      <c r="E71" s="1"/>
      <c r="M71" s="21" t="s">
        <v>364</v>
      </c>
      <c r="N71" s="283">
        <f>T68*N70</f>
        <v>137.87599768128001</v>
      </c>
      <c r="O71" s="283"/>
      <c r="P71" s="283"/>
      <c r="Q71" s="2" t="s">
        <v>335</v>
      </c>
      <c r="U71" s="232"/>
      <c r="V71" s="232"/>
      <c r="W71" s="232"/>
      <c r="X71" s="232"/>
      <c r="Y71" s="232"/>
      <c r="Z71" s="232"/>
      <c r="AA71" s="232"/>
      <c r="AB71" s="232"/>
      <c r="AC71" s="232"/>
      <c r="AD71" s="232"/>
      <c r="AE71" s="232"/>
      <c r="AF71" s="232"/>
      <c r="AG71" s="232"/>
      <c r="AH71" s="23"/>
    </row>
    <row r="72" spans="2:34" s="2" customFormat="1" ht="12.75" x14ac:dyDescent="0.2">
      <c r="B72" s="18"/>
    </row>
    <row r="73" spans="2:34" s="2" customFormat="1" ht="12.75" x14ac:dyDescent="0.2">
      <c r="B73" s="18"/>
    </row>
    <row r="74" spans="2:34" s="2" customFormat="1" ht="12.75" x14ac:dyDescent="0.2">
      <c r="B74" s="18"/>
    </row>
    <row r="75" spans="2:34" s="2" customFormat="1" ht="12.75" x14ac:dyDescent="0.2">
      <c r="B75" s="18"/>
      <c r="C75" s="48" t="s">
        <v>1194</v>
      </c>
    </row>
    <row r="76" spans="2:34" s="2" customFormat="1" ht="12.75" x14ac:dyDescent="0.2">
      <c r="B76" s="18"/>
      <c r="C76" s="2" t="s">
        <v>867</v>
      </c>
    </row>
    <row r="77" spans="2:34" s="2" customFormat="1" ht="12.75" x14ac:dyDescent="0.2">
      <c r="B77" s="18"/>
      <c r="C77" s="2" t="s">
        <v>1016</v>
      </c>
    </row>
    <row r="78" spans="2:34" s="2" customFormat="1" ht="12.75" x14ac:dyDescent="0.2">
      <c r="B78" s="18"/>
    </row>
    <row r="79" spans="2:34" s="2" customFormat="1" ht="12.75" x14ac:dyDescent="0.2">
      <c r="B79" s="18"/>
    </row>
    <row r="80" spans="2:34" s="2" customFormat="1" ht="12.75" x14ac:dyDescent="0.2">
      <c r="B80" s="18"/>
    </row>
    <row r="81" spans="2:34" s="2" customFormat="1" ht="12.75" x14ac:dyDescent="0.2">
      <c r="B81" s="18"/>
    </row>
    <row r="82" spans="2:34" s="2" customFormat="1" ht="12.75" x14ac:dyDescent="0.2">
      <c r="B82" s="18"/>
      <c r="C82" s="48" t="s">
        <v>1195</v>
      </c>
    </row>
    <row r="83" spans="2:34" s="2" customFormat="1" ht="12.75" x14ac:dyDescent="0.2">
      <c r="B83" s="18"/>
      <c r="C83" s="2" t="s">
        <v>459</v>
      </c>
    </row>
    <row r="84" spans="2:34" s="2" customFormat="1" ht="12.75" x14ac:dyDescent="0.2">
      <c r="B84" s="18"/>
      <c r="C84" s="2" t="s">
        <v>866</v>
      </c>
    </row>
    <row r="85" spans="2:34" s="2" customFormat="1" ht="12.75" x14ac:dyDescent="0.2">
      <c r="B85" s="18"/>
    </row>
    <row r="86" spans="2:34" s="2" customFormat="1" ht="12.75" x14ac:dyDescent="0.2">
      <c r="B86" s="18"/>
      <c r="AH86" s="48" t="s">
        <v>479</v>
      </c>
    </row>
    <row r="87" spans="2:34" s="2" customFormat="1" ht="12.75" x14ac:dyDescent="0.2">
      <c r="B87" s="18"/>
      <c r="AH87" s="2" t="s">
        <v>458</v>
      </c>
    </row>
    <row r="88" spans="2:34" s="2" customFormat="1" ht="12.75" x14ac:dyDescent="0.2">
      <c r="B88" s="18"/>
      <c r="C88" s="48" t="s">
        <v>1196</v>
      </c>
      <c r="AH88" s="48" t="s">
        <v>460</v>
      </c>
    </row>
    <row r="89" spans="2:34" s="2" customFormat="1" ht="12.75" x14ac:dyDescent="0.2">
      <c r="B89" s="18"/>
      <c r="C89" s="48"/>
      <c r="AH89" s="2" t="s">
        <v>458</v>
      </c>
    </row>
    <row r="90" spans="2:34" s="2" customFormat="1" ht="12.75" x14ac:dyDescent="0.2">
      <c r="B90" s="18"/>
      <c r="C90" s="48"/>
      <c r="D90" s="2" t="s">
        <v>474</v>
      </c>
      <c r="AH90" s="48" t="s">
        <v>461</v>
      </c>
    </row>
    <row r="91" spans="2:34" s="2" customFormat="1" ht="12.75" x14ac:dyDescent="0.2">
      <c r="B91" s="18"/>
      <c r="C91" s="48"/>
      <c r="D91" s="2" t="s">
        <v>475</v>
      </c>
      <c r="AH91" s="2" t="s">
        <v>458</v>
      </c>
    </row>
    <row r="92" spans="2:34" s="2" customFormat="1" ht="12.75" x14ac:dyDescent="0.2">
      <c r="B92" s="18"/>
      <c r="C92" s="48"/>
      <c r="D92" s="2" t="s">
        <v>476</v>
      </c>
      <c r="AH92" s="48" t="s">
        <v>462</v>
      </c>
    </row>
    <row r="93" spans="2:34" s="2" customFormat="1" ht="12.75" x14ac:dyDescent="0.2">
      <c r="B93" s="18"/>
      <c r="C93" s="48"/>
      <c r="D93" s="2" t="s">
        <v>477</v>
      </c>
      <c r="AH93" s="2" t="s">
        <v>458</v>
      </c>
    </row>
    <row r="94" spans="2:34" s="2" customFormat="1" ht="12.75" x14ac:dyDescent="0.2">
      <c r="B94" s="18"/>
      <c r="C94" s="48"/>
      <c r="D94" s="2" t="s">
        <v>478</v>
      </c>
      <c r="AH94" s="48" t="s">
        <v>463</v>
      </c>
    </row>
    <row r="95" spans="2:34" s="2" customFormat="1" ht="12.75" x14ac:dyDescent="0.2">
      <c r="B95" s="18"/>
      <c r="C95" s="48"/>
      <c r="D95" s="2" t="s">
        <v>480</v>
      </c>
      <c r="AH95" s="2" t="s">
        <v>458</v>
      </c>
    </row>
    <row r="96" spans="2:34" s="2" customFormat="1" ht="12.75" x14ac:dyDescent="0.2">
      <c r="B96" s="18"/>
      <c r="AH96" s="48" t="s">
        <v>464</v>
      </c>
    </row>
    <row r="97" spans="2:34" s="2" customFormat="1" ht="12.75" x14ac:dyDescent="0.2">
      <c r="B97" s="18"/>
      <c r="C97" s="2" t="s">
        <v>867</v>
      </c>
      <c r="AH97" s="2" t="s">
        <v>458</v>
      </c>
    </row>
    <row r="98" spans="2:34" s="2" customFormat="1" ht="12.75" x14ac:dyDescent="0.2">
      <c r="B98" s="18"/>
      <c r="AH98" s="2" t="s">
        <v>465</v>
      </c>
    </row>
    <row r="99" spans="2:34" s="2" customFormat="1" ht="12.75" x14ac:dyDescent="0.2">
      <c r="B99" s="18"/>
    </row>
    <row r="100" spans="2:34" s="2" customFormat="1" ht="12.75" x14ac:dyDescent="0.2">
      <c r="B100" s="18"/>
      <c r="C100" s="48" t="s">
        <v>1197</v>
      </c>
    </row>
    <row r="101" spans="2:34" s="2" customFormat="1" ht="12.75" x14ac:dyDescent="0.2">
      <c r="B101" s="18"/>
      <c r="C101" s="2" t="s">
        <v>466</v>
      </c>
    </row>
    <row r="102" spans="2:34" s="2" customFormat="1" ht="12.75" x14ac:dyDescent="0.2">
      <c r="B102" s="18"/>
      <c r="C102" s="2" t="s">
        <v>467</v>
      </c>
    </row>
    <row r="103" spans="2:34" s="2" customFormat="1" ht="12.75" x14ac:dyDescent="0.2">
      <c r="B103" s="18"/>
    </row>
    <row r="104" spans="2:34" s="2" customFormat="1" ht="12.75" x14ac:dyDescent="0.2">
      <c r="B104" s="18"/>
    </row>
    <row r="105" spans="2:34" s="2" customFormat="1" ht="12.75" x14ac:dyDescent="0.2">
      <c r="B105" s="18"/>
    </row>
    <row r="106" spans="2:34" s="2" customFormat="1" ht="12.75" x14ac:dyDescent="0.2">
      <c r="B106" s="18"/>
    </row>
    <row r="107" spans="2:34" s="2" customFormat="1" ht="12.75" x14ac:dyDescent="0.2">
      <c r="B107" s="18"/>
    </row>
    <row r="108" spans="2:34" s="2" customFormat="1" ht="12.75" x14ac:dyDescent="0.2">
      <c r="B108" s="18"/>
    </row>
    <row r="109" spans="2:34" s="2" customFormat="1" ht="12.75" x14ac:dyDescent="0.2">
      <c r="B109" s="18"/>
    </row>
    <row r="110" spans="2:34" s="2" customFormat="1" ht="12.75" x14ac:dyDescent="0.2">
      <c r="B110" s="18"/>
    </row>
    <row r="111" spans="2:34" s="2" customFormat="1" ht="12.75" x14ac:dyDescent="0.2">
      <c r="B111" s="18"/>
    </row>
    <row r="112" spans="2:34" s="2" customFormat="1" ht="12.75" x14ac:dyDescent="0.2">
      <c r="B112" s="18"/>
    </row>
    <row r="113" spans="2:15" s="2" customFormat="1" ht="12.75" x14ac:dyDescent="0.2">
      <c r="B113" s="18"/>
      <c r="C113" s="48" t="s">
        <v>1200</v>
      </c>
    </row>
    <row r="114" spans="2:15" s="2" customFormat="1" ht="12.75" x14ac:dyDescent="0.2">
      <c r="B114" s="18"/>
      <c r="C114" s="2" t="s">
        <v>1411</v>
      </c>
    </row>
    <row r="115" spans="2:15" s="2" customFormat="1" ht="12.75" x14ac:dyDescent="0.2">
      <c r="B115" s="18"/>
    </row>
    <row r="116" spans="2:15" s="2" customFormat="1" ht="12.75" x14ac:dyDescent="0.2">
      <c r="B116" s="18"/>
    </row>
    <row r="117" spans="2:15" s="2" customFormat="1" ht="12.75" x14ac:dyDescent="0.2">
      <c r="B117" s="18"/>
    </row>
    <row r="118" spans="2:15" s="2" customFormat="1" ht="12.75" x14ac:dyDescent="0.2">
      <c r="B118" s="18"/>
    </row>
    <row r="119" spans="2:15" s="2" customFormat="1" ht="12.75" x14ac:dyDescent="0.2">
      <c r="B119" s="18"/>
    </row>
    <row r="120" spans="2:15" s="2" customFormat="1" ht="12.75" x14ac:dyDescent="0.2">
      <c r="B120" s="18"/>
    </row>
    <row r="121" spans="2:15" s="2" customFormat="1" ht="12.75" x14ac:dyDescent="0.2">
      <c r="B121" s="18"/>
    </row>
    <row r="122" spans="2:15" s="2" customFormat="1" ht="12.75" x14ac:dyDescent="0.2">
      <c r="B122" s="18"/>
    </row>
    <row r="123" spans="2:15" s="2" customFormat="1" ht="12.75" x14ac:dyDescent="0.2">
      <c r="B123" s="18"/>
    </row>
    <row r="124" spans="2:15" s="2" customFormat="1" ht="12.75" x14ac:dyDescent="0.2">
      <c r="B124" s="18"/>
      <c r="F124" s="21" t="s">
        <v>135</v>
      </c>
      <c r="G124" s="13" t="s">
        <v>332</v>
      </c>
      <c r="H124" s="283">
        <f>'6. Pump Info'!J21</f>
        <v>3739</v>
      </c>
      <c r="I124" s="283"/>
      <c r="J124" s="283"/>
      <c r="K124" s="2" t="s">
        <v>334</v>
      </c>
      <c r="O124" s="2" t="s">
        <v>1202</v>
      </c>
    </row>
    <row r="125" spans="2:15" s="2" customFormat="1" ht="12.75" x14ac:dyDescent="0.2">
      <c r="B125" s="18"/>
      <c r="G125" s="13" t="s">
        <v>332</v>
      </c>
      <c r="H125" s="231">
        <f>H124*9.81/1000</f>
        <v>36.679590000000005</v>
      </c>
      <c r="I125" s="231"/>
      <c r="J125" s="231"/>
      <c r="K125" s="2" t="s">
        <v>335</v>
      </c>
    </row>
    <row r="126" spans="2:15" s="2" customFormat="1" ht="12.75" x14ac:dyDescent="0.2">
      <c r="B126" s="18"/>
    </row>
    <row r="127" spans="2:15" s="2" customFormat="1" ht="12.75" x14ac:dyDescent="0.2">
      <c r="B127" s="18"/>
    </row>
    <row r="128" spans="2:15" s="2" customFormat="1" ht="12.75" x14ac:dyDescent="0.2">
      <c r="B128" s="18"/>
      <c r="C128" s="2" t="s">
        <v>1198</v>
      </c>
    </row>
    <row r="129" spans="2:33" s="2" customFormat="1" ht="12.75" x14ac:dyDescent="0.2">
      <c r="B129" s="18"/>
    </row>
    <row r="130" spans="2:33" s="2" customFormat="1" ht="12.75" x14ac:dyDescent="0.2">
      <c r="B130" s="18"/>
      <c r="C130" s="232" t="s">
        <v>1495</v>
      </c>
      <c r="D130" s="232"/>
      <c r="E130" s="232"/>
      <c r="F130" s="232"/>
      <c r="G130" s="232"/>
      <c r="H130" s="232"/>
      <c r="I130" s="232"/>
      <c r="J130" s="232"/>
      <c r="K130" s="232"/>
      <c r="L130" s="232"/>
      <c r="M130" s="232"/>
      <c r="N130" s="232"/>
      <c r="O130" s="232"/>
      <c r="P130" s="232"/>
      <c r="Q130" s="232"/>
      <c r="R130" s="232"/>
      <c r="S130" s="232"/>
      <c r="T130" s="232"/>
      <c r="U130" s="232"/>
      <c r="V130" s="232"/>
      <c r="W130" s="232"/>
      <c r="X130" s="232"/>
      <c r="Y130" s="232"/>
      <c r="Z130" s="232"/>
      <c r="AA130" s="232"/>
      <c r="AB130" s="232"/>
      <c r="AC130" s="232"/>
      <c r="AD130" s="232"/>
      <c r="AE130" s="232"/>
      <c r="AF130" s="232"/>
      <c r="AG130" s="232"/>
    </row>
    <row r="131" spans="2:33" s="2" customFormat="1" ht="12.75" x14ac:dyDescent="0.2">
      <c r="B131" s="18"/>
      <c r="C131" s="232"/>
      <c r="D131" s="232"/>
      <c r="E131" s="232"/>
      <c r="F131" s="232"/>
      <c r="G131" s="232"/>
      <c r="H131" s="232"/>
      <c r="I131" s="232"/>
      <c r="J131" s="232"/>
      <c r="K131" s="232"/>
      <c r="L131" s="232"/>
      <c r="M131" s="232"/>
      <c r="N131" s="232"/>
      <c r="O131" s="232"/>
      <c r="P131" s="232"/>
      <c r="Q131" s="232"/>
      <c r="R131" s="232"/>
      <c r="S131" s="232"/>
      <c r="T131" s="232"/>
      <c r="U131" s="232"/>
      <c r="V131" s="232"/>
      <c r="W131" s="232"/>
      <c r="X131" s="232"/>
      <c r="Y131" s="232"/>
      <c r="Z131" s="232"/>
      <c r="AA131" s="232"/>
      <c r="AB131" s="232"/>
      <c r="AC131" s="232"/>
      <c r="AD131" s="232"/>
      <c r="AE131" s="232"/>
      <c r="AF131" s="232"/>
      <c r="AG131" s="232"/>
    </row>
    <row r="132" spans="2:33" s="2" customFormat="1" ht="12.75" x14ac:dyDescent="0.2">
      <c r="B132" s="18"/>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4"/>
      <c r="AB132" s="14"/>
      <c r="AC132" s="14"/>
      <c r="AD132" s="14"/>
      <c r="AE132" s="14"/>
      <c r="AF132" s="14"/>
      <c r="AG132" s="14"/>
    </row>
    <row r="133" spans="2:33" s="2" customFormat="1" ht="12.75" x14ac:dyDescent="0.2">
      <c r="B133" s="18"/>
      <c r="C133" s="2" t="s">
        <v>1496</v>
      </c>
    </row>
    <row r="134" spans="2:33" s="2" customFormat="1" ht="12.75" x14ac:dyDescent="0.2">
      <c r="B134" s="18"/>
    </row>
    <row r="135" spans="2:33" s="2" customFormat="1" ht="12.75" x14ac:dyDescent="0.2">
      <c r="B135" s="18"/>
    </row>
    <row r="136" spans="2:33" s="2" customFormat="1" ht="12.75" x14ac:dyDescent="0.2">
      <c r="B136" s="18"/>
    </row>
    <row r="137" spans="2:33" s="2" customFormat="1" ht="12.75" x14ac:dyDescent="0.2">
      <c r="B137" s="18"/>
    </row>
    <row r="138" spans="2:33" s="2" customFormat="1" ht="12.75" x14ac:dyDescent="0.2">
      <c r="B138" s="18"/>
    </row>
    <row r="139" spans="2:33" s="2" customFormat="1" ht="12.75" x14ac:dyDescent="0.2">
      <c r="B139" s="18"/>
    </row>
    <row r="140" spans="2:33" s="2" customFormat="1" ht="12.75" x14ac:dyDescent="0.2">
      <c r="B140" s="18"/>
    </row>
    <row r="141" spans="2:33" s="2" customFormat="1" ht="12.75" x14ac:dyDescent="0.2">
      <c r="B141" s="18"/>
    </row>
    <row r="142" spans="2:33" s="2" customFormat="1" ht="12.75" x14ac:dyDescent="0.2">
      <c r="B142" s="18"/>
    </row>
    <row r="143" spans="2:33" s="2" customFormat="1" ht="12.75" x14ac:dyDescent="0.2">
      <c r="B143" s="18"/>
    </row>
    <row r="144" spans="2:33" s="2" customFormat="1" ht="12.75" x14ac:dyDescent="0.2">
      <c r="B144" s="18"/>
    </row>
    <row r="145" spans="2:15" s="2" customFormat="1" ht="12.75" x14ac:dyDescent="0.2">
      <c r="B145" s="18"/>
    </row>
    <row r="146" spans="2:15" s="2" customFormat="1" ht="12.75" x14ac:dyDescent="0.2">
      <c r="B146" s="18"/>
    </row>
    <row r="147" spans="2:15" s="2" customFormat="1" ht="12.75" x14ac:dyDescent="0.2">
      <c r="B147" s="18"/>
    </row>
    <row r="148" spans="2:15" s="2" customFormat="1" ht="12.75" x14ac:dyDescent="0.2">
      <c r="B148" s="18"/>
      <c r="F148" s="21" t="s">
        <v>135</v>
      </c>
      <c r="G148" s="13" t="s">
        <v>332</v>
      </c>
      <c r="H148" s="231">
        <f>(4828+4828+5131+5131+5131+4828+4828+5131+5131+5131)/1000</f>
        <v>50.097999999999999</v>
      </c>
      <c r="I148" s="231"/>
      <c r="J148" s="231"/>
      <c r="K148" s="2" t="s">
        <v>335</v>
      </c>
      <c r="O148" s="2" t="s">
        <v>1199</v>
      </c>
    </row>
    <row r="149" spans="2:15" s="2" customFormat="1" ht="12.75" x14ac:dyDescent="0.2">
      <c r="B149" s="18"/>
    </row>
    <row r="150" spans="2:15" s="2" customFormat="1" ht="12.75" x14ac:dyDescent="0.2">
      <c r="B150" s="18"/>
    </row>
    <row r="151" spans="2:15" s="2" customFormat="1" ht="12.75" x14ac:dyDescent="0.2">
      <c r="B151" s="18"/>
    </row>
    <row r="152" spans="2:15" s="2" customFormat="1" ht="12.75" x14ac:dyDescent="0.2">
      <c r="B152" s="18"/>
      <c r="C152" s="48" t="s">
        <v>1203</v>
      </c>
    </row>
    <row r="153" spans="2:15" s="2" customFormat="1" ht="12.75" x14ac:dyDescent="0.2">
      <c r="B153" s="18"/>
      <c r="C153" s="2" t="s">
        <v>1201</v>
      </c>
    </row>
    <row r="154" spans="2:15" s="2" customFormat="1" ht="12.75" x14ac:dyDescent="0.2">
      <c r="B154" s="18"/>
    </row>
    <row r="155" spans="2:15" s="2" customFormat="1" ht="12.75" x14ac:dyDescent="0.2">
      <c r="B155" s="18"/>
      <c r="F155" s="21" t="s">
        <v>136</v>
      </c>
      <c r="G155" s="13" t="s">
        <v>332</v>
      </c>
      <c r="H155" s="231">
        <f>H125</f>
        <v>36.679590000000005</v>
      </c>
      <c r="I155" s="231"/>
      <c r="J155" s="231"/>
      <c r="K155" s="2" t="s">
        <v>335</v>
      </c>
      <c r="O155" s="2" t="s">
        <v>1202</v>
      </c>
    </row>
    <row r="156" spans="2:15" s="2" customFormat="1" ht="12.75" x14ac:dyDescent="0.2">
      <c r="B156" s="18"/>
    </row>
    <row r="157" spans="2:15" s="2" customFormat="1" ht="12.75" x14ac:dyDescent="0.2">
      <c r="B157" s="18"/>
    </row>
    <row r="158" spans="2:15" s="2" customFormat="1" ht="12.75" x14ac:dyDescent="0.2">
      <c r="B158" s="18"/>
    </row>
    <row r="159" spans="2:15" s="2" customFormat="1" ht="12.75" x14ac:dyDescent="0.2">
      <c r="B159" s="18"/>
    </row>
    <row r="160" spans="2:15" s="2" customFormat="1" ht="12.75" x14ac:dyDescent="0.2">
      <c r="B160" s="18"/>
      <c r="C160" s="48" t="s">
        <v>1204</v>
      </c>
    </row>
    <row r="161" spans="2:3" s="2" customFormat="1" ht="12.75" x14ac:dyDescent="0.2">
      <c r="B161" s="18"/>
      <c r="C161" s="2" t="s">
        <v>468</v>
      </c>
    </row>
    <row r="162" spans="2:3" s="2" customFormat="1" ht="12.75" x14ac:dyDescent="0.2">
      <c r="B162" s="18"/>
    </row>
    <row r="163" spans="2:3" s="2" customFormat="1" ht="12.75" x14ac:dyDescent="0.2">
      <c r="B163" s="18"/>
    </row>
    <row r="164" spans="2:3" s="2" customFormat="1" ht="12.75" x14ac:dyDescent="0.2">
      <c r="B164" s="18"/>
      <c r="C164" s="48" t="s">
        <v>1205</v>
      </c>
    </row>
    <row r="165" spans="2:3" s="2" customFormat="1" ht="12.75" x14ac:dyDescent="0.2">
      <c r="B165" s="18"/>
      <c r="C165" s="2" t="s">
        <v>868</v>
      </c>
    </row>
    <row r="166" spans="2:3" s="2" customFormat="1" ht="12.75" x14ac:dyDescent="0.2">
      <c r="B166" s="18"/>
    </row>
    <row r="167" spans="2:3" s="2" customFormat="1" ht="12.75" x14ac:dyDescent="0.2">
      <c r="B167" s="18"/>
    </row>
    <row r="168" spans="2:3" s="2" customFormat="1" ht="12.75" x14ac:dyDescent="0.2">
      <c r="B168" s="18"/>
      <c r="C168" s="48" t="s">
        <v>1206</v>
      </c>
    </row>
    <row r="169" spans="2:3" s="2" customFormat="1" ht="12.75" x14ac:dyDescent="0.2">
      <c r="B169" s="18"/>
      <c r="C169" s="2" t="s">
        <v>469</v>
      </c>
    </row>
    <row r="170" spans="2:3" s="2" customFormat="1" ht="12.75" x14ac:dyDescent="0.2">
      <c r="B170" s="18"/>
    </row>
    <row r="171" spans="2:3" s="2" customFormat="1" ht="12.75" x14ac:dyDescent="0.2">
      <c r="B171" s="18"/>
    </row>
    <row r="172" spans="2:3" s="2" customFormat="1" ht="12.75" x14ac:dyDescent="0.2">
      <c r="B172" s="18"/>
    </row>
    <row r="173" spans="2:3" s="2" customFormat="1" ht="12.75" x14ac:dyDescent="0.2">
      <c r="B173" s="18"/>
      <c r="C173" s="48" t="s">
        <v>1207</v>
      </c>
    </row>
    <row r="174" spans="2:3" s="2" customFormat="1" ht="12.75" x14ac:dyDescent="0.2">
      <c r="B174" s="18"/>
      <c r="C174" s="2" t="s">
        <v>469</v>
      </c>
    </row>
    <row r="175" spans="2:3" s="2" customFormat="1" ht="12.75" x14ac:dyDescent="0.2">
      <c r="B175" s="18"/>
    </row>
    <row r="176" spans="2:3" s="2" customFormat="1" ht="12.75" x14ac:dyDescent="0.2">
      <c r="B176" s="18"/>
    </row>
    <row r="177" spans="2:34" s="2" customFormat="1" ht="12.75" x14ac:dyDescent="0.2">
      <c r="B177" s="18"/>
    </row>
    <row r="178" spans="2:34" s="2" customFormat="1" ht="12.75" x14ac:dyDescent="0.2">
      <c r="B178" s="18"/>
      <c r="C178" s="48" t="s">
        <v>1208</v>
      </c>
    </row>
    <row r="179" spans="2:34" s="2" customFormat="1" ht="12.75" x14ac:dyDescent="0.2">
      <c r="B179" s="18"/>
      <c r="C179" s="2" t="s">
        <v>871</v>
      </c>
    </row>
    <row r="180" spans="2:34" s="2" customFormat="1" ht="12.75" x14ac:dyDescent="0.2">
      <c r="B180" s="18"/>
      <c r="C180" s="2" t="s">
        <v>682</v>
      </c>
    </row>
    <row r="181" spans="2:34" s="2" customFormat="1" ht="12.75" x14ac:dyDescent="0.2">
      <c r="B181" s="18"/>
    </row>
    <row r="182" spans="2:34" s="2" customFormat="1" ht="12.75" x14ac:dyDescent="0.2">
      <c r="B182" s="18"/>
    </row>
    <row r="183" spans="2:34" s="2" customFormat="1" ht="12.75" x14ac:dyDescent="0.2">
      <c r="C183" s="16" t="s">
        <v>485</v>
      </c>
    </row>
    <row r="184" spans="2:34" s="2" customFormat="1" ht="12.75" x14ac:dyDescent="0.2">
      <c r="C184" s="2" t="s">
        <v>486</v>
      </c>
    </row>
    <row r="185" spans="2:34" s="2" customFormat="1" ht="12.75" x14ac:dyDescent="0.2"/>
    <row r="186" spans="2:34" x14ac:dyDescent="0.2">
      <c r="B186" s="2"/>
      <c r="C186" s="2"/>
      <c r="D186" s="2"/>
      <c r="E186" s="49" t="s">
        <v>487</v>
      </c>
      <c r="F186" s="50" t="s">
        <v>332</v>
      </c>
      <c r="G186" s="301">
        <v>0.1</v>
      </c>
      <c r="H186" s="301"/>
      <c r="I186" s="301"/>
      <c r="J186" s="2"/>
      <c r="K186" s="2"/>
      <c r="L186" s="2"/>
      <c r="M186" s="2"/>
      <c r="N186" s="49"/>
      <c r="O186" s="50"/>
      <c r="P186" s="301"/>
      <c r="Q186" s="301"/>
      <c r="R186" s="301"/>
      <c r="S186" s="2"/>
      <c r="T186" s="2"/>
      <c r="U186" s="2"/>
      <c r="V186" s="2"/>
      <c r="W186" s="2"/>
      <c r="X186" s="2"/>
      <c r="Y186" s="2"/>
      <c r="Z186" s="2"/>
      <c r="AA186" s="2"/>
      <c r="AB186" s="2"/>
      <c r="AC186" s="2"/>
      <c r="AD186" s="2"/>
      <c r="AE186" s="2"/>
      <c r="AF186" s="2"/>
      <c r="AG186" s="2"/>
      <c r="AH186" s="2"/>
    </row>
    <row r="187" spans="2:34" ht="15.75" x14ac:dyDescent="0.3">
      <c r="B187" s="2"/>
      <c r="C187" s="2"/>
      <c r="D187" s="2"/>
      <c r="E187" s="49" t="s">
        <v>491</v>
      </c>
      <c r="F187" s="50" t="s">
        <v>332</v>
      </c>
      <c r="G187" s="301">
        <v>0.16400000000000001</v>
      </c>
      <c r="H187" s="301"/>
      <c r="I187" s="301"/>
      <c r="J187" s="2"/>
      <c r="K187" s="2"/>
      <c r="L187" s="2"/>
      <c r="M187" s="2"/>
      <c r="N187" s="52" t="s">
        <v>496</v>
      </c>
      <c r="O187" s="50" t="s">
        <v>332</v>
      </c>
      <c r="P187" s="301">
        <f>MAX(G187:I188)</f>
        <v>0.16400000000000001</v>
      </c>
      <c r="Q187" s="301"/>
      <c r="R187" s="301"/>
      <c r="S187" s="2"/>
      <c r="T187" s="17" t="s">
        <v>500</v>
      </c>
      <c r="U187" s="2"/>
      <c r="V187" s="2"/>
      <c r="W187" s="2"/>
      <c r="X187" s="2"/>
      <c r="Y187" s="2"/>
      <c r="Z187" s="2"/>
      <c r="AA187" s="2"/>
      <c r="AB187" s="2"/>
      <c r="AC187" s="2"/>
      <c r="AD187" s="2"/>
      <c r="AE187" s="2"/>
      <c r="AF187" s="2"/>
      <c r="AG187" s="2"/>
      <c r="AH187" s="2">
        <f>P187/P191</f>
        <v>7.7725118483412325</v>
      </c>
    </row>
    <row r="188" spans="2:34" ht="15.75" x14ac:dyDescent="0.3">
      <c r="B188" s="2"/>
      <c r="C188" s="2"/>
      <c r="D188" s="2"/>
      <c r="E188" s="49" t="s">
        <v>492</v>
      </c>
      <c r="F188" s="50" t="s">
        <v>332</v>
      </c>
      <c r="G188" s="301">
        <v>0.14499999999999999</v>
      </c>
      <c r="H188" s="301"/>
      <c r="I188" s="301"/>
      <c r="J188" s="2"/>
      <c r="K188" s="2"/>
      <c r="L188" s="2"/>
      <c r="M188" s="2"/>
      <c r="N188" s="53" t="s">
        <v>497</v>
      </c>
      <c r="O188" s="50" t="s">
        <v>332</v>
      </c>
      <c r="P188" s="301">
        <f>G188</f>
        <v>0.14499999999999999</v>
      </c>
      <c r="Q188" s="301"/>
      <c r="R188" s="301"/>
      <c r="S188" s="2"/>
      <c r="T188" s="17" t="s">
        <v>500</v>
      </c>
      <c r="U188" s="2"/>
      <c r="V188" s="2"/>
      <c r="W188" s="2"/>
      <c r="X188" s="2"/>
      <c r="Y188" s="2"/>
      <c r="Z188" s="2"/>
      <c r="AA188" s="2"/>
      <c r="AB188" s="2"/>
      <c r="AC188" s="2"/>
      <c r="AD188" s="2"/>
      <c r="AE188" s="2"/>
      <c r="AF188" s="2"/>
      <c r="AG188" s="2"/>
      <c r="AH188" s="2"/>
    </row>
    <row r="189" spans="2:34" ht="15.75" x14ac:dyDescent="0.3">
      <c r="B189" s="2"/>
      <c r="C189" s="2"/>
      <c r="D189" s="2"/>
      <c r="E189" s="49" t="s">
        <v>493</v>
      </c>
      <c r="F189" s="50" t="s">
        <v>332</v>
      </c>
      <c r="G189" s="301">
        <v>8.1299999999999997E-2</v>
      </c>
      <c r="H189" s="301"/>
      <c r="I189" s="301"/>
      <c r="J189" s="2"/>
      <c r="K189" s="2"/>
      <c r="L189" s="2"/>
      <c r="M189" s="2"/>
      <c r="N189" s="53" t="s">
        <v>499</v>
      </c>
      <c r="O189" s="50" t="s">
        <v>332</v>
      </c>
      <c r="P189" s="301">
        <f>G189</f>
        <v>8.1299999999999997E-2</v>
      </c>
      <c r="Q189" s="301"/>
      <c r="R189" s="301"/>
      <c r="S189" s="2"/>
      <c r="T189" s="17" t="s">
        <v>500</v>
      </c>
      <c r="U189" s="2"/>
      <c r="V189" s="2"/>
      <c r="W189" s="2"/>
      <c r="X189" s="2"/>
      <c r="Y189" s="2"/>
      <c r="Z189" s="2"/>
      <c r="AA189" s="2"/>
      <c r="AB189" s="2"/>
      <c r="AC189" s="2"/>
      <c r="AD189" s="2"/>
      <c r="AE189" s="2"/>
      <c r="AF189" s="2"/>
      <c r="AG189" s="2"/>
      <c r="AH189" s="2"/>
    </row>
    <row r="190" spans="2:34" ht="15.75" x14ac:dyDescent="0.3">
      <c r="B190" s="2"/>
      <c r="C190" s="2"/>
      <c r="D190" s="2"/>
      <c r="E190" s="49" t="s">
        <v>494</v>
      </c>
      <c r="F190" s="50" t="s">
        <v>332</v>
      </c>
      <c r="G190" s="301">
        <v>4.2799999999999998E-2</v>
      </c>
      <c r="H190" s="301"/>
      <c r="I190" s="301"/>
      <c r="J190" s="2"/>
      <c r="K190" s="2"/>
      <c r="L190" s="2"/>
      <c r="M190" s="2"/>
      <c r="N190" s="53" t="s">
        <v>498</v>
      </c>
      <c r="O190" s="50" t="s">
        <v>332</v>
      </c>
      <c r="P190" s="301">
        <f>G190</f>
        <v>4.2799999999999998E-2</v>
      </c>
      <c r="Q190" s="301"/>
      <c r="R190" s="301"/>
      <c r="S190" s="2"/>
      <c r="T190" s="17" t="s">
        <v>500</v>
      </c>
      <c r="U190" s="2"/>
      <c r="V190" s="2"/>
      <c r="W190" s="2"/>
      <c r="X190" s="2"/>
      <c r="Y190" s="2"/>
      <c r="Z190" s="2"/>
      <c r="AA190" s="2"/>
      <c r="AB190" s="2"/>
      <c r="AC190" s="2"/>
      <c r="AD190" s="2"/>
      <c r="AE190" s="2"/>
      <c r="AF190" s="2"/>
      <c r="AG190" s="2"/>
      <c r="AH190" s="2"/>
    </row>
    <row r="191" spans="2:34" ht="15.75" x14ac:dyDescent="0.3">
      <c r="B191" s="2"/>
      <c r="C191" s="2"/>
      <c r="D191" s="2"/>
      <c r="E191" s="49" t="s">
        <v>516</v>
      </c>
      <c r="F191" s="50" t="s">
        <v>332</v>
      </c>
      <c r="G191" s="301">
        <v>2.1100000000000001E-2</v>
      </c>
      <c r="H191" s="301"/>
      <c r="I191" s="301"/>
      <c r="J191" s="2"/>
      <c r="K191" s="2"/>
      <c r="L191" s="2"/>
      <c r="M191" s="2"/>
      <c r="N191" s="53" t="s">
        <v>518</v>
      </c>
      <c r="O191" s="50" t="s">
        <v>332</v>
      </c>
      <c r="P191" s="301">
        <f>G191</f>
        <v>2.1100000000000001E-2</v>
      </c>
      <c r="Q191" s="301"/>
      <c r="R191" s="301"/>
      <c r="S191" s="2"/>
      <c r="T191" s="17" t="s">
        <v>500</v>
      </c>
      <c r="U191" s="2"/>
      <c r="V191" s="2"/>
      <c r="W191" s="2"/>
      <c r="X191" s="2"/>
      <c r="Y191" s="2"/>
      <c r="Z191" s="2"/>
      <c r="AA191" s="2"/>
      <c r="AB191" s="2"/>
      <c r="AC191" s="2"/>
      <c r="AD191" s="2"/>
      <c r="AE191" s="2"/>
      <c r="AF191" s="2"/>
      <c r="AG191" s="2"/>
      <c r="AH191" s="2"/>
    </row>
    <row r="192" spans="2:34" ht="15.75" x14ac:dyDescent="0.3">
      <c r="B192" s="2"/>
      <c r="C192" s="2"/>
      <c r="D192" s="2"/>
      <c r="E192" s="49" t="s">
        <v>517</v>
      </c>
      <c r="F192" s="50" t="s">
        <v>332</v>
      </c>
      <c r="G192" s="301">
        <v>1.23E-2</v>
      </c>
      <c r="H192" s="301"/>
      <c r="I192" s="301"/>
      <c r="J192" s="2"/>
      <c r="K192" s="2"/>
      <c r="L192" s="2"/>
      <c r="M192" s="2"/>
      <c r="N192" s="53" t="s">
        <v>519</v>
      </c>
      <c r="O192" s="50" t="s">
        <v>332</v>
      </c>
      <c r="P192" s="301">
        <f>G192</f>
        <v>1.23E-2</v>
      </c>
      <c r="Q192" s="301"/>
      <c r="R192" s="301"/>
      <c r="S192" s="2"/>
      <c r="T192" s="17" t="s">
        <v>500</v>
      </c>
      <c r="U192" s="2"/>
      <c r="V192" s="2"/>
      <c r="W192" s="2"/>
      <c r="X192" s="2"/>
      <c r="Y192" s="2"/>
      <c r="Z192" s="2"/>
      <c r="AA192" s="2"/>
      <c r="AB192" s="2"/>
      <c r="AC192" s="2"/>
      <c r="AD192" s="2"/>
      <c r="AE192" s="2"/>
      <c r="AF192" s="2"/>
      <c r="AG192" s="2"/>
      <c r="AH192" s="2"/>
    </row>
    <row r="193" spans="2:34" x14ac:dyDescent="0.2">
      <c r="B193" s="2"/>
      <c r="C193" s="2"/>
      <c r="D193" s="2"/>
      <c r="E193" s="49"/>
      <c r="F193" s="50"/>
      <c r="G193" s="51"/>
      <c r="H193" s="51"/>
      <c r="I193" s="51"/>
      <c r="J193" s="2"/>
      <c r="K193" s="2"/>
      <c r="L193" s="2"/>
      <c r="M193" s="2"/>
      <c r="N193" s="53"/>
      <c r="O193" s="50"/>
      <c r="P193" s="51"/>
      <c r="Q193" s="51"/>
      <c r="R193" s="51"/>
      <c r="S193" s="2"/>
      <c r="T193" s="17"/>
      <c r="U193" s="2"/>
      <c r="V193" s="2"/>
      <c r="W193" s="2"/>
      <c r="X193" s="2"/>
      <c r="Y193" s="2"/>
      <c r="Z193" s="2"/>
      <c r="AA193" s="2"/>
      <c r="AB193" s="2"/>
      <c r="AC193" s="2"/>
      <c r="AD193" s="2"/>
      <c r="AE193" s="2"/>
      <c r="AF193" s="2"/>
      <c r="AG193" s="2"/>
      <c r="AH193" s="2"/>
    </row>
    <row r="194" spans="2:34" ht="15.75" x14ac:dyDescent="0.2">
      <c r="B194" s="2"/>
      <c r="C194" s="2"/>
      <c r="E194" s="46" t="s">
        <v>502</v>
      </c>
      <c r="F194" s="50" t="s">
        <v>332</v>
      </c>
      <c r="G194" s="302">
        <v>1.3</v>
      </c>
      <c r="H194" s="302"/>
      <c r="I194" s="302"/>
      <c r="J194" s="2"/>
      <c r="K194" s="2"/>
      <c r="L194" s="2"/>
      <c r="M194" s="29" t="s">
        <v>490</v>
      </c>
      <c r="N194" s="2"/>
      <c r="O194" s="2"/>
      <c r="P194" s="2"/>
      <c r="Q194" s="2"/>
      <c r="R194" s="2"/>
      <c r="S194" s="2"/>
      <c r="T194" s="2"/>
      <c r="U194" s="2"/>
      <c r="V194" s="2"/>
      <c r="W194" s="2"/>
      <c r="X194" s="2"/>
      <c r="Y194" s="2"/>
      <c r="Z194" s="2"/>
      <c r="AA194" s="2"/>
      <c r="AB194" s="2"/>
      <c r="AC194" s="2"/>
      <c r="AD194" s="2"/>
      <c r="AE194" s="2"/>
      <c r="AF194" s="2"/>
      <c r="AG194" s="2"/>
      <c r="AH194" s="2"/>
    </row>
    <row r="195" spans="2:34" x14ac:dyDescent="0.2">
      <c r="B195" s="2"/>
      <c r="C195" s="2"/>
      <c r="D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row>
    <row r="196" spans="2:34" x14ac:dyDescent="0.2">
      <c r="B196" s="2"/>
      <c r="C196" s="2"/>
      <c r="D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row>
    <row r="197" spans="2:34" x14ac:dyDescent="0.2">
      <c r="B197" s="2"/>
      <c r="C197" s="2"/>
      <c r="D197" s="16" t="s">
        <v>489</v>
      </c>
      <c r="E197" s="49"/>
      <c r="F197" s="56"/>
      <c r="G197" s="13"/>
      <c r="H197" s="13"/>
      <c r="I197" s="13"/>
      <c r="J197" s="2"/>
      <c r="K197" s="2"/>
      <c r="L197" s="2"/>
      <c r="M197" s="2"/>
      <c r="N197" s="2"/>
      <c r="O197" s="2"/>
      <c r="P197" s="13"/>
      <c r="Q197" s="13"/>
      <c r="R197" s="13"/>
      <c r="S197" s="2"/>
      <c r="T197" s="2"/>
      <c r="U197" s="2"/>
      <c r="V197" s="2"/>
      <c r="W197" s="2"/>
      <c r="X197" s="2"/>
      <c r="Y197" s="2"/>
      <c r="Z197" s="2"/>
      <c r="AA197" s="2"/>
      <c r="AB197" s="2"/>
      <c r="AC197" s="2"/>
      <c r="AD197" s="2"/>
      <c r="AE197" s="2"/>
      <c r="AF197" s="2"/>
      <c r="AG197" s="2"/>
      <c r="AH197" s="2"/>
    </row>
    <row r="198" spans="2:34" x14ac:dyDescent="0.2">
      <c r="B198" s="2"/>
      <c r="C198" s="2"/>
      <c r="D198" s="2" t="s">
        <v>495</v>
      </c>
      <c r="E198" s="49"/>
      <c r="F198" s="56"/>
      <c r="G198" s="13"/>
      <c r="H198" s="13"/>
      <c r="I198" s="13"/>
      <c r="J198" s="2"/>
      <c r="K198" s="2"/>
      <c r="L198" s="2"/>
      <c r="M198" s="2"/>
      <c r="N198" s="2"/>
      <c r="O198" s="2"/>
      <c r="P198" s="13"/>
      <c r="Q198" s="13"/>
      <c r="R198" s="13"/>
      <c r="S198" s="2"/>
      <c r="T198" s="2"/>
      <c r="U198" s="2"/>
      <c r="V198" s="2"/>
      <c r="W198" s="2"/>
      <c r="X198" s="2"/>
      <c r="Y198" s="2"/>
      <c r="Z198" s="2"/>
      <c r="AA198" s="2"/>
      <c r="AB198" s="2"/>
      <c r="AC198" s="2"/>
      <c r="AD198" s="2"/>
      <c r="AE198" s="2"/>
      <c r="AF198" s="2"/>
      <c r="AG198" s="2"/>
      <c r="AH198" s="2"/>
    </row>
    <row r="199" spans="2:34" x14ac:dyDescent="0.2">
      <c r="B199" s="2"/>
      <c r="C199" s="2"/>
      <c r="D199" s="2"/>
      <c r="E199" s="49"/>
      <c r="F199" s="56"/>
      <c r="G199" s="13"/>
      <c r="H199" s="13"/>
      <c r="I199" s="13"/>
      <c r="J199" s="2"/>
      <c r="K199" s="2"/>
      <c r="L199" s="2"/>
      <c r="M199" s="2"/>
      <c r="N199" s="2"/>
      <c r="O199" s="2"/>
      <c r="P199" s="13"/>
      <c r="Q199" s="13"/>
      <c r="R199" s="13"/>
      <c r="S199" s="2"/>
      <c r="T199" s="2"/>
      <c r="U199" s="2"/>
      <c r="V199" s="2"/>
      <c r="W199" s="2"/>
      <c r="X199" s="2"/>
      <c r="Y199" s="2"/>
      <c r="Z199" s="2"/>
      <c r="AA199" s="2"/>
      <c r="AB199" s="2"/>
      <c r="AC199" s="2"/>
      <c r="AD199" s="2"/>
      <c r="AE199" s="2"/>
      <c r="AF199" s="2"/>
      <c r="AG199" s="2"/>
      <c r="AH199" s="2"/>
    </row>
    <row r="200" spans="2:34" ht="15.75" x14ac:dyDescent="0.3">
      <c r="B200" s="2"/>
      <c r="C200" s="2"/>
      <c r="D200" s="2"/>
      <c r="E200" s="49"/>
      <c r="F200" s="49" t="s">
        <v>503</v>
      </c>
      <c r="G200" s="13" t="s">
        <v>332</v>
      </c>
      <c r="H200" s="288">
        <f>G194*P187</f>
        <v>0.21320000000000003</v>
      </c>
      <c r="I200" s="288"/>
      <c r="J200" s="288"/>
      <c r="K200" s="2" t="s">
        <v>869</v>
      </c>
      <c r="L200" s="2"/>
      <c r="M200" s="2"/>
      <c r="O200" s="2"/>
      <c r="P200" s="2" t="s">
        <v>501</v>
      </c>
      <c r="Q200" s="13"/>
      <c r="R200" s="13"/>
      <c r="S200" s="2"/>
      <c r="T200" s="2"/>
      <c r="U200" s="2"/>
      <c r="V200" s="2"/>
      <c r="W200" s="2"/>
      <c r="X200" s="2"/>
      <c r="Y200" s="2"/>
      <c r="Z200" s="2"/>
      <c r="AA200" s="2"/>
      <c r="AB200" s="2"/>
      <c r="AC200" s="2"/>
      <c r="AD200" s="2"/>
      <c r="AE200" s="2"/>
      <c r="AF200" s="2"/>
      <c r="AG200" s="2"/>
      <c r="AH200" s="2"/>
    </row>
    <row r="201" spans="2:34" ht="15.75" x14ac:dyDescent="0.3">
      <c r="B201" s="2"/>
      <c r="C201" s="2"/>
      <c r="D201" s="2"/>
      <c r="E201" s="49"/>
      <c r="F201" s="49" t="s">
        <v>504</v>
      </c>
      <c r="G201" s="13" t="s">
        <v>332</v>
      </c>
      <c r="H201" s="288">
        <f>G194*P189</f>
        <v>0.10569000000000001</v>
      </c>
      <c r="I201" s="288"/>
      <c r="J201" s="288"/>
      <c r="K201" s="2" t="s">
        <v>870</v>
      </c>
      <c r="L201" s="2"/>
      <c r="M201" s="2"/>
      <c r="O201" s="2"/>
      <c r="P201" s="2" t="s">
        <v>501</v>
      </c>
      <c r="Q201" s="13"/>
      <c r="R201" s="13"/>
      <c r="S201" s="2"/>
      <c r="T201" s="2"/>
      <c r="U201" s="2"/>
      <c r="V201" s="2"/>
      <c r="W201" s="2"/>
      <c r="X201" s="2"/>
      <c r="Y201" s="2"/>
      <c r="Z201" s="2"/>
      <c r="AA201" s="2"/>
      <c r="AB201" s="2"/>
      <c r="AC201" s="2"/>
      <c r="AD201" s="2"/>
      <c r="AE201" s="2"/>
      <c r="AF201" s="2"/>
      <c r="AG201" s="2"/>
      <c r="AH201" s="2"/>
    </row>
    <row r="202" spans="2:34" x14ac:dyDescent="0.2">
      <c r="B202" s="2"/>
      <c r="C202" s="2"/>
      <c r="D202" s="2"/>
      <c r="E202" s="49"/>
      <c r="F202" s="56"/>
      <c r="G202" s="13"/>
      <c r="H202" s="13"/>
      <c r="I202" s="13"/>
      <c r="J202" s="2"/>
      <c r="K202" s="2"/>
      <c r="L202" s="2"/>
      <c r="M202" s="2"/>
      <c r="N202" s="2"/>
      <c r="O202" s="2"/>
      <c r="P202" s="13"/>
      <c r="Q202" s="13"/>
      <c r="R202" s="13"/>
      <c r="S202" s="2"/>
      <c r="T202" s="2"/>
      <c r="U202" s="2"/>
      <c r="V202" s="2"/>
      <c r="W202" s="2"/>
      <c r="X202" s="2"/>
      <c r="Y202" s="2"/>
      <c r="Z202" s="2"/>
      <c r="AA202" s="2"/>
      <c r="AB202" s="2"/>
      <c r="AC202" s="2"/>
      <c r="AD202" s="2"/>
      <c r="AE202" s="2"/>
      <c r="AF202" s="2"/>
      <c r="AG202" s="2"/>
      <c r="AH202" s="2"/>
    </row>
    <row r="203" spans="2:34" x14ac:dyDescent="0.2">
      <c r="B203" s="2"/>
      <c r="C203" s="2"/>
      <c r="D203" s="2" t="s">
        <v>683</v>
      </c>
      <c r="E203" s="49"/>
      <c r="F203" s="56"/>
      <c r="G203" s="13"/>
      <c r="H203" s="13"/>
      <c r="I203" s="13"/>
      <c r="J203" s="2"/>
      <c r="K203" s="2"/>
      <c r="L203" s="2"/>
      <c r="M203" s="2"/>
      <c r="N203" s="2"/>
      <c r="O203" s="2"/>
      <c r="P203" s="13"/>
      <c r="Q203" s="13"/>
      <c r="R203" s="13"/>
      <c r="S203" s="2"/>
      <c r="T203" s="2"/>
      <c r="U203" s="2"/>
      <c r="V203" s="2"/>
      <c r="W203" s="2"/>
      <c r="X203" s="2"/>
      <c r="Y203" s="2"/>
      <c r="Z203" s="2"/>
      <c r="AA203" s="2"/>
      <c r="AB203" s="2"/>
      <c r="AC203" s="2"/>
      <c r="AD203" s="2"/>
      <c r="AE203" s="2"/>
      <c r="AF203" s="2"/>
      <c r="AG203" s="2"/>
      <c r="AH203" s="2"/>
    </row>
    <row r="204" spans="2:34" x14ac:dyDescent="0.2">
      <c r="B204" s="2"/>
      <c r="C204" s="2"/>
      <c r="D204" s="2"/>
      <c r="E204" s="49"/>
      <c r="F204" s="56"/>
      <c r="G204" s="13"/>
      <c r="H204" s="13"/>
      <c r="I204" s="13"/>
      <c r="J204" s="2"/>
      <c r="K204" s="2"/>
      <c r="L204" s="2"/>
      <c r="M204" s="2"/>
      <c r="N204" s="2"/>
      <c r="O204" s="2"/>
      <c r="P204" s="13"/>
      <c r="Q204" s="13"/>
      <c r="R204" s="13"/>
      <c r="S204" s="2"/>
      <c r="T204" s="2"/>
      <c r="U204" s="2"/>
      <c r="V204" s="2"/>
      <c r="W204" s="2"/>
      <c r="X204" s="2"/>
      <c r="Y204" s="2"/>
      <c r="Z204" s="2"/>
      <c r="AA204" s="2"/>
      <c r="AB204" s="2"/>
      <c r="AC204" s="2"/>
      <c r="AD204" s="2"/>
      <c r="AE204" s="2"/>
      <c r="AF204" s="2"/>
      <c r="AG204" s="2"/>
      <c r="AH204" s="2"/>
    </row>
    <row r="205" spans="2:34" x14ac:dyDescent="0.2">
      <c r="B205" s="2"/>
      <c r="C205" s="2"/>
      <c r="D205" s="2"/>
      <c r="E205" s="49"/>
      <c r="F205" s="56"/>
      <c r="G205" s="13"/>
      <c r="H205" s="13"/>
      <c r="I205" s="13"/>
      <c r="J205" s="2"/>
      <c r="K205" s="2"/>
      <c r="L205" s="2"/>
      <c r="M205" s="2"/>
      <c r="N205" s="2"/>
      <c r="O205" s="2"/>
      <c r="P205" s="13"/>
      <c r="Q205" s="13"/>
      <c r="R205" s="13"/>
      <c r="S205" s="2"/>
      <c r="T205" s="2"/>
      <c r="U205" s="2"/>
      <c r="V205" s="2"/>
      <c r="W205" s="2"/>
      <c r="X205" s="2"/>
      <c r="Y205" s="2"/>
      <c r="Z205" s="2"/>
      <c r="AA205" s="2"/>
      <c r="AB205" s="2"/>
      <c r="AC205" s="2"/>
      <c r="AD205" s="2"/>
      <c r="AE205" s="2"/>
      <c r="AF205" s="2"/>
      <c r="AG205" s="2"/>
      <c r="AH205" s="2"/>
    </row>
    <row r="206" spans="2:34" x14ac:dyDescent="0.2">
      <c r="B206" s="2"/>
      <c r="C206" s="2"/>
      <c r="D206" s="16" t="s">
        <v>525</v>
      </c>
      <c r="E206" s="49"/>
      <c r="F206" s="56"/>
      <c r="G206" s="13"/>
      <c r="H206" s="13"/>
      <c r="I206" s="13"/>
      <c r="J206" s="2"/>
      <c r="K206" s="2"/>
      <c r="L206" s="2"/>
      <c r="M206" s="2"/>
      <c r="N206" s="2"/>
      <c r="O206" s="2"/>
      <c r="P206" s="13"/>
      <c r="Q206" s="13"/>
      <c r="R206" s="13"/>
      <c r="S206" s="2"/>
      <c r="T206" s="2"/>
      <c r="U206" s="2"/>
      <c r="V206" s="2"/>
      <c r="W206" s="2"/>
      <c r="X206" s="2"/>
      <c r="Y206" s="2"/>
      <c r="Z206" s="2"/>
      <c r="AA206" s="2"/>
      <c r="AB206" s="2"/>
      <c r="AC206" s="2"/>
      <c r="AD206" s="2"/>
      <c r="AE206" s="2"/>
      <c r="AF206" s="2"/>
      <c r="AG206" s="2"/>
      <c r="AH206" s="2"/>
    </row>
    <row r="207" spans="2:34" x14ac:dyDescent="0.2">
      <c r="B207" s="2"/>
      <c r="C207" s="2"/>
      <c r="D207" s="2" t="s">
        <v>507</v>
      </c>
      <c r="E207" s="49"/>
      <c r="F207" s="54"/>
      <c r="G207" s="56"/>
      <c r="H207" s="56"/>
      <c r="I207" s="56"/>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row>
    <row r="208" spans="2:34" x14ac:dyDescent="0.2">
      <c r="B208" s="2"/>
      <c r="C208" s="2"/>
      <c r="D208" s="2"/>
      <c r="E208" s="49"/>
      <c r="F208" s="54"/>
      <c r="G208" s="56"/>
      <c r="H208" s="56"/>
      <c r="I208" s="56"/>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row>
    <row r="209" spans="2:34" ht="15.75" x14ac:dyDescent="0.3">
      <c r="B209" s="2"/>
      <c r="C209" s="2"/>
      <c r="D209" s="2"/>
      <c r="E209" s="21" t="s">
        <v>697</v>
      </c>
      <c r="F209" s="13" t="s">
        <v>332</v>
      </c>
      <c r="G209" s="2" t="s">
        <v>505</v>
      </c>
      <c r="H209" s="13"/>
      <c r="I209" s="13"/>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row>
    <row r="210" spans="2:34" ht="15.75" x14ac:dyDescent="0.3">
      <c r="B210" s="2"/>
      <c r="C210" s="2"/>
      <c r="D210" s="2"/>
      <c r="E210" s="49" t="s">
        <v>506</v>
      </c>
      <c r="F210" s="50" t="s">
        <v>332</v>
      </c>
      <c r="G210" s="299">
        <v>4</v>
      </c>
      <c r="H210" s="299"/>
      <c r="I210" s="299"/>
      <c r="J210" s="2"/>
      <c r="K210" s="2"/>
      <c r="L210" s="2"/>
      <c r="M210" s="2" t="s">
        <v>684</v>
      </c>
      <c r="N210" s="2"/>
      <c r="O210" s="2"/>
      <c r="P210" s="2"/>
      <c r="Q210" s="2"/>
      <c r="R210" s="2"/>
      <c r="S210" s="2"/>
      <c r="T210" s="2"/>
      <c r="U210" s="2"/>
      <c r="V210" s="2"/>
      <c r="W210" s="2"/>
      <c r="X210" s="2"/>
      <c r="Y210" s="2"/>
      <c r="Z210" s="2"/>
      <c r="AA210" s="2"/>
      <c r="AB210" s="2"/>
      <c r="AC210" s="2"/>
      <c r="AD210" s="2"/>
      <c r="AE210" s="2"/>
      <c r="AF210" s="2"/>
      <c r="AG210" s="2"/>
      <c r="AH210" s="2"/>
    </row>
    <row r="211" spans="2:34" ht="15.75" x14ac:dyDescent="0.3">
      <c r="B211" s="2"/>
      <c r="C211" s="2"/>
      <c r="D211" s="2"/>
      <c r="E211" s="21" t="s">
        <v>508</v>
      </c>
      <c r="F211" s="13" t="s">
        <v>332</v>
      </c>
      <c r="G211" s="299">
        <f>H125</f>
        <v>36.679590000000005</v>
      </c>
      <c r="H211" s="299"/>
      <c r="I211" s="299"/>
      <c r="J211" s="2" t="s">
        <v>335</v>
      </c>
      <c r="K211" s="2"/>
      <c r="L211" s="2"/>
      <c r="M211" s="2" t="s">
        <v>509</v>
      </c>
      <c r="N211" s="2"/>
      <c r="O211" s="2"/>
      <c r="P211" s="2"/>
      <c r="Q211" s="2"/>
      <c r="R211" s="2"/>
      <c r="S211" s="2"/>
      <c r="T211" s="2"/>
      <c r="U211" s="2"/>
      <c r="V211" s="2"/>
      <c r="W211" s="2"/>
      <c r="X211" s="2"/>
      <c r="Y211" s="2"/>
      <c r="Z211" s="2"/>
      <c r="AA211" s="2"/>
      <c r="AB211" s="2"/>
      <c r="AC211" s="2"/>
      <c r="AD211" s="2"/>
      <c r="AE211" s="2"/>
      <c r="AF211" s="2"/>
      <c r="AG211" s="2"/>
      <c r="AH211" s="2"/>
    </row>
    <row r="212" spans="2:34" x14ac:dyDescent="0.2">
      <c r="B212" s="2"/>
      <c r="C212" s="2"/>
      <c r="D212" s="2"/>
      <c r="E212" s="21"/>
      <c r="F212" s="13"/>
      <c r="G212" s="2"/>
      <c r="H212" s="13"/>
      <c r="I212" s="13"/>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row>
    <row r="213" spans="2:34" ht="15.75" x14ac:dyDescent="0.3">
      <c r="B213" s="2"/>
      <c r="C213" s="2"/>
      <c r="D213" s="2"/>
      <c r="E213" s="21" t="s">
        <v>697</v>
      </c>
      <c r="F213" s="56" t="s">
        <v>332</v>
      </c>
      <c r="G213" s="285">
        <f>0.3*P187*G194*G210*G211</f>
        <v>9.3841063056000014</v>
      </c>
      <c r="H213" s="285"/>
      <c r="I213" s="285"/>
      <c r="J213" s="2" t="s">
        <v>335</v>
      </c>
      <c r="K213" s="2"/>
      <c r="L213" s="2"/>
      <c r="M213" s="2" t="s">
        <v>850</v>
      </c>
      <c r="N213" s="2"/>
      <c r="O213" s="2"/>
      <c r="P213" s="2"/>
      <c r="Q213" s="2"/>
      <c r="R213" s="2"/>
      <c r="S213" s="2"/>
      <c r="T213" s="2"/>
      <c r="U213" s="2"/>
      <c r="V213" s="2"/>
      <c r="W213" s="2"/>
      <c r="X213" s="2"/>
      <c r="Y213" s="2"/>
      <c r="Z213" s="2"/>
      <c r="AA213" s="2"/>
      <c r="AB213" s="2"/>
      <c r="AC213" s="2"/>
      <c r="AD213" s="2"/>
      <c r="AE213" s="2"/>
      <c r="AF213" s="2"/>
      <c r="AG213" s="2"/>
      <c r="AH213" s="2"/>
    </row>
    <row r="214" spans="2:34" x14ac:dyDescent="0.2">
      <c r="B214" s="2"/>
      <c r="C214" s="2"/>
      <c r="D214" s="2"/>
      <c r="E214" s="49"/>
      <c r="F214" s="54"/>
      <c r="G214" s="56"/>
      <c r="H214" s="56"/>
      <c r="I214" s="56"/>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row>
    <row r="215" spans="2:34" x14ac:dyDescent="0.2">
      <c r="B215" s="2"/>
      <c r="C215" s="2"/>
      <c r="D215" s="2"/>
      <c r="E215" s="49"/>
      <c r="F215" s="54"/>
      <c r="G215" s="56"/>
      <c r="H215" s="56"/>
      <c r="I215" s="56"/>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row>
    <row r="216" spans="2:34" x14ac:dyDescent="0.2">
      <c r="B216" s="2"/>
      <c r="C216" s="2"/>
      <c r="D216" s="2"/>
      <c r="E216" s="49"/>
      <c r="F216" s="54"/>
      <c r="G216" s="56"/>
      <c r="H216" s="56"/>
      <c r="I216" s="56"/>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row>
    <row r="217" spans="2:34" x14ac:dyDescent="0.2">
      <c r="B217" s="2"/>
      <c r="C217" s="2"/>
      <c r="D217" s="2"/>
      <c r="E217" s="49"/>
      <c r="F217" s="54"/>
      <c r="G217" s="56"/>
      <c r="H217" s="56"/>
      <c r="I217" s="56"/>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row>
    <row r="218" spans="2:34" x14ac:dyDescent="0.2">
      <c r="B218" s="2"/>
      <c r="C218" s="2"/>
      <c r="D218" s="2"/>
      <c r="E218" s="49"/>
      <c r="F218" s="54"/>
      <c r="G218" s="56"/>
      <c r="H218" s="56"/>
      <c r="I218" s="56"/>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row>
    <row r="219" spans="2:34" x14ac:dyDescent="0.2">
      <c r="B219" s="2"/>
      <c r="C219" s="2"/>
      <c r="D219" s="2"/>
      <c r="E219" s="49"/>
      <c r="F219" s="54"/>
      <c r="G219" s="56"/>
      <c r="H219" s="56"/>
      <c r="I219" s="56"/>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row>
    <row r="220" spans="2:34" x14ac:dyDescent="0.2">
      <c r="B220" s="2"/>
      <c r="C220" s="2"/>
      <c r="D220" s="2"/>
      <c r="E220" s="49"/>
      <c r="F220" s="54"/>
      <c r="G220" s="56"/>
      <c r="H220" s="56"/>
      <c r="I220" s="56"/>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row>
    <row r="221" spans="2:34" x14ac:dyDescent="0.2">
      <c r="B221" s="2"/>
      <c r="C221" s="2"/>
      <c r="D221" s="2"/>
      <c r="E221" s="49"/>
      <c r="F221" s="54"/>
      <c r="G221" s="56"/>
      <c r="H221" s="56"/>
      <c r="I221" s="56"/>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row>
    <row r="222" spans="2:34" x14ac:dyDescent="0.2">
      <c r="B222" s="2"/>
      <c r="C222" s="2"/>
      <c r="D222" s="2"/>
      <c r="E222" s="49"/>
      <c r="F222" s="54"/>
      <c r="G222" s="56"/>
      <c r="H222" s="56"/>
      <c r="I222" s="56"/>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row>
    <row r="223" spans="2:34" x14ac:dyDescent="0.2">
      <c r="B223" s="2"/>
      <c r="C223" s="2"/>
      <c r="D223" s="2"/>
      <c r="E223" s="49"/>
      <c r="F223" s="54"/>
      <c r="G223" s="56"/>
      <c r="H223" s="56"/>
      <c r="I223" s="56"/>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row>
    <row r="224" spans="2:34" x14ac:dyDescent="0.2">
      <c r="B224" s="2"/>
      <c r="C224" s="2"/>
      <c r="D224" s="2"/>
      <c r="E224" s="49"/>
      <c r="F224" s="54"/>
      <c r="G224" s="56"/>
      <c r="H224" s="56"/>
      <c r="I224" s="56"/>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row>
    <row r="225" spans="2:34" x14ac:dyDescent="0.2">
      <c r="B225" s="2"/>
      <c r="C225" s="2"/>
      <c r="D225" s="2"/>
      <c r="E225" s="49"/>
      <c r="F225" s="54"/>
      <c r="G225" s="56"/>
      <c r="H225" s="56"/>
      <c r="I225" s="56"/>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row>
    <row r="226" spans="2:34" x14ac:dyDescent="0.2">
      <c r="B226" s="2"/>
      <c r="C226" s="2"/>
      <c r="D226" s="2"/>
      <c r="E226" s="49"/>
      <c r="F226" s="54"/>
      <c r="G226" s="56"/>
      <c r="H226" s="56"/>
      <c r="I226" s="56"/>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row>
    <row r="227" spans="2:34" x14ac:dyDescent="0.2">
      <c r="B227" s="2"/>
      <c r="C227" s="2"/>
      <c r="D227" s="16" t="s">
        <v>875</v>
      </c>
      <c r="E227" s="49"/>
      <c r="F227" s="54"/>
      <c r="G227" s="56"/>
      <c r="H227" s="56"/>
      <c r="I227" s="56"/>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row>
    <row r="228" spans="2:34" x14ac:dyDescent="0.2">
      <c r="B228" s="2"/>
      <c r="C228" s="2"/>
      <c r="D228" s="232" t="s">
        <v>510</v>
      </c>
      <c r="E228" s="232"/>
      <c r="F228" s="232"/>
      <c r="G228" s="232"/>
      <c r="H228" s="232"/>
      <c r="I228" s="232"/>
      <c r="J228" s="232"/>
      <c r="K228" s="232"/>
      <c r="L228" s="232"/>
      <c r="M228" s="232"/>
      <c r="N228" s="232"/>
      <c r="O228" s="232"/>
      <c r="P228" s="232"/>
      <c r="Q228" s="232"/>
      <c r="R228" s="232"/>
      <c r="S228" s="232"/>
      <c r="T228" s="232"/>
      <c r="U228" s="232"/>
      <c r="V228" s="232"/>
      <c r="W228" s="232"/>
      <c r="X228" s="232"/>
      <c r="Y228" s="232"/>
      <c r="Z228" s="232"/>
      <c r="AA228" s="232"/>
      <c r="AB228" s="232"/>
      <c r="AC228" s="232"/>
      <c r="AD228" s="232"/>
      <c r="AE228" s="232"/>
      <c r="AF228" s="232"/>
      <c r="AG228" s="232"/>
      <c r="AH228" s="2"/>
    </row>
    <row r="229" spans="2:34" x14ac:dyDescent="0.2">
      <c r="B229" s="2"/>
      <c r="C229" s="2"/>
      <c r="D229" s="232"/>
      <c r="E229" s="232"/>
      <c r="F229" s="232"/>
      <c r="G229" s="232"/>
      <c r="H229" s="232"/>
      <c r="I229" s="232"/>
      <c r="J229" s="232"/>
      <c r="K229" s="232"/>
      <c r="L229" s="232"/>
      <c r="M229" s="232"/>
      <c r="N229" s="232"/>
      <c r="O229" s="232"/>
      <c r="P229" s="232"/>
      <c r="Q229" s="232"/>
      <c r="R229" s="232"/>
      <c r="S229" s="232"/>
      <c r="T229" s="232"/>
      <c r="U229" s="232"/>
      <c r="V229" s="232"/>
      <c r="W229" s="232"/>
      <c r="X229" s="232"/>
      <c r="Y229" s="232"/>
      <c r="Z229" s="232"/>
      <c r="AA229" s="232"/>
      <c r="AB229" s="232"/>
      <c r="AC229" s="232"/>
      <c r="AD229" s="232"/>
      <c r="AE229" s="232"/>
      <c r="AF229" s="232"/>
      <c r="AG229" s="232"/>
      <c r="AH229" s="2"/>
    </row>
    <row r="230" spans="2:34" x14ac:dyDescent="0.2">
      <c r="B230" s="2"/>
      <c r="C230" s="2"/>
      <c r="D230" s="2"/>
      <c r="E230" s="49"/>
      <c r="F230" s="54"/>
      <c r="G230" s="56"/>
      <c r="H230" s="56"/>
      <c r="I230" s="56"/>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row>
    <row r="231" spans="2:34" ht="15.75" x14ac:dyDescent="0.3">
      <c r="B231" s="2"/>
      <c r="C231" s="2"/>
      <c r="D231" s="2"/>
      <c r="E231" s="49" t="s">
        <v>876</v>
      </c>
      <c r="F231" s="56" t="s">
        <v>332</v>
      </c>
      <c r="G231" s="55" t="s">
        <v>511</v>
      </c>
      <c r="H231" s="56"/>
      <c r="I231" s="56"/>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row>
    <row r="232" spans="2:34" ht="15.75" x14ac:dyDescent="0.3">
      <c r="B232" s="2"/>
      <c r="C232" s="2"/>
      <c r="D232" s="2"/>
      <c r="E232" s="49" t="s">
        <v>512</v>
      </c>
      <c r="F232" s="56" t="s">
        <v>332</v>
      </c>
      <c r="G232" s="285">
        <v>0.2</v>
      </c>
      <c r="H232" s="285"/>
      <c r="I232" s="285"/>
      <c r="J232" s="2" t="s">
        <v>513</v>
      </c>
      <c r="K232" s="2"/>
      <c r="L232" s="2"/>
      <c r="M232" s="2" t="s">
        <v>873</v>
      </c>
      <c r="N232" s="2"/>
      <c r="O232" s="2"/>
      <c r="P232" s="2"/>
      <c r="Q232" s="2"/>
      <c r="R232" s="2"/>
      <c r="S232" s="2"/>
      <c r="T232" s="2"/>
      <c r="U232" s="2"/>
      <c r="V232" s="2"/>
      <c r="W232" s="2"/>
      <c r="X232" s="2"/>
      <c r="Y232" s="2"/>
      <c r="Z232" s="2"/>
      <c r="AA232" s="2"/>
      <c r="AB232" s="2"/>
      <c r="AC232" s="2"/>
      <c r="AD232" s="2"/>
      <c r="AE232" s="2"/>
      <c r="AF232" s="2"/>
      <c r="AG232" s="2"/>
      <c r="AH232" s="2"/>
    </row>
    <row r="233" spans="2:34" ht="15.75" x14ac:dyDescent="0.3">
      <c r="B233" s="2"/>
      <c r="C233" s="2"/>
      <c r="D233" s="2"/>
      <c r="E233" s="49" t="s">
        <v>514</v>
      </c>
      <c r="F233" s="56" t="s">
        <v>332</v>
      </c>
      <c r="G233" s="288">
        <f>P187</f>
        <v>0.16400000000000001</v>
      </c>
      <c r="H233" s="288"/>
      <c r="I233" s="288"/>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row>
    <row r="234" spans="2:34" ht="15.75" x14ac:dyDescent="0.3">
      <c r="B234" s="2"/>
      <c r="C234" s="2"/>
      <c r="D234" s="2"/>
      <c r="E234" s="49" t="s">
        <v>488</v>
      </c>
      <c r="F234" s="50" t="s">
        <v>332</v>
      </c>
      <c r="G234" s="303">
        <v>1</v>
      </c>
      <c r="H234" s="303"/>
      <c r="I234" s="303"/>
      <c r="J234" s="2"/>
      <c r="K234" s="2"/>
      <c r="L234" s="2"/>
      <c r="M234" s="2" t="s">
        <v>851</v>
      </c>
      <c r="N234" s="2"/>
      <c r="O234" s="2"/>
      <c r="P234" s="2"/>
      <c r="Q234" s="2"/>
      <c r="R234" s="2"/>
      <c r="S234" s="2"/>
      <c r="T234" s="2"/>
      <c r="U234" s="2"/>
      <c r="V234" s="2"/>
      <c r="W234" s="2"/>
      <c r="X234" s="2"/>
      <c r="Y234" s="2"/>
      <c r="Z234" s="2"/>
      <c r="AA234" s="2"/>
      <c r="AB234" s="2"/>
      <c r="AC234" s="2"/>
      <c r="AD234" s="2"/>
      <c r="AE234" s="2"/>
      <c r="AF234" s="2"/>
      <c r="AG234" s="2"/>
      <c r="AH234" s="2"/>
    </row>
    <row r="235" spans="2:34" ht="15.75" x14ac:dyDescent="0.3">
      <c r="B235" s="2"/>
      <c r="C235" s="2"/>
      <c r="D235" s="2"/>
      <c r="E235" s="49" t="s">
        <v>515</v>
      </c>
      <c r="F235" s="50" t="s">
        <v>332</v>
      </c>
      <c r="G235" s="303">
        <v>1.3</v>
      </c>
      <c r="H235" s="303"/>
      <c r="I235" s="303"/>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row>
    <row r="236" spans="2:34" x14ac:dyDescent="0.2">
      <c r="B236" s="2"/>
      <c r="C236" s="2"/>
      <c r="D236" s="2"/>
      <c r="E236" s="49"/>
      <c r="F236" s="54"/>
      <c r="G236" s="56"/>
      <c r="H236" s="56"/>
      <c r="I236" s="56"/>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row>
    <row r="237" spans="2:34" ht="15.75" x14ac:dyDescent="0.3">
      <c r="B237" s="2"/>
      <c r="C237" s="2"/>
      <c r="D237" s="2"/>
      <c r="E237" s="21" t="s">
        <v>877</v>
      </c>
      <c r="F237" s="13" t="s">
        <v>332</v>
      </c>
      <c r="G237" s="299">
        <f>N71</f>
        <v>137.87599768128001</v>
      </c>
      <c r="H237" s="299"/>
      <c r="I237" s="299"/>
      <c r="J237" s="2" t="s">
        <v>335</v>
      </c>
      <c r="K237" s="2"/>
      <c r="L237" s="2"/>
      <c r="M237" s="2" t="s">
        <v>874</v>
      </c>
      <c r="N237" s="2"/>
      <c r="O237" s="2"/>
      <c r="P237" s="2"/>
      <c r="Q237" s="2"/>
      <c r="R237" s="2"/>
      <c r="S237" s="2"/>
      <c r="T237" s="2"/>
      <c r="U237" s="2"/>
      <c r="V237" s="2"/>
      <c r="W237" s="2"/>
      <c r="X237" s="2"/>
      <c r="Y237" s="2"/>
      <c r="Z237" s="2"/>
      <c r="AA237" s="2"/>
      <c r="AB237" s="2"/>
      <c r="AC237" s="2"/>
      <c r="AD237" s="2"/>
      <c r="AE237" s="2"/>
      <c r="AF237" s="2"/>
      <c r="AG237" s="2"/>
      <c r="AH237" s="2"/>
    </row>
    <row r="238" spans="2:34" ht="15.75" x14ac:dyDescent="0.3">
      <c r="B238" s="2"/>
      <c r="C238" s="2"/>
      <c r="D238" s="2"/>
      <c r="E238" s="49" t="s">
        <v>876</v>
      </c>
      <c r="F238" s="56" t="s">
        <v>332</v>
      </c>
      <c r="G238" s="299">
        <f>G233*G234*G194*G237/G235</f>
        <v>22.611663619729924</v>
      </c>
      <c r="H238" s="299"/>
      <c r="I238" s="299"/>
      <c r="J238" s="2" t="s">
        <v>335</v>
      </c>
      <c r="K238" s="2"/>
      <c r="L238" s="2"/>
      <c r="M238" s="2" t="s">
        <v>878</v>
      </c>
      <c r="N238" s="2"/>
      <c r="O238" s="2"/>
      <c r="P238" s="2"/>
      <c r="Q238" s="2"/>
      <c r="R238" s="2"/>
      <c r="S238" s="2"/>
      <c r="T238" s="2"/>
      <c r="U238" s="2"/>
      <c r="V238" s="2"/>
      <c r="W238" s="2"/>
      <c r="X238" s="2"/>
      <c r="Y238" s="2"/>
      <c r="Z238" s="2"/>
      <c r="AA238" s="2"/>
      <c r="AB238" s="2"/>
      <c r="AC238" s="2"/>
      <c r="AD238" s="2"/>
      <c r="AE238" s="2"/>
      <c r="AF238" s="2"/>
      <c r="AG238" s="2"/>
      <c r="AH238" s="2"/>
    </row>
    <row r="239" spans="2:34" x14ac:dyDescent="0.2">
      <c r="B239" s="2"/>
      <c r="C239" s="2"/>
      <c r="D239" s="2"/>
      <c r="E239" s="49"/>
      <c r="F239" s="54"/>
      <c r="G239" s="56"/>
      <c r="H239" s="56"/>
      <c r="I239" s="56"/>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row>
    <row r="240" spans="2:34" x14ac:dyDescent="0.2">
      <c r="B240" s="2"/>
      <c r="C240" s="2"/>
      <c r="D240" s="2"/>
      <c r="E240" s="49"/>
      <c r="F240" s="56"/>
      <c r="G240" s="13"/>
      <c r="H240" s="13"/>
      <c r="I240" s="13"/>
      <c r="J240" s="2"/>
      <c r="K240" s="2"/>
      <c r="L240" s="2"/>
      <c r="M240" s="2"/>
      <c r="N240" s="2"/>
      <c r="O240" s="2"/>
      <c r="P240" s="13"/>
      <c r="Q240" s="13"/>
      <c r="R240" s="13"/>
      <c r="S240" s="2"/>
      <c r="T240" s="2"/>
      <c r="U240" s="2"/>
      <c r="V240" s="2"/>
      <c r="W240" s="2"/>
      <c r="X240" s="2"/>
      <c r="Y240" s="2"/>
      <c r="Z240" s="2"/>
      <c r="AA240" s="2"/>
      <c r="AB240" s="2"/>
      <c r="AC240" s="2"/>
      <c r="AD240" s="2"/>
      <c r="AE240" s="2"/>
      <c r="AF240" s="2"/>
      <c r="AG240" s="2"/>
      <c r="AH240" s="2"/>
    </row>
    <row r="241" spans="1:34" x14ac:dyDescent="0.2">
      <c r="B241" s="2"/>
      <c r="C241" s="2"/>
      <c r="D241" s="16" t="s">
        <v>526</v>
      </c>
      <c r="E241" s="49"/>
      <c r="F241" s="56"/>
      <c r="G241" s="13"/>
      <c r="H241" s="13"/>
      <c r="I241" s="13"/>
      <c r="J241" s="2"/>
      <c r="K241" s="2"/>
      <c r="L241" s="2"/>
      <c r="M241" s="2"/>
      <c r="N241" s="2"/>
      <c r="O241" s="2"/>
      <c r="P241" s="13"/>
      <c r="Q241" s="13"/>
      <c r="R241" s="13"/>
      <c r="S241" s="2"/>
      <c r="T241" s="2"/>
      <c r="U241" s="2"/>
      <c r="V241" s="2"/>
      <c r="W241" s="2"/>
      <c r="X241" s="2"/>
      <c r="Y241" s="2"/>
      <c r="Z241" s="2"/>
      <c r="AA241" s="2"/>
      <c r="AB241" s="2"/>
      <c r="AC241" s="2"/>
      <c r="AD241" s="2"/>
      <c r="AE241" s="2"/>
      <c r="AF241" s="2"/>
      <c r="AG241" s="2"/>
      <c r="AH241" s="2"/>
    </row>
    <row r="242" spans="1:34" x14ac:dyDescent="0.2">
      <c r="B242" s="2"/>
      <c r="C242" s="2"/>
      <c r="D242" s="2" t="s">
        <v>520</v>
      </c>
      <c r="E242" s="49"/>
      <c r="F242" s="56"/>
      <c r="G242" s="13"/>
      <c r="H242" s="13"/>
      <c r="I242" s="13"/>
      <c r="J242" s="2"/>
      <c r="K242" s="2"/>
      <c r="L242" s="2"/>
      <c r="M242" s="2"/>
      <c r="N242" s="2"/>
      <c r="O242" s="2"/>
      <c r="P242" s="13"/>
      <c r="Q242" s="13"/>
      <c r="R242" s="13"/>
      <c r="S242" s="2"/>
      <c r="T242" s="2"/>
      <c r="U242" s="2"/>
      <c r="V242" s="2"/>
      <c r="W242" s="2"/>
      <c r="X242" s="2"/>
      <c r="Y242" s="2"/>
      <c r="Z242" s="2"/>
      <c r="AA242" s="2"/>
      <c r="AB242" s="2"/>
      <c r="AC242" s="2"/>
      <c r="AD242" s="2"/>
      <c r="AE242" s="2"/>
      <c r="AF242" s="2"/>
      <c r="AG242" s="2"/>
      <c r="AH242" s="2"/>
    </row>
    <row r="243" spans="1:34" x14ac:dyDescent="0.2">
      <c r="B243" s="2"/>
      <c r="C243" s="2"/>
      <c r="D243" s="2"/>
      <c r="E243" s="49"/>
      <c r="F243" s="56"/>
      <c r="G243" s="13"/>
      <c r="H243" s="13"/>
      <c r="I243" s="13"/>
      <c r="J243" s="2"/>
      <c r="K243" s="2"/>
      <c r="L243" s="2"/>
      <c r="M243" s="2"/>
      <c r="N243" s="2"/>
      <c r="O243" s="2"/>
      <c r="P243" s="13"/>
      <c r="Q243" s="13"/>
      <c r="R243" s="13"/>
      <c r="S243" s="2"/>
      <c r="T243" s="2"/>
      <c r="U243" s="2"/>
      <c r="V243" s="2"/>
      <c r="W243" s="2"/>
      <c r="X243" s="2"/>
      <c r="Y243" s="2"/>
      <c r="Z243" s="2"/>
      <c r="AA243" s="2"/>
      <c r="AB243" s="2"/>
      <c r="AC243" s="2"/>
      <c r="AD243" s="2"/>
      <c r="AE243" s="2"/>
      <c r="AF243" s="2"/>
      <c r="AG243" s="2"/>
      <c r="AH243" s="2"/>
    </row>
    <row r="244" spans="1:34" ht="15.75" x14ac:dyDescent="0.3">
      <c r="B244" s="2"/>
      <c r="C244" s="2"/>
      <c r="D244" s="2"/>
      <c r="E244" s="49" t="s">
        <v>521</v>
      </c>
      <c r="F244" s="56" t="s">
        <v>332</v>
      </c>
      <c r="G244" s="300">
        <f>'6. Pump Info'!J31</f>
        <v>0.59599999999999997</v>
      </c>
      <c r="H244" s="300"/>
      <c r="I244" s="300"/>
      <c r="J244" s="2" t="s">
        <v>340</v>
      </c>
      <c r="K244" s="2"/>
      <c r="L244" s="2"/>
      <c r="M244" s="2" t="s">
        <v>1209</v>
      </c>
      <c r="N244" s="2"/>
      <c r="O244" s="2"/>
      <c r="P244" s="13"/>
      <c r="Q244" s="13"/>
      <c r="R244" s="13"/>
      <c r="S244" s="2"/>
      <c r="T244" s="2"/>
      <c r="U244" s="2"/>
      <c r="V244" s="2"/>
      <c r="W244" s="2"/>
      <c r="X244" s="2"/>
      <c r="Y244" s="2"/>
      <c r="Z244" s="2"/>
      <c r="AA244" s="2"/>
      <c r="AB244" s="2"/>
      <c r="AC244" s="2"/>
      <c r="AD244" s="2"/>
      <c r="AE244" s="2"/>
      <c r="AF244" s="2"/>
      <c r="AG244" s="2"/>
      <c r="AH244" s="2"/>
    </row>
    <row r="245" spans="1:34" ht="15.75" x14ac:dyDescent="0.3">
      <c r="B245" s="2"/>
      <c r="C245" s="2"/>
      <c r="D245" s="2"/>
      <c r="E245" s="49" t="s">
        <v>879</v>
      </c>
      <c r="F245" s="56" t="s">
        <v>332</v>
      </c>
      <c r="G245" s="300">
        <f>G244+P65+P67-0.1</f>
        <v>1.4359999999999999</v>
      </c>
      <c r="H245" s="300"/>
      <c r="I245" s="300"/>
      <c r="J245" s="2" t="s">
        <v>340</v>
      </c>
      <c r="K245" s="2"/>
      <c r="L245" s="2"/>
      <c r="M245" s="232" t="s">
        <v>1210</v>
      </c>
      <c r="N245" s="232"/>
      <c r="O245" s="232"/>
      <c r="P245" s="232"/>
      <c r="Q245" s="232"/>
      <c r="R245" s="232"/>
      <c r="S245" s="232"/>
      <c r="T245" s="232"/>
      <c r="U245" s="232"/>
      <c r="V245" s="232"/>
      <c r="W245" s="232"/>
      <c r="X245" s="232"/>
      <c r="Y245" s="232"/>
      <c r="Z245" s="232"/>
      <c r="AA245" s="232"/>
      <c r="AB245" s="232"/>
      <c r="AC245" s="232"/>
      <c r="AD245" s="232"/>
      <c r="AE245" s="232"/>
      <c r="AF245" s="232"/>
      <c r="AG245" s="232"/>
      <c r="AH245" s="2"/>
    </row>
    <row r="246" spans="1:34" x14ac:dyDescent="0.2">
      <c r="B246" s="2"/>
      <c r="C246" s="2"/>
      <c r="D246" s="2"/>
      <c r="E246" s="49"/>
      <c r="F246" s="56"/>
      <c r="G246" s="13"/>
      <c r="H246" s="13"/>
      <c r="I246" s="13"/>
      <c r="J246" s="2"/>
      <c r="K246" s="2"/>
      <c r="L246" s="2"/>
      <c r="M246" s="232"/>
      <c r="N246" s="232"/>
      <c r="O246" s="232"/>
      <c r="P246" s="232"/>
      <c r="Q246" s="232"/>
      <c r="R246" s="232"/>
      <c r="S246" s="232"/>
      <c r="T246" s="232"/>
      <c r="U246" s="232"/>
      <c r="V246" s="232"/>
      <c r="W246" s="232"/>
      <c r="X246" s="232"/>
      <c r="Y246" s="232"/>
      <c r="Z246" s="232"/>
      <c r="AA246" s="232"/>
      <c r="AB246" s="232"/>
      <c r="AC246" s="232"/>
      <c r="AD246" s="232"/>
      <c r="AE246" s="232"/>
      <c r="AF246" s="232"/>
      <c r="AG246" s="232"/>
      <c r="AH246" s="2"/>
    </row>
    <row r="247" spans="1:34" x14ac:dyDescent="0.2">
      <c r="B247" s="2"/>
      <c r="C247" s="2"/>
      <c r="D247" s="2"/>
      <c r="E247" s="49"/>
      <c r="F247" s="56"/>
      <c r="G247" s="13"/>
      <c r="H247" s="13"/>
      <c r="I247" s="13"/>
      <c r="J247" s="2"/>
      <c r="K247" s="2"/>
      <c r="L247" s="2"/>
      <c r="M247" s="2"/>
      <c r="N247" s="2"/>
      <c r="O247" s="2"/>
      <c r="P247" s="13"/>
      <c r="Q247" s="13"/>
      <c r="R247" s="13"/>
      <c r="S247" s="2"/>
      <c r="T247" s="2"/>
      <c r="U247" s="2"/>
      <c r="V247" s="2"/>
      <c r="W247" s="2"/>
      <c r="X247" s="2"/>
      <c r="Y247" s="2"/>
      <c r="Z247" s="2"/>
      <c r="AA247" s="2"/>
      <c r="AB247" s="2"/>
      <c r="AC247" s="2"/>
      <c r="AD247" s="2"/>
      <c r="AE247" s="2"/>
      <c r="AF247" s="2"/>
      <c r="AG247" s="2"/>
      <c r="AH247" s="2"/>
    </row>
    <row r="248" spans="1:34" ht="15.75" x14ac:dyDescent="0.3">
      <c r="B248" s="2"/>
      <c r="C248" s="2"/>
      <c r="D248" s="2"/>
      <c r="E248" s="49" t="s">
        <v>880</v>
      </c>
      <c r="F248" s="56" t="s">
        <v>332</v>
      </c>
      <c r="G248" s="300">
        <f>2/3*P65-0.1</f>
        <v>0.5</v>
      </c>
      <c r="H248" s="300"/>
      <c r="I248" s="300"/>
      <c r="J248" s="2" t="s">
        <v>340</v>
      </c>
      <c r="K248" s="2"/>
      <c r="M248" s="232" t="s">
        <v>1211</v>
      </c>
      <c r="N248" s="232"/>
      <c r="O248" s="232"/>
      <c r="P248" s="232"/>
      <c r="Q248" s="232"/>
      <c r="R248" s="232"/>
      <c r="S248" s="232"/>
      <c r="T248" s="232"/>
      <c r="U248" s="232"/>
      <c r="V248" s="232"/>
      <c r="W248" s="232"/>
      <c r="X248" s="232"/>
      <c r="Y248" s="232"/>
      <c r="Z248" s="232"/>
      <c r="AA248" s="232"/>
      <c r="AB248" s="232"/>
      <c r="AC248" s="232"/>
      <c r="AD248" s="232"/>
      <c r="AE248" s="232"/>
      <c r="AF248" s="232"/>
      <c r="AG248" s="232"/>
      <c r="AH248" s="2"/>
    </row>
    <row r="249" spans="1:34" x14ac:dyDescent="0.2">
      <c r="B249" s="2"/>
      <c r="C249" s="2"/>
      <c r="D249" s="2"/>
      <c r="E249" s="49"/>
      <c r="F249" s="56"/>
      <c r="G249" s="13"/>
      <c r="H249" s="13"/>
      <c r="I249" s="13"/>
      <c r="J249" s="2"/>
      <c r="K249" s="2"/>
      <c r="M249" s="232"/>
      <c r="N249" s="232"/>
      <c r="O249" s="232"/>
      <c r="P249" s="232"/>
      <c r="Q249" s="232"/>
      <c r="R249" s="232"/>
      <c r="S249" s="232"/>
      <c r="T249" s="232"/>
      <c r="U249" s="232"/>
      <c r="V249" s="232"/>
      <c r="W249" s="232"/>
      <c r="X249" s="232"/>
      <c r="Y249" s="232"/>
      <c r="Z249" s="232"/>
      <c r="AA249" s="232"/>
      <c r="AB249" s="232"/>
      <c r="AC249" s="232"/>
      <c r="AD249" s="232"/>
      <c r="AE249" s="232"/>
      <c r="AF249" s="232"/>
      <c r="AG249" s="232"/>
      <c r="AH249" s="2"/>
    </row>
    <row r="250" spans="1:34" x14ac:dyDescent="0.2">
      <c r="B250" s="2"/>
      <c r="C250" s="2"/>
      <c r="D250" s="2"/>
      <c r="E250" s="49"/>
      <c r="F250" s="56"/>
      <c r="G250" s="13"/>
      <c r="H250" s="13"/>
      <c r="I250" s="13"/>
      <c r="J250" s="2"/>
      <c r="K250" s="2"/>
      <c r="M250" s="2"/>
      <c r="N250" s="2"/>
      <c r="O250" s="2"/>
      <c r="P250" s="13"/>
      <c r="Q250" s="13"/>
      <c r="R250" s="13"/>
      <c r="S250" s="2"/>
      <c r="T250" s="2"/>
      <c r="U250" s="2"/>
      <c r="V250" s="2"/>
      <c r="W250" s="2"/>
      <c r="X250" s="2"/>
      <c r="Y250" s="2"/>
      <c r="Z250" s="2"/>
      <c r="AA250" s="2"/>
      <c r="AB250" s="2"/>
      <c r="AC250" s="2"/>
      <c r="AD250" s="2"/>
      <c r="AE250" s="2"/>
      <c r="AF250" s="2"/>
      <c r="AG250" s="2"/>
      <c r="AH250" s="2"/>
    </row>
    <row r="251" spans="1:34" x14ac:dyDescent="0.2">
      <c r="B251" s="2"/>
      <c r="C251" s="2"/>
      <c r="D251" s="2"/>
      <c r="E251" s="69" t="s">
        <v>883</v>
      </c>
      <c r="F251" s="56"/>
      <c r="G251" s="13"/>
      <c r="H251" s="13"/>
      <c r="I251" s="13"/>
      <c r="J251" s="2"/>
      <c r="K251" s="2"/>
      <c r="M251" s="2"/>
      <c r="N251" s="2"/>
      <c r="O251" s="2"/>
      <c r="P251" s="13"/>
      <c r="Q251" s="13"/>
      <c r="R251" s="13"/>
      <c r="S251" s="2"/>
      <c r="T251" s="2"/>
      <c r="U251" s="2"/>
      <c r="V251" s="2"/>
      <c r="W251" s="2"/>
      <c r="X251" s="2"/>
      <c r="Y251" s="2"/>
      <c r="Z251" s="2"/>
      <c r="AA251" s="2"/>
      <c r="AB251" s="2"/>
      <c r="AC251" s="2"/>
      <c r="AD251" s="2"/>
      <c r="AE251" s="2"/>
      <c r="AF251" s="2"/>
      <c r="AG251" s="2"/>
      <c r="AH251" s="2"/>
    </row>
    <row r="252" spans="1:34" ht="15.75" x14ac:dyDescent="0.3">
      <c r="B252" s="2"/>
      <c r="C252" s="2"/>
      <c r="D252" s="2"/>
      <c r="E252" s="49"/>
      <c r="F252" s="49" t="s">
        <v>522</v>
      </c>
      <c r="G252" s="56" t="s">
        <v>332</v>
      </c>
      <c r="H252" s="231">
        <f>G213+G238</f>
        <v>31.995769925329924</v>
      </c>
      <c r="I252" s="231"/>
      <c r="J252" s="231"/>
      <c r="K252" s="2" t="s">
        <v>335</v>
      </c>
      <c r="L252" s="2"/>
      <c r="N252" s="2" t="s">
        <v>881</v>
      </c>
      <c r="O252" s="2"/>
      <c r="P252" s="13"/>
      <c r="Q252" s="13"/>
      <c r="R252" s="13"/>
      <c r="S252" s="2"/>
      <c r="T252" s="2"/>
      <c r="U252" s="2"/>
      <c r="V252" s="2"/>
      <c r="W252" s="2"/>
      <c r="X252" s="2"/>
      <c r="Y252" s="2"/>
      <c r="Z252" s="2"/>
      <c r="AA252" s="2"/>
      <c r="AB252" s="2"/>
      <c r="AC252" s="2"/>
      <c r="AD252" s="2"/>
      <c r="AE252" s="2"/>
      <c r="AF252" s="2"/>
      <c r="AG252" s="2"/>
      <c r="AH252" s="2"/>
    </row>
    <row r="253" spans="1:34" ht="15.75" x14ac:dyDescent="0.3">
      <c r="B253" s="2"/>
      <c r="C253" s="2"/>
      <c r="D253" s="2"/>
      <c r="E253" s="49"/>
      <c r="F253" s="49" t="s">
        <v>523</v>
      </c>
      <c r="G253" s="56" t="s">
        <v>332</v>
      </c>
      <c r="H253" s="231">
        <f>G213*G245+G238*G248</f>
        <v>24.781408464706566</v>
      </c>
      <c r="I253" s="231"/>
      <c r="J253" s="231"/>
      <c r="K253" s="2" t="s">
        <v>524</v>
      </c>
      <c r="L253" s="2"/>
      <c r="M253" s="2"/>
      <c r="N253" s="2" t="s">
        <v>882</v>
      </c>
      <c r="O253" s="2"/>
      <c r="P253" s="13"/>
      <c r="Q253" s="13"/>
      <c r="R253" s="13"/>
      <c r="S253" s="2"/>
      <c r="T253" s="2"/>
      <c r="U253" s="2"/>
      <c r="V253" s="2"/>
      <c r="W253" s="2"/>
      <c r="X253" s="2"/>
      <c r="Y253" s="2"/>
      <c r="Z253" s="2"/>
      <c r="AA253" s="2"/>
      <c r="AB253" s="2"/>
      <c r="AC253" s="2"/>
      <c r="AD253" s="2"/>
      <c r="AE253" s="2"/>
      <c r="AF253" s="2"/>
      <c r="AG253" s="2"/>
      <c r="AH253" s="2"/>
    </row>
    <row r="254" spans="1:34" x14ac:dyDescent="0.2">
      <c r="B254" s="2"/>
      <c r="C254" s="2"/>
      <c r="D254" s="2"/>
      <c r="E254" s="49"/>
      <c r="F254" s="56"/>
      <c r="G254" s="13"/>
      <c r="H254" s="13"/>
      <c r="I254" s="13"/>
      <c r="J254" s="2"/>
      <c r="K254" s="2"/>
      <c r="M254" s="2"/>
      <c r="N254" s="2"/>
      <c r="O254" s="2"/>
      <c r="P254" s="13"/>
      <c r="Q254" s="13"/>
      <c r="R254" s="13"/>
      <c r="S254" s="2"/>
      <c r="T254" s="2"/>
      <c r="U254" s="2"/>
      <c r="V254" s="2"/>
      <c r="W254" s="2"/>
      <c r="X254" s="2"/>
      <c r="Y254" s="2"/>
      <c r="Z254" s="2"/>
      <c r="AA254" s="2"/>
      <c r="AB254" s="2"/>
      <c r="AC254" s="2"/>
      <c r="AD254" s="2"/>
      <c r="AE254" s="2"/>
      <c r="AF254" s="2"/>
      <c r="AG254" s="2"/>
      <c r="AH254" s="2"/>
    </row>
    <row r="255" spans="1:34" x14ac:dyDescent="0.2">
      <c r="A255" s="2"/>
      <c r="B255" s="2"/>
      <c r="C255" s="2"/>
      <c r="D255" s="2"/>
      <c r="E255" s="49"/>
      <c r="F255" s="56"/>
      <c r="G255" s="13"/>
      <c r="H255" s="13"/>
      <c r="I255" s="13"/>
      <c r="J255" s="2"/>
      <c r="K255" s="2"/>
      <c r="L255" s="2"/>
      <c r="M255" s="2"/>
      <c r="N255" s="2"/>
      <c r="O255" s="2"/>
      <c r="P255" s="13"/>
      <c r="Q255" s="13"/>
      <c r="R255" s="13"/>
      <c r="S255" s="2"/>
      <c r="T255" s="2"/>
      <c r="U255" s="2"/>
      <c r="V255" s="2"/>
      <c r="W255" s="2"/>
      <c r="X255" s="2"/>
      <c r="Y255" s="2"/>
      <c r="Z255" s="2"/>
      <c r="AA255" s="2"/>
      <c r="AB255" s="2"/>
      <c r="AC255" s="2"/>
      <c r="AD255" s="2"/>
      <c r="AE255" s="2"/>
      <c r="AF255" s="2"/>
      <c r="AG255" s="2"/>
      <c r="AH255" s="2"/>
    </row>
    <row r="256" spans="1:34" x14ac:dyDescent="0.2">
      <c r="A256" s="2"/>
      <c r="B256" s="2"/>
      <c r="C256" s="2"/>
      <c r="D256" s="2"/>
      <c r="E256" s="69" t="s">
        <v>696</v>
      </c>
      <c r="F256" s="2"/>
      <c r="G256" s="2"/>
      <c r="H256" s="2"/>
      <c r="I256" s="2"/>
      <c r="J256" s="2"/>
      <c r="K256" s="2"/>
      <c r="L256" s="2"/>
      <c r="M256" s="2"/>
      <c r="N256" s="2"/>
      <c r="O256" s="2"/>
      <c r="P256" s="13"/>
      <c r="Q256" s="13"/>
      <c r="R256" s="13"/>
      <c r="S256" s="2"/>
      <c r="T256" s="2"/>
      <c r="U256" s="2"/>
      <c r="V256" s="2"/>
      <c r="W256" s="2"/>
      <c r="X256" s="2"/>
      <c r="Y256" s="2"/>
      <c r="Z256" s="2"/>
      <c r="AA256" s="2"/>
      <c r="AB256" s="2"/>
      <c r="AC256" s="2"/>
      <c r="AD256" s="2"/>
      <c r="AE256" s="2"/>
      <c r="AF256" s="2"/>
      <c r="AG256" s="2"/>
      <c r="AH256" s="2"/>
    </row>
    <row r="257" spans="1:34" ht="15.75" x14ac:dyDescent="0.3">
      <c r="A257" s="2"/>
      <c r="B257" s="2"/>
      <c r="C257" s="2"/>
      <c r="D257" s="2"/>
      <c r="E257" s="2"/>
      <c r="F257" s="49" t="s">
        <v>522</v>
      </c>
      <c r="G257" s="56" t="s">
        <v>332</v>
      </c>
      <c r="H257" s="231">
        <f>G213</f>
        <v>9.3841063056000014</v>
      </c>
      <c r="I257" s="231"/>
      <c r="J257" s="231"/>
      <c r="K257" s="2" t="s">
        <v>335</v>
      </c>
      <c r="L257" s="2"/>
      <c r="N257" s="2" t="s">
        <v>698</v>
      </c>
      <c r="O257" s="2"/>
      <c r="P257" s="13"/>
      <c r="Q257" s="13"/>
      <c r="R257" s="13"/>
      <c r="S257" s="2"/>
      <c r="T257" s="2"/>
      <c r="U257" s="2"/>
      <c r="V257" s="2"/>
      <c r="W257" s="2"/>
      <c r="X257" s="2"/>
      <c r="Y257" s="2"/>
      <c r="Z257" s="2"/>
      <c r="AA257" s="2"/>
      <c r="AB257" s="2"/>
      <c r="AC257" s="2"/>
      <c r="AD257" s="2"/>
      <c r="AE257" s="2"/>
      <c r="AF257" s="2"/>
      <c r="AG257" s="2"/>
      <c r="AH257" s="2"/>
    </row>
    <row r="258" spans="1:34" ht="15.75" x14ac:dyDescent="0.3">
      <c r="A258" s="2"/>
      <c r="B258" s="2"/>
      <c r="C258" s="2"/>
      <c r="D258" s="2"/>
      <c r="E258" s="2"/>
      <c r="F258" s="49" t="s">
        <v>523</v>
      </c>
      <c r="G258" s="56" t="s">
        <v>332</v>
      </c>
      <c r="H258" s="231">
        <f>G244*H257</f>
        <v>5.5929273581376009</v>
      </c>
      <c r="I258" s="231"/>
      <c r="J258" s="231"/>
      <c r="K258" s="2" t="s">
        <v>524</v>
      </c>
      <c r="L258" s="2"/>
      <c r="N258" s="2" t="s">
        <v>699</v>
      </c>
      <c r="O258" s="2"/>
      <c r="P258" s="13"/>
      <c r="Q258" s="13"/>
      <c r="R258" s="13"/>
      <c r="S258" s="2"/>
      <c r="T258" s="2"/>
      <c r="U258" s="2"/>
      <c r="V258" s="2"/>
      <c r="W258" s="2"/>
      <c r="X258" s="2"/>
      <c r="Y258" s="2"/>
      <c r="Z258" s="2"/>
      <c r="AA258" s="2"/>
      <c r="AB258" s="2"/>
      <c r="AC258" s="2"/>
      <c r="AD258" s="2"/>
      <c r="AE258" s="2"/>
      <c r="AF258" s="2"/>
      <c r="AG258" s="2"/>
      <c r="AH258" s="2"/>
    </row>
    <row r="259" spans="1:34" x14ac:dyDescent="0.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row>
    <row r="260" spans="1:34" x14ac:dyDescent="0.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row>
    <row r="261" spans="1:34" s="2" customFormat="1" ht="12.75" x14ac:dyDescent="0.2">
      <c r="B261" s="18"/>
    </row>
    <row r="262" spans="1:34" s="2" customFormat="1" ht="12.75" x14ac:dyDescent="0.2">
      <c r="B262" s="18"/>
      <c r="C262" s="48" t="s">
        <v>1212</v>
      </c>
    </row>
    <row r="263" spans="1:34" s="2" customFormat="1" ht="12.75" x14ac:dyDescent="0.2">
      <c r="B263" s="18"/>
      <c r="C263" s="2" t="s">
        <v>1412</v>
      </c>
    </row>
    <row r="264" spans="1:34" s="2" customFormat="1" ht="12.75" x14ac:dyDescent="0.2">
      <c r="B264" s="18"/>
    </row>
    <row r="265" spans="1:34" s="2" customFormat="1" ht="12.75" x14ac:dyDescent="0.2">
      <c r="B265" s="18"/>
    </row>
    <row r="266" spans="1:34" s="2" customFormat="1" ht="12.75" x14ac:dyDescent="0.2">
      <c r="B266" s="18"/>
    </row>
    <row r="267" spans="1:34" s="2" customFormat="1" ht="12.75" x14ac:dyDescent="0.2">
      <c r="B267" s="18"/>
    </row>
    <row r="268" spans="1:34" s="2" customFormat="1" ht="12.75" x14ac:dyDescent="0.2">
      <c r="B268" s="18"/>
    </row>
    <row r="269" spans="1:34" s="2" customFormat="1" ht="12.75" x14ac:dyDescent="0.2">
      <c r="B269" s="18"/>
    </row>
    <row r="270" spans="1:34" s="2" customFormat="1" ht="12.75" x14ac:dyDescent="0.2">
      <c r="B270" s="18"/>
    </row>
    <row r="271" spans="1:34" s="2" customFormat="1" ht="12.75" x14ac:dyDescent="0.2">
      <c r="B271" s="18"/>
    </row>
    <row r="272" spans="1:34" s="2" customFormat="1" ht="12.75" x14ac:dyDescent="0.2">
      <c r="B272" s="18"/>
    </row>
    <row r="273" spans="2:18" s="2" customFormat="1" ht="12.75" x14ac:dyDescent="0.2">
      <c r="B273" s="18"/>
    </row>
    <row r="274" spans="2:18" s="2" customFormat="1" ht="12.75" x14ac:dyDescent="0.2">
      <c r="B274" s="18"/>
    </row>
    <row r="275" spans="2:18" s="2" customFormat="1" ht="12.75" x14ac:dyDescent="0.2">
      <c r="B275" s="18"/>
    </row>
    <row r="276" spans="2:18" s="2" customFormat="1" ht="12.75" x14ac:dyDescent="0.2">
      <c r="B276" s="18"/>
    </row>
    <row r="277" spans="2:18" s="2" customFormat="1" ht="12.75" x14ac:dyDescent="0.2">
      <c r="B277" s="18"/>
    </row>
    <row r="278" spans="2:18" s="2" customFormat="1" ht="12.75" x14ac:dyDescent="0.2">
      <c r="B278" s="18"/>
    </row>
    <row r="279" spans="2:18" s="2" customFormat="1" ht="12.75" x14ac:dyDescent="0.2">
      <c r="B279" s="18"/>
    </row>
    <row r="280" spans="2:18" s="2" customFormat="1" ht="12.75" x14ac:dyDescent="0.2">
      <c r="B280" s="18"/>
    </row>
    <row r="281" spans="2:18" s="2" customFormat="1" ht="12.75" x14ac:dyDescent="0.2">
      <c r="B281" s="18"/>
    </row>
    <row r="282" spans="2:18" s="2" customFormat="1" ht="12.75" x14ac:dyDescent="0.2">
      <c r="B282" s="18"/>
      <c r="C282" s="48" t="s">
        <v>1213</v>
      </c>
    </row>
    <row r="283" spans="2:18" s="2" customFormat="1" ht="12.75" x14ac:dyDescent="0.2">
      <c r="B283" s="18"/>
      <c r="C283" s="2" t="s">
        <v>470</v>
      </c>
    </row>
    <row r="284" spans="2:18" s="2" customFormat="1" ht="12.75" x14ac:dyDescent="0.2">
      <c r="B284" s="18"/>
    </row>
    <row r="285" spans="2:18" s="2" customFormat="1" x14ac:dyDescent="0.2">
      <c r="B285" s="18"/>
      <c r="E285" s="69" t="s">
        <v>883</v>
      </c>
      <c r="F285" s="56"/>
      <c r="G285" s="13"/>
      <c r="H285" s="13"/>
      <c r="I285" s="13"/>
      <c r="L285" s="1"/>
      <c r="P285" s="13"/>
      <c r="Q285" s="13"/>
      <c r="R285" s="13"/>
    </row>
    <row r="286" spans="2:18" s="2" customFormat="1" ht="15.75" x14ac:dyDescent="0.3">
      <c r="B286" s="18"/>
      <c r="E286" s="49"/>
      <c r="F286" s="49" t="s">
        <v>522</v>
      </c>
      <c r="G286" s="56" t="s">
        <v>332</v>
      </c>
      <c r="H286" s="231">
        <f>H252</f>
        <v>31.995769925329924</v>
      </c>
      <c r="I286" s="231"/>
      <c r="J286" s="231"/>
      <c r="K286" s="2" t="s">
        <v>335</v>
      </c>
      <c r="M286" s="1"/>
      <c r="N286" s="2" t="s">
        <v>881</v>
      </c>
      <c r="P286" s="13"/>
      <c r="Q286" s="13"/>
      <c r="R286" s="13"/>
    </row>
    <row r="287" spans="2:18" s="2" customFormat="1" ht="15.75" x14ac:dyDescent="0.3">
      <c r="B287" s="18"/>
      <c r="E287" s="49"/>
      <c r="F287" s="49" t="s">
        <v>523</v>
      </c>
      <c r="G287" s="56" t="s">
        <v>332</v>
      </c>
      <c r="H287" s="231">
        <f>H253</f>
        <v>24.781408464706566</v>
      </c>
      <c r="I287" s="231"/>
      <c r="J287" s="231"/>
      <c r="K287" s="2" t="s">
        <v>524</v>
      </c>
      <c r="N287" s="2" t="s">
        <v>882</v>
      </c>
      <c r="P287" s="13"/>
      <c r="Q287" s="13"/>
      <c r="R287" s="13"/>
    </row>
    <row r="288" spans="2:18" s="2" customFormat="1" x14ac:dyDescent="0.2">
      <c r="B288" s="18"/>
      <c r="E288" s="49"/>
      <c r="F288" s="56"/>
      <c r="G288" s="13"/>
      <c r="H288" s="13"/>
      <c r="I288" s="13"/>
      <c r="L288" s="1"/>
      <c r="P288" s="13"/>
      <c r="Q288" s="13"/>
      <c r="R288" s="13"/>
    </row>
    <row r="289" spans="2:34" s="2" customFormat="1" ht="12.75" x14ac:dyDescent="0.2">
      <c r="B289" s="18"/>
      <c r="E289" s="49"/>
      <c r="F289" s="56"/>
      <c r="G289" s="13"/>
      <c r="H289" s="13"/>
      <c r="I289" s="13"/>
      <c r="P289" s="13"/>
      <c r="Q289" s="13"/>
      <c r="R289" s="13"/>
    </row>
    <row r="290" spans="2:34" s="2" customFormat="1" ht="12.75" x14ac:dyDescent="0.2">
      <c r="B290" s="18"/>
      <c r="E290" s="69" t="s">
        <v>696</v>
      </c>
      <c r="P290" s="13"/>
      <c r="Q290" s="13"/>
      <c r="R290" s="13"/>
    </row>
    <row r="291" spans="2:34" s="2" customFormat="1" ht="15.75" x14ac:dyDescent="0.3">
      <c r="B291" s="18"/>
      <c r="F291" s="49" t="s">
        <v>522</v>
      </c>
      <c r="G291" s="56" t="s">
        <v>332</v>
      </c>
      <c r="H291" s="231">
        <f>H257</f>
        <v>9.3841063056000014</v>
      </c>
      <c r="I291" s="231"/>
      <c r="J291" s="231"/>
      <c r="K291" s="2" t="s">
        <v>335</v>
      </c>
      <c r="M291" s="1"/>
      <c r="N291" s="2" t="s">
        <v>698</v>
      </c>
      <c r="P291" s="13"/>
      <c r="Q291" s="13"/>
      <c r="R291" s="13"/>
    </row>
    <row r="292" spans="2:34" s="2" customFormat="1" ht="15.75" x14ac:dyDescent="0.3">
      <c r="B292" s="18"/>
      <c r="F292" s="49" t="s">
        <v>523</v>
      </c>
      <c r="G292" s="56" t="s">
        <v>332</v>
      </c>
      <c r="H292" s="231">
        <f>H258</f>
        <v>5.5929273581376009</v>
      </c>
      <c r="I292" s="231"/>
      <c r="J292" s="231"/>
      <c r="K292" s="2" t="s">
        <v>524</v>
      </c>
      <c r="M292" s="1"/>
      <c r="N292" s="2" t="s">
        <v>699</v>
      </c>
      <c r="P292" s="13"/>
      <c r="Q292" s="13"/>
      <c r="R292" s="13"/>
    </row>
    <row r="293" spans="2:34" s="2" customFormat="1" ht="12.75" x14ac:dyDescent="0.2">
      <c r="B293" s="18"/>
    </row>
    <row r="294" spans="2:34" s="2" customFormat="1" ht="12.75" x14ac:dyDescent="0.2">
      <c r="B294" s="18"/>
    </row>
    <row r="295" spans="2:34" s="2" customFormat="1" ht="12.75" x14ac:dyDescent="0.2">
      <c r="B295" s="18"/>
      <c r="C295" s="2" t="s">
        <v>884</v>
      </c>
    </row>
    <row r="296" spans="2:34" s="2" customFormat="1" ht="12.75" x14ac:dyDescent="0.2">
      <c r="B296" s="18"/>
    </row>
    <row r="297" spans="2:34" s="2" customFormat="1" ht="12.75" x14ac:dyDescent="0.2">
      <c r="B297" s="18"/>
    </row>
    <row r="298" spans="2:34" s="2" customFormat="1" ht="12.75" x14ac:dyDescent="0.2">
      <c r="B298" s="18"/>
    </row>
    <row r="299" spans="2:34" s="2" customFormat="1" ht="12.75" x14ac:dyDescent="0.2">
      <c r="B299" s="18"/>
      <c r="C299" s="48" t="s">
        <v>1214</v>
      </c>
    </row>
    <row r="300" spans="2:34" s="2" customFormat="1" ht="12.75" x14ac:dyDescent="0.2">
      <c r="B300" s="18"/>
      <c r="C300" s="2" t="s">
        <v>1412</v>
      </c>
    </row>
    <row r="301" spans="2:34" s="2" customFormat="1" ht="12.75" x14ac:dyDescent="0.2">
      <c r="B301" s="18"/>
    </row>
    <row r="302" spans="2:34" s="2" customFormat="1" ht="12.75" x14ac:dyDescent="0.2">
      <c r="B302" s="18"/>
      <c r="AH302" s="48"/>
    </row>
    <row r="303" spans="2:34" s="2" customFormat="1" ht="12.75" x14ac:dyDescent="0.2">
      <c r="B303" s="18"/>
      <c r="AH303" s="48" t="s">
        <v>471</v>
      </c>
    </row>
    <row r="304" spans="2:34" s="2" customFormat="1" ht="12.75" x14ac:dyDescent="0.2">
      <c r="B304" s="18"/>
      <c r="C304" s="48" t="s">
        <v>1215</v>
      </c>
      <c r="AH304" s="2" t="s">
        <v>469</v>
      </c>
    </row>
    <row r="305" spans="2:34" s="2" customFormat="1" ht="12.75" x14ac:dyDescent="0.2">
      <c r="B305" s="18"/>
      <c r="AH305" s="48" t="s">
        <v>481</v>
      </c>
    </row>
    <row r="306" spans="2:34" s="2" customFormat="1" ht="12.75" x14ac:dyDescent="0.2">
      <c r="B306" s="18"/>
      <c r="D306" s="2" t="s">
        <v>482</v>
      </c>
      <c r="AH306" s="2" t="s">
        <v>469</v>
      </c>
    </row>
    <row r="307" spans="2:34" s="2" customFormat="1" ht="12.75" x14ac:dyDescent="0.2">
      <c r="B307" s="18"/>
      <c r="D307" s="2" t="s">
        <v>483</v>
      </c>
    </row>
    <row r="308" spans="2:34" s="2" customFormat="1" ht="12.75" x14ac:dyDescent="0.2">
      <c r="B308" s="18"/>
      <c r="D308" s="2" t="s">
        <v>484</v>
      </c>
    </row>
    <row r="309" spans="2:34" s="2" customFormat="1" ht="12.75" x14ac:dyDescent="0.2">
      <c r="B309" s="18"/>
    </row>
    <row r="310" spans="2:34" s="2" customFormat="1" ht="12.75" x14ac:dyDescent="0.2">
      <c r="B310" s="18"/>
      <c r="C310" s="2" t="s">
        <v>469</v>
      </c>
    </row>
    <row r="311" spans="2:34" s="2" customFormat="1" ht="12.75" x14ac:dyDescent="0.2">
      <c r="B311" s="18"/>
    </row>
    <row r="312" spans="2:34" s="2" customFormat="1" ht="12.75" x14ac:dyDescent="0.2">
      <c r="B312" s="18"/>
    </row>
    <row r="313" spans="2:34" s="2" customFormat="1" ht="12.75" x14ac:dyDescent="0.2">
      <c r="B313" s="18"/>
    </row>
    <row r="314" spans="2:34" s="2" customFormat="1" ht="12.75" x14ac:dyDescent="0.2">
      <c r="B314" s="18"/>
      <c r="C314" s="48" t="s">
        <v>1216</v>
      </c>
    </row>
    <row r="315" spans="2:34" s="2" customFormat="1" ht="12.75" x14ac:dyDescent="0.2">
      <c r="B315" s="18"/>
      <c r="C315" s="2" t="s">
        <v>472</v>
      </c>
    </row>
    <row r="316" spans="2:34" s="2" customFormat="1" ht="12.75" x14ac:dyDescent="0.2">
      <c r="B316" s="18"/>
    </row>
    <row r="317" spans="2:34" s="2" customFormat="1" ht="12.75" x14ac:dyDescent="0.2">
      <c r="B317" s="18"/>
    </row>
    <row r="318" spans="2:34" s="2" customFormat="1" ht="12.75" x14ac:dyDescent="0.2">
      <c r="B318" s="18"/>
      <c r="C318" s="48" t="s">
        <v>1217</v>
      </c>
    </row>
    <row r="319" spans="2:34" s="2" customFormat="1" ht="12.75" x14ac:dyDescent="0.2">
      <c r="B319" s="18"/>
      <c r="C319" s="2" t="s">
        <v>473</v>
      </c>
    </row>
    <row r="320" spans="2:34" s="2" customFormat="1" ht="12.75" x14ac:dyDescent="0.2">
      <c r="B320" s="18"/>
    </row>
    <row r="321" spans="2:2" s="2" customFormat="1" ht="12.75" x14ac:dyDescent="0.2">
      <c r="B321" s="18"/>
    </row>
    <row r="322" spans="2:2" s="2" customFormat="1" ht="12.75" x14ac:dyDescent="0.2">
      <c r="B322" s="18"/>
    </row>
    <row r="323" spans="2:2" s="2" customFormat="1" ht="12.75" x14ac:dyDescent="0.2">
      <c r="B323" s="18"/>
    </row>
    <row r="324" spans="2:2" s="2" customFormat="1" ht="12.75" x14ac:dyDescent="0.2">
      <c r="B324" s="18"/>
    </row>
    <row r="325" spans="2:2" s="2" customFormat="1" ht="12.75" x14ac:dyDescent="0.2">
      <c r="B325" s="18"/>
    </row>
    <row r="326" spans="2:2" s="2" customFormat="1" ht="12.75" x14ac:dyDescent="0.2">
      <c r="B326" s="18"/>
    </row>
    <row r="327" spans="2:2" s="2" customFormat="1" ht="12.75" x14ac:dyDescent="0.2">
      <c r="B327" s="18"/>
    </row>
    <row r="328" spans="2:2" s="2" customFormat="1" ht="12.75" x14ac:dyDescent="0.2">
      <c r="B328" s="18"/>
    </row>
    <row r="329" spans="2:2" s="2" customFormat="1" ht="12.75" x14ac:dyDescent="0.2">
      <c r="B329" s="18"/>
    </row>
    <row r="330" spans="2:2" s="2" customFormat="1" ht="12.75" x14ac:dyDescent="0.2">
      <c r="B330" s="18"/>
    </row>
    <row r="331" spans="2:2" s="2" customFormat="1" ht="12.75" x14ac:dyDescent="0.2">
      <c r="B331" s="18"/>
    </row>
    <row r="332" spans="2:2" s="2" customFormat="1" ht="12.75" x14ac:dyDescent="0.2">
      <c r="B332" s="18"/>
    </row>
    <row r="333" spans="2:2" s="2" customFormat="1" ht="12.75" x14ac:dyDescent="0.2">
      <c r="B333" s="18"/>
    </row>
    <row r="334" spans="2:2" s="2" customFormat="1" ht="12.75" x14ac:dyDescent="0.2">
      <c r="B334" s="18"/>
    </row>
    <row r="335" spans="2:2" s="2" customFormat="1" ht="12.75" x14ac:dyDescent="0.2">
      <c r="B335" s="18"/>
    </row>
    <row r="336" spans="2:2" s="2" customFormat="1" ht="12.75" x14ac:dyDescent="0.2">
      <c r="B336" s="18"/>
    </row>
    <row r="337" spans="2:3" s="2" customFormat="1" ht="12.75" x14ac:dyDescent="0.2">
      <c r="B337" s="18"/>
    </row>
    <row r="338" spans="2:3" s="2" customFormat="1" ht="12.75" x14ac:dyDescent="0.2">
      <c r="B338" s="18"/>
    </row>
    <row r="339" spans="2:3" s="2" customFormat="1" ht="12.75" x14ac:dyDescent="0.2">
      <c r="B339" s="18"/>
    </row>
    <row r="340" spans="2:3" s="2" customFormat="1" ht="12.75" x14ac:dyDescent="0.2">
      <c r="B340" s="18"/>
    </row>
    <row r="341" spans="2:3" s="2" customFormat="1" ht="12.75" x14ac:dyDescent="0.2">
      <c r="B341" s="18"/>
      <c r="C341" s="48" t="s">
        <v>1218</v>
      </c>
    </row>
    <row r="342" spans="2:3" s="2" customFormat="1" ht="12.75" x14ac:dyDescent="0.2">
      <c r="B342" s="18"/>
      <c r="C342" s="2" t="s">
        <v>1219</v>
      </c>
    </row>
    <row r="343" spans="2:3" s="2" customFormat="1" ht="12.75" x14ac:dyDescent="0.2">
      <c r="B343" s="18"/>
    </row>
    <row r="344" spans="2:3" s="2" customFormat="1" ht="12.75" x14ac:dyDescent="0.2">
      <c r="B344" s="18"/>
    </row>
    <row r="345" spans="2:3" s="2" customFormat="1" ht="12.75" x14ac:dyDescent="0.2">
      <c r="B345" s="18"/>
    </row>
    <row r="346" spans="2:3" s="2" customFormat="1" ht="12.75" x14ac:dyDescent="0.2">
      <c r="B346" s="18"/>
    </row>
    <row r="347" spans="2:3" s="2" customFormat="1" ht="12.75" x14ac:dyDescent="0.2">
      <c r="B347" s="18"/>
    </row>
    <row r="348" spans="2:3" s="2" customFormat="1" ht="12.75" x14ac:dyDescent="0.2">
      <c r="B348" s="18"/>
    </row>
    <row r="349" spans="2:3" s="2" customFormat="1" ht="12.75" x14ac:dyDescent="0.2">
      <c r="B349" s="18"/>
    </row>
    <row r="350" spans="2:3" s="2" customFormat="1" ht="12.75" x14ac:dyDescent="0.2">
      <c r="B350" s="18"/>
    </row>
    <row r="351" spans="2:3" s="2" customFormat="1" ht="12.75" x14ac:dyDescent="0.2">
      <c r="B351" s="18"/>
    </row>
    <row r="352" spans="2:3" s="2" customFormat="1" ht="12.75" x14ac:dyDescent="0.2">
      <c r="B352" s="18"/>
    </row>
    <row r="353" spans="2:33" s="2" customFormat="1" ht="12.75" x14ac:dyDescent="0.2">
      <c r="B353" s="18"/>
    </row>
    <row r="354" spans="2:33" s="2" customFormat="1" ht="12.75" x14ac:dyDescent="0.2">
      <c r="B354" s="18"/>
    </row>
    <row r="355" spans="2:33" s="2" customFormat="1" ht="12.75" x14ac:dyDescent="0.2">
      <c r="B355" s="18"/>
    </row>
    <row r="356" spans="2:33" s="2" customFormat="1" ht="12.75" x14ac:dyDescent="0.2">
      <c r="B356" s="18"/>
    </row>
    <row r="357" spans="2:33" s="2" customFormat="1" ht="12.75" x14ac:dyDescent="0.2">
      <c r="B357" s="18"/>
      <c r="C357" s="2" t="s">
        <v>1494</v>
      </c>
    </row>
    <row r="358" spans="2:33" s="2" customFormat="1" ht="12.75" x14ac:dyDescent="0.2">
      <c r="B358" s="18"/>
      <c r="C358" s="2" t="s">
        <v>1519</v>
      </c>
    </row>
    <row r="359" spans="2:33" s="2" customFormat="1" ht="12.75" x14ac:dyDescent="0.2">
      <c r="B359" s="18"/>
    </row>
    <row r="360" spans="2:33" s="2" customFormat="1" ht="12.75" x14ac:dyDescent="0.2">
      <c r="B360" s="18"/>
      <c r="C360" s="2" t="s">
        <v>1517</v>
      </c>
    </row>
    <row r="361" spans="2:33" s="2" customFormat="1" ht="12.75" x14ac:dyDescent="0.2">
      <c r="B361" s="18"/>
    </row>
    <row r="362" spans="2:33" s="2" customFormat="1" ht="12.75" x14ac:dyDescent="0.2">
      <c r="B362" s="18"/>
    </row>
    <row r="363" spans="2:33" s="2" customFormat="1" ht="12.75" x14ac:dyDescent="0.2">
      <c r="B363" s="18"/>
      <c r="C363" s="232" t="s">
        <v>1520</v>
      </c>
      <c r="D363" s="232"/>
      <c r="E363" s="232"/>
      <c r="F363" s="232"/>
      <c r="G363" s="232"/>
      <c r="H363" s="232"/>
      <c r="I363" s="232"/>
      <c r="J363" s="232"/>
      <c r="K363" s="232"/>
      <c r="L363" s="232"/>
      <c r="M363" s="232"/>
      <c r="N363" s="232"/>
      <c r="O363" s="232"/>
      <c r="P363" s="232"/>
      <c r="Q363" s="232"/>
      <c r="R363" s="232"/>
      <c r="S363" s="232"/>
      <c r="T363" s="232"/>
      <c r="U363" s="232"/>
      <c r="V363" s="232"/>
      <c r="W363" s="232"/>
      <c r="X363" s="232"/>
      <c r="Y363" s="232"/>
      <c r="Z363" s="232"/>
      <c r="AA363" s="232"/>
      <c r="AB363" s="232"/>
      <c r="AC363" s="232"/>
      <c r="AD363" s="232"/>
      <c r="AE363" s="232"/>
      <c r="AF363" s="232"/>
      <c r="AG363" s="232"/>
    </row>
    <row r="364" spans="2:33" s="2" customFormat="1" ht="12.75" x14ac:dyDescent="0.2">
      <c r="B364" s="18"/>
      <c r="C364" s="232"/>
      <c r="D364" s="232"/>
      <c r="E364" s="232"/>
      <c r="F364" s="232"/>
      <c r="G364" s="232"/>
      <c r="H364" s="232"/>
      <c r="I364" s="232"/>
      <c r="J364" s="232"/>
      <c r="K364" s="232"/>
      <c r="L364" s="232"/>
      <c r="M364" s="232"/>
      <c r="N364" s="232"/>
      <c r="O364" s="232"/>
      <c r="P364" s="232"/>
      <c r="Q364" s="232"/>
      <c r="R364" s="232"/>
      <c r="S364" s="232"/>
      <c r="T364" s="232"/>
      <c r="U364" s="232"/>
      <c r="V364" s="232"/>
      <c r="W364" s="232"/>
      <c r="X364" s="232"/>
      <c r="Y364" s="232"/>
      <c r="Z364" s="232"/>
      <c r="AA364" s="232"/>
      <c r="AB364" s="232"/>
      <c r="AC364" s="232"/>
      <c r="AD364" s="232"/>
      <c r="AE364" s="232"/>
      <c r="AF364" s="232"/>
      <c r="AG364" s="232"/>
    </row>
    <row r="365" spans="2:33" s="2" customFormat="1" ht="12.75" x14ac:dyDescent="0.2">
      <c r="B365" s="18"/>
    </row>
    <row r="366" spans="2:33" s="2" customFormat="1" ht="15.75" x14ac:dyDescent="0.3">
      <c r="B366" s="18"/>
      <c r="F366" s="21" t="s">
        <v>1220</v>
      </c>
      <c r="G366" s="13" t="s">
        <v>332</v>
      </c>
      <c r="H366" s="231">
        <f>(146+146+5107+5107+5107)/1000</f>
        <v>15.613</v>
      </c>
      <c r="I366" s="231"/>
      <c r="J366" s="231"/>
      <c r="K366" s="2" t="s">
        <v>335</v>
      </c>
      <c r="O366" s="2" t="s">
        <v>1221</v>
      </c>
    </row>
    <row r="367" spans="2:33" s="2" customFormat="1" ht="15.75" x14ac:dyDescent="0.3">
      <c r="B367" s="18"/>
      <c r="F367" s="21" t="s">
        <v>1158</v>
      </c>
      <c r="G367" s="13" t="s">
        <v>332</v>
      </c>
      <c r="H367" s="288">
        <f>'6. Pump Info'!J37</f>
        <v>1.429</v>
      </c>
      <c r="I367" s="288"/>
      <c r="J367" s="288"/>
      <c r="K367" s="2" t="s">
        <v>340</v>
      </c>
      <c r="O367" s="2" t="s">
        <v>1222</v>
      </c>
    </row>
    <row r="368" spans="2:33" s="2" customFormat="1" ht="15.75" x14ac:dyDescent="0.3">
      <c r="B368" s="18"/>
      <c r="F368" s="21" t="s">
        <v>1169</v>
      </c>
      <c r="G368" s="13" t="s">
        <v>332</v>
      </c>
      <c r="H368" s="288">
        <f>'6. Pump Info'!H439</f>
        <v>0.76200000000000001</v>
      </c>
      <c r="I368" s="288"/>
      <c r="J368" s="288"/>
      <c r="K368" s="2" t="s">
        <v>340</v>
      </c>
      <c r="O368" s="2" t="s">
        <v>1521</v>
      </c>
    </row>
    <row r="369" spans="2:33" s="2" customFormat="1" ht="12.75" x14ac:dyDescent="0.2">
      <c r="B369" s="18"/>
    </row>
    <row r="370" spans="2:33" s="2" customFormat="1" ht="15.75" x14ac:dyDescent="0.3">
      <c r="B370" s="18"/>
      <c r="F370" s="21" t="s">
        <v>1223</v>
      </c>
      <c r="G370" s="13" t="s">
        <v>332</v>
      </c>
      <c r="H370" s="231">
        <f>H366*H367</f>
        <v>22.310977000000001</v>
      </c>
      <c r="I370" s="231"/>
      <c r="J370" s="231"/>
      <c r="K370" s="2" t="s">
        <v>524</v>
      </c>
      <c r="O370" s="2" t="s">
        <v>1224</v>
      </c>
    </row>
    <row r="371" spans="2:33" s="2" customFormat="1" ht="12.75" x14ac:dyDescent="0.2">
      <c r="B371" s="18"/>
      <c r="F371" s="21"/>
      <c r="G371" s="13"/>
      <c r="H371" s="28"/>
      <c r="I371" s="28"/>
      <c r="J371" s="28"/>
    </row>
    <row r="372" spans="2:33" s="2" customFormat="1" ht="15.75" x14ac:dyDescent="0.3">
      <c r="B372" s="18"/>
      <c r="F372" s="21" t="s">
        <v>1225</v>
      </c>
      <c r="G372" s="13" t="s">
        <v>332</v>
      </c>
      <c r="H372" s="231">
        <f>H370/H368</f>
        <v>29.279497375328084</v>
      </c>
      <c r="I372" s="231"/>
      <c r="J372" s="231"/>
      <c r="K372" s="2" t="s">
        <v>335</v>
      </c>
      <c r="O372" s="2" t="s">
        <v>1226</v>
      </c>
    </row>
    <row r="373" spans="2:33" s="2" customFormat="1" ht="12.75" x14ac:dyDescent="0.2">
      <c r="B373" s="18"/>
    </row>
    <row r="374" spans="2:33" s="2" customFormat="1" ht="12.75" x14ac:dyDescent="0.2">
      <c r="B374" s="18"/>
    </row>
    <row r="375" spans="2:33" s="2" customFormat="1" ht="12.75" x14ac:dyDescent="0.2">
      <c r="B375" s="18"/>
      <c r="C375" s="2" t="s">
        <v>1227</v>
      </c>
    </row>
    <row r="376" spans="2:33" s="2" customFormat="1" ht="12.75" x14ac:dyDescent="0.2">
      <c r="B376" s="18"/>
      <c r="C376" s="2" t="s">
        <v>1228</v>
      </c>
    </row>
    <row r="377" spans="2:33" s="2" customFormat="1" ht="12.75" x14ac:dyDescent="0.2">
      <c r="B377" s="18"/>
    </row>
    <row r="378" spans="2:33" s="2" customFormat="1" ht="12.75" x14ac:dyDescent="0.2">
      <c r="B378" s="18"/>
      <c r="C378" s="232" t="s">
        <v>1413</v>
      </c>
      <c r="D378" s="232"/>
      <c r="E378" s="232"/>
      <c r="F378" s="232"/>
      <c r="G378" s="232"/>
      <c r="H378" s="232"/>
      <c r="I378" s="232"/>
      <c r="J378" s="232"/>
      <c r="K378" s="232"/>
      <c r="L378" s="232"/>
      <c r="M378" s="232"/>
      <c r="N378" s="232"/>
      <c r="O378" s="232"/>
      <c r="P378" s="232"/>
      <c r="Q378" s="232"/>
      <c r="R378" s="232"/>
      <c r="S378" s="232"/>
      <c r="T378" s="232"/>
      <c r="U378" s="232"/>
      <c r="V378" s="232"/>
      <c r="W378" s="232"/>
      <c r="X378" s="232"/>
      <c r="Y378" s="232"/>
      <c r="Z378" s="232"/>
      <c r="AA378" s="232"/>
      <c r="AB378" s="232"/>
      <c r="AC378" s="232"/>
      <c r="AD378" s="232"/>
      <c r="AE378" s="232"/>
      <c r="AF378" s="232"/>
      <c r="AG378" s="232"/>
    </row>
    <row r="379" spans="2:33" s="2" customFormat="1" ht="12.75" x14ac:dyDescent="0.2">
      <c r="B379" s="18"/>
      <c r="C379" s="232"/>
      <c r="D379" s="232"/>
      <c r="E379" s="232"/>
      <c r="F379" s="232"/>
      <c r="G379" s="232"/>
      <c r="H379" s="232"/>
      <c r="I379" s="232"/>
      <c r="J379" s="232"/>
      <c r="K379" s="232"/>
      <c r="L379" s="232"/>
      <c r="M379" s="232"/>
      <c r="N379" s="232"/>
      <c r="O379" s="232"/>
      <c r="P379" s="232"/>
      <c r="Q379" s="232"/>
      <c r="R379" s="232"/>
      <c r="S379" s="232"/>
      <c r="T379" s="232"/>
      <c r="U379" s="232"/>
      <c r="V379" s="232"/>
      <c r="W379" s="232"/>
      <c r="X379" s="232"/>
      <c r="Y379" s="232"/>
      <c r="Z379" s="232"/>
      <c r="AA379" s="232"/>
      <c r="AB379" s="232"/>
      <c r="AC379" s="232"/>
      <c r="AD379" s="232"/>
      <c r="AE379" s="232"/>
      <c r="AF379" s="232"/>
      <c r="AG379" s="232"/>
    </row>
    <row r="380" spans="2:33" s="2" customFormat="1" ht="12.75" x14ac:dyDescent="0.2">
      <c r="B380" s="18"/>
    </row>
    <row r="381" spans="2:33" s="2" customFormat="1" ht="12.75" x14ac:dyDescent="0.2">
      <c r="B381" s="18"/>
    </row>
    <row r="382" spans="2:33" s="2" customFormat="1" ht="12.75" x14ac:dyDescent="0.2">
      <c r="B382" s="18"/>
    </row>
    <row r="383" spans="2:33" s="2" customFormat="1" ht="12.75" x14ac:dyDescent="0.2">
      <c r="B383" s="18"/>
    </row>
    <row r="384" spans="2:33" s="2" customFormat="1" ht="12.75" x14ac:dyDescent="0.2">
      <c r="B384" s="18"/>
    </row>
    <row r="385" spans="2:10" s="2" customFormat="1" ht="12.75" x14ac:dyDescent="0.2">
      <c r="B385" s="18"/>
    </row>
    <row r="386" spans="2:10" s="2" customFormat="1" ht="12.75" x14ac:dyDescent="0.2">
      <c r="B386" s="18"/>
    </row>
    <row r="387" spans="2:10" s="2" customFormat="1" ht="12.75" x14ac:dyDescent="0.2">
      <c r="B387" s="18"/>
    </row>
    <row r="388" spans="2:10" s="2" customFormat="1" ht="12.75" x14ac:dyDescent="0.2">
      <c r="B388" s="18"/>
    </row>
    <row r="389" spans="2:10" s="2" customFormat="1" ht="12.75" x14ac:dyDescent="0.2">
      <c r="B389" s="18"/>
    </row>
    <row r="390" spans="2:10" s="2" customFormat="1" ht="12.75" x14ac:dyDescent="0.2">
      <c r="B390" s="18"/>
    </row>
    <row r="391" spans="2:10" s="2" customFormat="1" ht="12.75" x14ac:dyDescent="0.2">
      <c r="B391" s="18"/>
    </row>
    <row r="392" spans="2:10" s="2" customFormat="1" ht="12.75" x14ac:dyDescent="0.2">
      <c r="B392" s="18"/>
    </row>
    <row r="393" spans="2:10" s="2" customFormat="1" ht="12.75" x14ac:dyDescent="0.2">
      <c r="B393" s="18"/>
    </row>
    <row r="394" spans="2:10" s="2" customFormat="1" ht="12.75" x14ac:dyDescent="0.2">
      <c r="B394" s="18"/>
    </row>
    <row r="395" spans="2:10" s="2" customFormat="1" ht="15.75" x14ac:dyDescent="0.3">
      <c r="B395" s="18"/>
      <c r="E395" s="21" t="s">
        <v>1414</v>
      </c>
      <c r="F395" s="13" t="s">
        <v>332</v>
      </c>
      <c r="G395" s="285">
        <f>H372/H155</f>
        <v>0.7982503996181004</v>
      </c>
      <c r="H395" s="285"/>
      <c r="I395" s="285"/>
      <c r="J395" s="2" t="s">
        <v>1415</v>
      </c>
    </row>
    <row r="396" spans="2:10" s="2" customFormat="1" ht="12.75" x14ac:dyDescent="0.2">
      <c r="B396" s="18"/>
    </row>
    <row r="397" spans="2:10" s="2" customFormat="1" ht="12.75" x14ac:dyDescent="0.2">
      <c r="B397" s="18"/>
      <c r="C397" s="2" t="s">
        <v>1416</v>
      </c>
    </row>
    <row r="398" spans="2:10" s="2" customFormat="1" ht="12.75" x14ac:dyDescent="0.2">
      <c r="B398" s="18"/>
    </row>
    <row r="399" spans="2:10" s="2" customFormat="1" ht="12.75" x14ac:dyDescent="0.2">
      <c r="B399" s="18"/>
    </row>
    <row r="400" spans="2:10" s="2" customFormat="1" ht="12.75" x14ac:dyDescent="0.2">
      <c r="B400" s="18"/>
      <c r="C400" s="69" t="s">
        <v>696</v>
      </c>
      <c r="J400" s="2" t="s">
        <v>1236</v>
      </c>
    </row>
    <row r="401" spans="2:15" s="2" customFormat="1" ht="12.75" x14ac:dyDescent="0.2">
      <c r="B401" s="18"/>
    </row>
    <row r="402" spans="2:15" s="2" customFormat="1" ht="15.75" x14ac:dyDescent="0.3">
      <c r="B402" s="18"/>
      <c r="F402" s="21" t="s">
        <v>1233</v>
      </c>
      <c r="G402" s="13" t="s">
        <v>332</v>
      </c>
      <c r="H402" s="231">
        <f>5.107</f>
        <v>5.1070000000000002</v>
      </c>
      <c r="I402" s="231"/>
      <c r="J402" s="231"/>
      <c r="K402" s="2" t="s">
        <v>335</v>
      </c>
      <c r="O402" s="2" t="s">
        <v>570</v>
      </c>
    </row>
    <row r="403" spans="2:15" s="2" customFormat="1" ht="15.75" x14ac:dyDescent="0.3">
      <c r="B403" s="18"/>
      <c r="F403" s="21" t="s">
        <v>1234</v>
      </c>
      <c r="G403" s="13" t="s">
        <v>332</v>
      </c>
      <c r="H403" s="231">
        <f>H402*H367/H368/2</f>
        <v>4.7886502624671916</v>
      </c>
      <c r="I403" s="231"/>
      <c r="J403" s="231"/>
      <c r="K403" s="2" t="s">
        <v>335</v>
      </c>
      <c r="O403" s="2" t="s">
        <v>1235</v>
      </c>
    </row>
    <row r="404" spans="2:15" s="2" customFormat="1" ht="12.75" x14ac:dyDescent="0.2">
      <c r="B404" s="18"/>
    </row>
    <row r="405" spans="2:15" s="2" customFormat="1" ht="12.75" x14ac:dyDescent="0.2">
      <c r="B405" s="18"/>
    </row>
    <row r="406" spans="2:15" s="2" customFormat="1" ht="12.75" x14ac:dyDescent="0.2">
      <c r="B406" s="18"/>
    </row>
    <row r="407" spans="2:15" s="2" customFormat="1" ht="12.75" x14ac:dyDescent="0.2">
      <c r="B407" s="18"/>
    </row>
    <row r="408" spans="2:15" s="2" customFormat="1" ht="12.75" x14ac:dyDescent="0.2">
      <c r="B408" s="18"/>
      <c r="C408" s="69" t="s">
        <v>883</v>
      </c>
    </row>
    <row r="409" spans="2:15" s="2" customFormat="1" ht="12.75" x14ac:dyDescent="0.2">
      <c r="B409" s="18"/>
    </row>
    <row r="410" spans="2:15" s="2" customFormat="1" ht="15.75" x14ac:dyDescent="0.3">
      <c r="B410" s="18"/>
      <c r="F410" s="21" t="s">
        <v>1229</v>
      </c>
      <c r="G410" s="13" t="s">
        <v>332</v>
      </c>
      <c r="H410" s="231">
        <f>H368+P65+P67-0.1</f>
        <v>1.6019999999999999</v>
      </c>
      <c r="I410" s="231"/>
      <c r="J410" s="231"/>
      <c r="K410" s="2" t="s">
        <v>340</v>
      </c>
      <c r="O410" s="2" t="s">
        <v>1232</v>
      </c>
    </row>
    <row r="411" spans="2:15" s="2" customFormat="1" ht="12.75" x14ac:dyDescent="0.2">
      <c r="B411" s="18"/>
    </row>
    <row r="412" spans="2:15" s="2" customFormat="1" ht="15.75" x14ac:dyDescent="0.3">
      <c r="B412" s="18"/>
      <c r="F412" s="21" t="s">
        <v>1230</v>
      </c>
      <c r="G412" s="13" t="s">
        <v>332</v>
      </c>
      <c r="H412" s="231">
        <f>H372</f>
        <v>29.279497375328084</v>
      </c>
      <c r="I412" s="231"/>
      <c r="J412" s="231"/>
      <c r="K412" s="2" t="s">
        <v>335</v>
      </c>
    </row>
    <row r="413" spans="2:15" s="2" customFormat="1" ht="15.75" x14ac:dyDescent="0.3">
      <c r="B413" s="18"/>
      <c r="F413" s="21" t="s">
        <v>1231</v>
      </c>
      <c r="G413" s="13" t="s">
        <v>332</v>
      </c>
      <c r="H413" s="231">
        <f>H412*H410</f>
        <v>46.905754795275584</v>
      </c>
      <c r="I413" s="231"/>
      <c r="J413" s="231"/>
      <c r="K413" s="2" t="s">
        <v>524</v>
      </c>
    </row>
    <row r="414" spans="2:15" s="2" customFormat="1" ht="12.75" x14ac:dyDescent="0.2">
      <c r="B414" s="18"/>
      <c r="F414" s="21"/>
      <c r="G414" s="13"/>
      <c r="H414" s="28"/>
      <c r="I414" s="28"/>
      <c r="J414" s="28"/>
    </row>
    <row r="415" spans="2:15" s="2" customFormat="1" ht="12.75" x14ac:dyDescent="0.2">
      <c r="B415" s="18"/>
      <c r="F415" s="21"/>
      <c r="G415" s="13"/>
      <c r="H415" s="28"/>
      <c r="I415" s="28"/>
      <c r="J415" s="28"/>
    </row>
    <row r="416" spans="2:15" s="2" customFormat="1" ht="12.75" x14ac:dyDescent="0.2">
      <c r="B416" s="18"/>
      <c r="F416" s="21"/>
      <c r="G416" s="13"/>
      <c r="H416" s="28"/>
      <c r="I416" s="28"/>
      <c r="J416" s="28"/>
    </row>
    <row r="417" spans="2:10" s="2" customFormat="1" ht="12.75" x14ac:dyDescent="0.2">
      <c r="B417" s="18"/>
      <c r="F417" s="21"/>
      <c r="G417" s="13"/>
      <c r="H417" s="28"/>
      <c r="I417" s="28"/>
      <c r="J417" s="28"/>
    </row>
    <row r="418" spans="2:10" s="2" customFormat="1" ht="12.75" x14ac:dyDescent="0.2">
      <c r="B418" s="18"/>
      <c r="F418" s="21"/>
      <c r="G418" s="13"/>
      <c r="H418" s="28"/>
      <c r="I418" s="28"/>
      <c r="J418" s="28"/>
    </row>
    <row r="419" spans="2:10" s="2" customFormat="1" ht="12.75" x14ac:dyDescent="0.2">
      <c r="B419" s="18"/>
      <c r="F419" s="21"/>
      <c r="G419" s="13"/>
      <c r="H419" s="28"/>
      <c r="I419" s="28"/>
      <c r="J419" s="28"/>
    </row>
    <row r="420" spans="2:10" s="2" customFormat="1" ht="12.75" x14ac:dyDescent="0.2">
      <c r="B420" s="18"/>
      <c r="F420" s="21"/>
      <c r="G420" s="13"/>
      <c r="H420" s="28"/>
      <c r="I420" s="28"/>
      <c r="J420" s="28"/>
    </row>
    <row r="421" spans="2:10" s="2" customFormat="1" ht="12.75" x14ac:dyDescent="0.2">
      <c r="B421" s="18"/>
      <c r="F421" s="21"/>
      <c r="G421" s="13"/>
      <c r="H421" s="28"/>
      <c r="I421" s="28"/>
      <c r="J421" s="28"/>
    </row>
    <row r="422" spans="2:10" s="2" customFormat="1" ht="12.75" x14ac:dyDescent="0.2">
      <c r="B422" s="18"/>
      <c r="F422" s="21"/>
      <c r="G422" s="13"/>
      <c r="H422" s="28"/>
      <c r="I422" s="28"/>
      <c r="J422" s="28"/>
    </row>
    <row r="423" spans="2:10" s="2" customFormat="1" ht="12.75" x14ac:dyDescent="0.2">
      <c r="B423" s="18"/>
      <c r="F423" s="21"/>
      <c r="G423" s="13"/>
      <c r="H423" s="28"/>
      <c r="I423" s="28"/>
      <c r="J423" s="28"/>
    </row>
    <row r="424" spans="2:10" s="2" customFormat="1" ht="12.75" x14ac:dyDescent="0.2">
      <c r="B424" s="18"/>
      <c r="F424" s="21"/>
      <c r="G424" s="13"/>
      <c r="H424" s="28"/>
      <c r="I424" s="28"/>
      <c r="J424" s="28"/>
    </row>
    <row r="425" spans="2:10" s="2" customFormat="1" ht="12.75" x14ac:dyDescent="0.2">
      <c r="B425" s="18"/>
      <c r="F425" s="21"/>
      <c r="G425" s="13"/>
      <c r="H425" s="28"/>
      <c r="I425" s="28"/>
      <c r="J425" s="28"/>
    </row>
    <row r="426" spans="2:10" s="2" customFormat="1" ht="12.75" x14ac:dyDescent="0.2">
      <c r="B426" s="18"/>
      <c r="F426" s="21"/>
      <c r="G426" s="13"/>
      <c r="H426" s="28"/>
      <c r="I426" s="28"/>
      <c r="J426" s="28"/>
    </row>
    <row r="427" spans="2:10" s="2" customFormat="1" ht="12.75" x14ac:dyDescent="0.2">
      <c r="B427" s="18"/>
      <c r="F427" s="21"/>
      <c r="G427" s="13"/>
      <c r="H427" s="28"/>
      <c r="I427" s="28"/>
      <c r="J427" s="28"/>
    </row>
    <row r="428" spans="2:10" s="2" customFormat="1" ht="12.75" x14ac:dyDescent="0.2">
      <c r="B428" s="18"/>
      <c r="F428" s="21"/>
      <c r="G428" s="13"/>
      <c r="H428" s="28"/>
      <c r="I428" s="28"/>
      <c r="J428" s="28"/>
    </row>
    <row r="429" spans="2:10" s="2" customFormat="1" ht="12.75" x14ac:dyDescent="0.2">
      <c r="B429" s="18"/>
      <c r="F429" s="21"/>
      <c r="G429" s="13"/>
      <c r="H429" s="28"/>
      <c r="I429" s="28"/>
      <c r="J429" s="28"/>
    </row>
    <row r="430" spans="2:10" s="2" customFormat="1" ht="12.75" x14ac:dyDescent="0.2">
      <c r="B430" s="18"/>
      <c r="F430" s="21"/>
      <c r="G430" s="13"/>
      <c r="H430" s="28"/>
      <c r="I430" s="28"/>
      <c r="J430" s="28"/>
    </row>
    <row r="431" spans="2:10" s="2" customFormat="1" ht="12.75" x14ac:dyDescent="0.2">
      <c r="B431" s="18"/>
      <c r="F431" s="21"/>
      <c r="G431" s="13"/>
      <c r="H431" s="28"/>
      <c r="I431" s="28"/>
      <c r="J431" s="28"/>
    </row>
    <row r="432" spans="2:10" s="2" customFormat="1" ht="12.75" x14ac:dyDescent="0.2">
      <c r="B432" s="18"/>
      <c r="F432" s="21"/>
      <c r="G432" s="13"/>
      <c r="H432" s="28"/>
      <c r="I432" s="28"/>
      <c r="J432" s="28"/>
    </row>
    <row r="433" spans="2:10" s="2" customFormat="1" ht="12.75" x14ac:dyDescent="0.2">
      <c r="B433" s="18"/>
      <c r="F433" s="21"/>
      <c r="G433" s="13"/>
      <c r="H433" s="28"/>
      <c r="I433" s="28"/>
      <c r="J433" s="28"/>
    </row>
    <row r="434" spans="2:10" s="2" customFormat="1" ht="12.75" x14ac:dyDescent="0.2">
      <c r="B434" s="18"/>
      <c r="F434" s="21"/>
      <c r="G434" s="13"/>
      <c r="H434" s="28"/>
      <c r="I434" s="28"/>
      <c r="J434" s="28"/>
    </row>
    <row r="435" spans="2:10" s="2" customFormat="1" ht="12.75" x14ac:dyDescent="0.2">
      <c r="B435" s="18"/>
      <c r="F435" s="21"/>
      <c r="G435" s="13"/>
      <c r="H435" s="28"/>
      <c r="I435" s="28"/>
      <c r="J435" s="28"/>
    </row>
    <row r="436" spans="2:10" s="2" customFormat="1" ht="12.75" x14ac:dyDescent="0.2">
      <c r="B436" s="18"/>
      <c r="F436" s="21"/>
      <c r="G436" s="13"/>
      <c r="H436" s="28"/>
      <c r="I436" s="28"/>
      <c r="J436" s="28"/>
    </row>
    <row r="437" spans="2:10" s="2" customFormat="1" ht="12.75" x14ac:dyDescent="0.2">
      <c r="B437" s="18"/>
      <c r="F437" s="21"/>
      <c r="G437" s="13"/>
      <c r="H437" s="28"/>
      <c r="I437" s="28"/>
      <c r="J437" s="28"/>
    </row>
    <row r="438" spans="2:10" s="2" customFormat="1" ht="12.75" x14ac:dyDescent="0.2">
      <c r="B438" s="18"/>
      <c r="F438" s="21"/>
      <c r="G438" s="13"/>
      <c r="H438" s="28"/>
      <c r="I438" s="28"/>
      <c r="J438" s="28"/>
    </row>
    <row r="439" spans="2:10" s="2" customFormat="1" ht="12.75" x14ac:dyDescent="0.2">
      <c r="B439" s="18"/>
      <c r="F439" s="21"/>
      <c r="G439" s="13"/>
      <c r="H439" s="28"/>
      <c r="I439" s="28"/>
      <c r="J439" s="28"/>
    </row>
    <row r="440" spans="2:10" s="2" customFormat="1" ht="12.75" x14ac:dyDescent="0.2">
      <c r="B440" s="18"/>
      <c r="F440" s="21"/>
      <c r="G440" s="13"/>
      <c r="H440" s="28"/>
      <c r="I440" s="28"/>
      <c r="J440" s="28"/>
    </row>
    <row r="441" spans="2:10" s="2" customFormat="1" ht="12.75" x14ac:dyDescent="0.2">
      <c r="B441" s="18"/>
      <c r="F441" s="21"/>
      <c r="G441" s="13"/>
      <c r="H441" s="28"/>
      <c r="I441" s="28"/>
      <c r="J441" s="28"/>
    </row>
    <row r="442" spans="2:10" s="2" customFormat="1" ht="12.75" x14ac:dyDescent="0.2">
      <c r="B442" s="18"/>
      <c r="F442" s="21"/>
      <c r="G442" s="13"/>
      <c r="H442" s="28"/>
      <c r="I442" s="28"/>
      <c r="J442" s="28"/>
    </row>
    <row r="443" spans="2:10" s="2" customFormat="1" ht="12.75" x14ac:dyDescent="0.2">
      <c r="B443" s="18"/>
      <c r="F443" s="21"/>
      <c r="G443" s="13"/>
      <c r="H443" s="28"/>
      <c r="I443" s="28"/>
      <c r="J443" s="28"/>
    </row>
    <row r="444" spans="2:10" s="2" customFormat="1" ht="12.75" x14ac:dyDescent="0.2">
      <c r="B444" s="18"/>
      <c r="F444" s="21"/>
      <c r="G444" s="13"/>
      <c r="H444" s="28"/>
      <c r="I444" s="28"/>
      <c r="J444" s="28"/>
    </row>
    <row r="445" spans="2:10" s="2" customFormat="1" ht="12.75" x14ac:dyDescent="0.2">
      <c r="B445" s="18"/>
      <c r="F445" s="21"/>
      <c r="G445" s="13"/>
      <c r="H445" s="28"/>
      <c r="I445" s="28"/>
      <c r="J445" s="28"/>
    </row>
    <row r="446" spans="2:10" s="2" customFormat="1" ht="12.75" x14ac:dyDescent="0.2">
      <c r="B446" s="18"/>
      <c r="F446" s="21"/>
      <c r="G446" s="13"/>
      <c r="H446" s="28"/>
      <c r="I446" s="28"/>
      <c r="J446" s="28"/>
    </row>
    <row r="447" spans="2:10" s="2" customFormat="1" ht="12.75" x14ac:dyDescent="0.2">
      <c r="B447" s="18"/>
      <c r="F447" s="21"/>
      <c r="G447" s="13"/>
      <c r="H447" s="28"/>
      <c r="I447" s="28"/>
      <c r="J447" s="28"/>
    </row>
    <row r="448" spans="2:10" s="2" customFormat="1" ht="12.75" x14ac:dyDescent="0.2">
      <c r="B448" s="18"/>
      <c r="F448" s="21"/>
      <c r="G448" s="13"/>
      <c r="H448" s="28"/>
      <c r="I448" s="28"/>
      <c r="J448" s="28"/>
    </row>
    <row r="449" spans="2:10" s="2" customFormat="1" ht="12.75" x14ac:dyDescent="0.2">
      <c r="B449" s="18"/>
      <c r="F449" s="21"/>
      <c r="G449" s="13"/>
      <c r="H449" s="28"/>
      <c r="I449" s="28"/>
      <c r="J449" s="28"/>
    </row>
    <row r="450" spans="2:10" s="2" customFormat="1" ht="12.75" x14ac:dyDescent="0.2">
      <c r="B450" s="18"/>
      <c r="F450" s="21"/>
      <c r="G450" s="13"/>
      <c r="H450" s="28"/>
      <c r="I450" s="28"/>
      <c r="J450" s="28"/>
    </row>
    <row r="451" spans="2:10" s="2" customFormat="1" ht="12.75" x14ac:dyDescent="0.2">
      <c r="B451" s="18"/>
      <c r="F451" s="21"/>
      <c r="G451" s="13"/>
      <c r="H451" s="28"/>
      <c r="I451" s="28"/>
      <c r="J451" s="28"/>
    </row>
    <row r="452" spans="2:10" s="2" customFormat="1" ht="12.75" x14ac:dyDescent="0.2">
      <c r="B452" s="18"/>
      <c r="F452" s="21"/>
      <c r="G452" s="13"/>
      <c r="H452" s="28"/>
      <c r="I452" s="28"/>
      <c r="J452" s="28"/>
    </row>
    <row r="453" spans="2:10" s="2" customFormat="1" ht="12.75" x14ac:dyDescent="0.2">
      <c r="B453" s="18"/>
      <c r="F453" s="21"/>
      <c r="G453" s="13"/>
      <c r="H453" s="28"/>
      <c r="I453" s="28"/>
      <c r="J453" s="28"/>
    </row>
    <row r="454" spans="2:10" s="2" customFormat="1" ht="12.75" x14ac:dyDescent="0.2">
      <c r="B454" s="18"/>
      <c r="F454" s="21"/>
      <c r="G454" s="13"/>
      <c r="H454" s="28"/>
      <c r="I454" s="28"/>
      <c r="J454" s="28"/>
    </row>
    <row r="455" spans="2:10" s="2" customFormat="1" ht="12.75" x14ac:dyDescent="0.2">
      <c r="B455" s="18"/>
      <c r="F455" s="21"/>
      <c r="G455" s="13"/>
      <c r="H455" s="28"/>
      <c r="I455" s="28"/>
      <c r="J455" s="28"/>
    </row>
    <row r="456" spans="2:10" s="2" customFormat="1" ht="12.75" x14ac:dyDescent="0.2">
      <c r="B456" s="18"/>
      <c r="F456" s="21"/>
      <c r="G456" s="13"/>
      <c r="H456" s="28"/>
      <c r="I456" s="28"/>
      <c r="J456" s="28"/>
    </row>
    <row r="457" spans="2:10" s="2" customFormat="1" ht="12.75" x14ac:dyDescent="0.2">
      <c r="B457" s="18"/>
      <c r="F457" s="21"/>
      <c r="G457" s="13"/>
      <c r="H457" s="28"/>
      <c r="I457" s="28"/>
      <c r="J457" s="28"/>
    </row>
  </sheetData>
  <mergeCells count="255">
    <mergeCell ref="H413:J413"/>
    <mergeCell ref="C48:F48"/>
    <mergeCell ref="G48:I48"/>
    <mergeCell ref="J48:AB48"/>
    <mergeCell ref="AC48:AF48"/>
    <mergeCell ref="C49:F49"/>
    <mergeCell ref="G49:I49"/>
    <mergeCell ref="J49:AB49"/>
    <mergeCell ref="AC49:AF49"/>
    <mergeCell ref="C50:F50"/>
    <mergeCell ref="G50:I50"/>
    <mergeCell ref="J50:AB50"/>
    <mergeCell ref="AC50:AF50"/>
    <mergeCell ref="C59:AG60"/>
    <mergeCell ref="H64:K64"/>
    <mergeCell ref="L64:O64"/>
    <mergeCell ref="P64:S64"/>
    <mergeCell ref="T64:W64"/>
    <mergeCell ref="D65:G65"/>
    <mergeCell ref="L65:O65"/>
    <mergeCell ref="P65:S65"/>
    <mergeCell ref="T65:W65"/>
    <mergeCell ref="D66:G66"/>
    <mergeCell ref="H66:K66"/>
    <mergeCell ref="C47:F47"/>
    <mergeCell ref="G47:I47"/>
    <mergeCell ref="J47:AB47"/>
    <mergeCell ref="AC47:AF47"/>
    <mergeCell ref="C45:F45"/>
    <mergeCell ref="G45:I45"/>
    <mergeCell ref="J38:AB38"/>
    <mergeCell ref="J45:AB45"/>
    <mergeCell ref="AC45:AF45"/>
    <mergeCell ref="C43:F43"/>
    <mergeCell ref="G43:I43"/>
    <mergeCell ref="J43:AB43"/>
    <mergeCell ref="AC43:AF43"/>
    <mergeCell ref="C44:F44"/>
    <mergeCell ref="G44:I44"/>
    <mergeCell ref="J44:AB44"/>
    <mergeCell ref="AC44:AF44"/>
    <mergeCell ref="C42:F42"/>
    <mergeCell ref="G42:I42"/>
    <mergeCell ref="J42:AB42"/>
    <mergeCell ref="AC42:AF42"/>
    <mergeCell ref="C39:F39"/>
    <mergeCell ref="G39:I39"/>
    <mergeCell ref="J39:AB39"/>
    <mergeCell ref="AC39:AF39"/>
    <mergeCell ref="C40:F40"/>
    <mergeCell ref="G40:I40"/>
    <mergeCell ref="J40:AB40"/>
    <mergeCell ref="AC40:AF40"/>
    <mergeCell ref="C41:F41"/>
    <mergeCell ref="G41:I41"/>
    <mergeCell ref="J41:AB41"/>
    <mergeCell ref="AC41:AF41"/>
    <mergeCell ref="C36:F36"/>
    <mergeCell ref="G36:I36"/>
    <mergeCell ref="J36:AB36"/>
    <mergeCell ref="AC36:AF36"/>
    <mergeCell ref="C34:F34"/>
    <mergeCell ref="G34:I34"/>
    <mergeCell ref="J34:AB34"/>
    <mergeCell ref="AC34:AF34"/>
    <mergeCell ref="C35:F35"/>
    <mergeCell ref="G35:I35"/>
    <mergeCell ref="J35:AB35"/>
    <mergeCell ref="AC35:AF35"/>
    <mergeCell ref="G33:I33"/>
    <mergeCell ref="J33:AB33"/>
    <mergeCell ref="AC33:AF33"/>
    <mergeCell ref="C31:F31"/>
    <mergeCell ref="G31:I31"/>
    <mergeCell ref="J31:AB31"/>
    <mergeCell ref="AC31:AF31"/>
    <mergeCell ref="C32:F32"/>
    <mergeCell ref="G32:I32"/>
    <mergeCell ref="AC32:AF32"/>
    <mergeCell ref="G19:I19"/>
    <mergeCell ref="J19:AB19"/>
    <mergeCell ref="AC19:AF19"/>
    <mergeCell ref="C30:F30"/>
    <mergeCell ref="G30:I30"/>
    <mergeCell ref="J30:AB30"/>
    <mergeCell ref="AC30:AF30"/>
    <mergeCell ref="C18:F18"/>
    <mergeCell ref="G18:I18"/>
    <mergeCell ref="J18:AB18"/>
    <mergeCell ref="AC18:AF18"/>
    <mergeCell ref="C26:F26"/>
    <mergeCell ref="G26:I26"/>
    <mergeCell ref="J26:AB26"/>
    <mergeCell ref="AC26:AF26"/>
    <mergeCell ref="G27:I27"/>
    <mergeCell ref="J27:AB27"/>
    <mergeCell ref="AC27:AF27"/>
    <mergeCell ref="G28:I28"/>
    <mergeCell ref="J28:AB28"/>
    <mergeCell ref="AC28:AF28"/>
    <mergeCell ref="C29:F29"/>
    <mergeCell ref="G29:I29"/>
    <mergeCell ref="J29:AB29"/>
    <mergeCell ref="C15:F15"/>
    <mergeCell ref="G15:I15"/>
    <mergeCell ref="J15:AB15"/>
    <mergeCell ref="J24:AB24"/>
    <mergeCell ref="AC24:AF24"/>
    <mergeCell ref="C17:F17"/>
    <mergeCell ref="G17:I17"/>
    <mergeCell ref="J17:AB17"/>
    <mergeCell ref="AC17:AF17"/>
    <mergeCell ref="C23:F23"/>
    <mergeCell ref="G23:I23"/>
    <mergeCell ref="J23:AB23"/>
    <mergeCell ref="AC23:AF23"/>
    <mergeCell ref="C22:F22"/>
    <mergeCell ref="G22:I22"/>
    <mergeCell ref="G21:I21"/>
    <mergeCell ref="J22:AB22"/>
    <mergeCell ref="AC22:AF22"/>
    <mergeCell ref="C21:F21"/>
    <mergeCell ref="C20:F20"/>
    <mergeCell ref="G20:I20"/>
    <mergeCell ref="J20:AB20"/>
    <mergeCell ref="AC20:AF20"/>
    <mergeCell ref="C19:F19"/>
    <mergeCell ref="C46:F46"/>
    <mergeCell ref="G46:I46"/>
    <mergeCell ref="J46:AB46"/>
    <mergeCell ref="AC46:AF46"/>
    <mergeCell ref="J21:AB21"/>
    <mergeCell ref="AC21:AF21"/>
    <mergeCell ref="G25:I25"/>
    <mergeCell ref="J25:AB25"/>
    <mergeCell ref="AC25:AF25"/>
    <mergeCell ref="C27:F27"/>
    <mergeCell ref="AC29:AF29"/>
    <mergeCell ref="C24:F24"/>
    <mergeCell ref="G24:I24"/>
    <mergeCell ref="C37:F37"/>
    <mergeCell ref="G37:I37"/>
    <mergeCell ref="J37:AB37"/>
    <mergeCell ref="AC37:AF37"/>
    <mergeCell ref="C28:F28"/>
    <mergeCell ref="C25:F25"/>
    <mergeCell ref="C38:F38"/>
    <mergeCell ref="G38:I38"/>
    <mergeCell ref="J32:AB32"/>
    <mergeCell ref="AC38:AF38"/>
    <mergeCell ref="C33:F33"/>
    <mergeCell ref="G10:I10"/>
    <mergeCell ref="C14:F14"/>
    <mergeCell ref="G14:I14"/>
    <mergeCell ref="J14:AB14"/>
    <mergeCell ref="C12:F12"/>
    <mergeCell ref="AC14:AF14"/>
    <mergeCell ref="C13:F13"/>
    <mergeCell ref="G13:I13"/>
    <mergeCell ref="J13:AB13"/>
    <mergeCell ref="AC13:AF13"/>
    <mergeCell ref="C4:AF5"/>
    <mergeCell ref="C8:F8"/>
    <mergeCell ref="G8:I8"/>
    <mergeCell ref="AC8:AF8"/>
    <mergeCell ref="J8:AB8"/>
    <mergeCell ref="AC15:AF15"/>
    <mergeCell ref="C16:F16"/>
    <mergeCell ref="G16:I16"/>
    <mergeCell ref="J16:AB16"/>
    <mergeCell ref="AC16:AF16"/>
    <mergeCell ref="J9:AB9"/>
    <mergeCell ref="J10:AB10"/>
    <mergeCell ref="AC9:AF9"/>
    <mergeCell ref="AC10:AF10"/>
    <mergeCell ref="G12:I12"/>
    <mergeCell ref="J12:AB12"/>
    <mergeCell ref="AC12:AF12"/>
    <mergeCell ref="C11:F11"/>
    <mergeCell ref="G11:I11"/>
    <mergeCell ref="J11:AB11"/>
    <mergeCell ref="AC11:AF11"/>
    <mergeCell ref="C9:F9"/>
    <mergeCell ref="C10:F10"/>
    <mergeCell ref="G9:I9"/>
    <mergeCell ref="L66:O66"/>
    <mergeCell ref="P66:S66"/>
    <mergeCell ref="T66:W66"/>
    <mergeCell ref="H65:K65"/>
    <mergeCell ref="D67:G67"/>
    <mergeCell ref="H67:K67"/>
    <mergeCell ref="L67:O67"/>
    <mergeCell ref="P67:S67"/>
    <mergeCell ref="T67:W67"/>
    <mergeCell ref="T68:W68"/>
    <mergeCell ref="N70:P70"/>
    <mergeCell ref="N71:P71"/>
    <mergeCell ref="H124:J124"/>
    <mergeCell ref="H125:J125"/>
    <mergeCell ref="G186:I186"/>
    <mergeCell ref="P186:R186"/>
    <mergeCell ref="G187:I187"/>
    <mergeCell ref="P187:R187"/>
    <mergeCell ref="U70:AG71"/>
    <mergeCell ref="C130:AG131"/>
    <mergeCell ref="G188:I188"/>
    <mergeCell ref="P188:R188"/>
    <mergeCell ref="G189:I189"/>
    <mergeCell ref="P189:R189"/>
    <mergeCell ref="H148:J148"/>
    <mergeCell ref="H155:J155"/>
    <mergeCell ref="G190:I190"/>
    <mergeCell ref="P190:R190"/>
    <mergeCell ref="G191:I191"/>
    <mergeCell ref="P191:R191"/>
    <mergeCell ref="G192:I192"/>
    <mergeCell ref="P192:R192"/>
    <mergeCell ref="G194:I194"/>
    <mergeCell ref="H200:J200"/>
    <mergeCell ref="H201:J201"/>
    <mergeCell ref="M248:AG249"/>
    <mergeCell ref="H252:J252"/>
    <mergeCell ref="H253:J253"/>
    <mergeCell ref="H257:J257"/>
    <mergeCell ref="G210:I210"/>
    <mergeCell ref="G211:I211"/>
    <mergeCell ref="G213:I213"/>
    <mergeCell ref="D228:AG229"/>
    <mergeCell ref="G232:I232"/>
    <mergeCell ref="G233:I233"/>
    <mergeCell ref="G234:I234"/>
    <mergeCell ref="G235:I235"/>
    <mergeCell ref="G237:I237"/>
    <mergeCell ref="H372:J372"/>
    <mergeCell ref="H412:J412"/>
    <mergeCell ref="H410:J410"/>
    <mergeCell ref="H402:J402"/>
    <mergeCell ref="H403:J403"/>
    <mergeCell ref="G238:I238"/>
    <mergeCell ref="G244:I244"/>
    <mergeCell ref="G245:I245"/>
    <mergeCell ref="G248:I248"/>
    <mergeCell ref="H286:J286"/>
    <mergeCell ref="H287:J287"/>
    <mergeCell ref="H291:J291"/>
    <mergeCell ref="H292:J292"/>
    <mergeCell ref="C363:AG364"/>
    <mergeCell ref="H366:J366"/>
    <mergeCell ref="H368:J368"/>
    <mergeCell ref="H367:J367"/>
    <mergeCell ref="H370:J370"/>
    <mergeCell ref="H258:J258"/>
    <mergeCell ref="M245:AG246"/>
    <mergeCell ref="C378:AG379"/>
    <mergeCell ref="G395:I395"/>
  </mergeCells>
  <phoneticPr fontId="8" type="noConversion"/>
  <dataValidations disablePrompts="1" count="1">
    <dataValidation type="list" allowBlank="1" showInputMessage="1" showErrorMessage="1" sqref="AC9:AF50" xr:uid="{2BF34A18-C052-4974-91C5-3B8CA2F76E43}">
      <formula1>Yes_No</formula1>
    </dataValidation>
  </dataValidations>
  <pageMargins left="0.7" right="0.7" top="1.25" bottom="0.75" header="0.3" footer="0.3"/>
  <pageSetup scale="87" fitToHeight="0" orientation="portrait" horizontalDpi="1200" verticalDpi="1200" r:id="rId1"/>
  <headerFooter>
    <oddHeader>&amp;L&amp;G
Client: Keyera
Project No: F3KY&amp;C&amp;G&amp;RDesigned By: CW
Checked By: JS
Date: 13-MAY-2026
Revision: 0</oddHeader>
    <oddFooter>&amp;LContractor Document No:  F3KY-215-CAL-047</oddFooter>
  </headerFooter>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28A21-1D51-457F-8086-1B2F96B6F311}">
  <sheetPr codeName="Sheet11">
    <pageSetUpPr fitToPage="1"/>
  </sheetPr>
  <dimension ref="A1:AI701"/>
  <sheetViews>
    <sheetView view="pageBreakPreview" zoomScale="130" zoomScaleNormal="100" zoomScaleSheetLayoutView="130" workbookViewId="0">
      <selection activeCell="B2" sqref="B2"/>
    </sheetView>
  </sheetViews>
  <sheetFormatPr defaultRowHeight="14.25" x14ac:dyDescent="0.2"/>
  <cols>
    <col min="1" max="33" width="3.140625" style="1" customWidth="1"/>
    <col min="34" max="16384" width="9.140625" style="1"/>
  </cols>
  <sheetData>
    <row r="1" spans="2:35" x14ac:dyDescent="0.2">
      <c r="AI1" s="1" t="s">
        <v>0</v>
      </c>
    </row>
    <row r="2" spans="2:35" ht="15" x14ac:dyDescent="0.25">
      <c r="B2" s="4" t="s">
        <v>1304</v>
      </c>
      <c r="AI2" s="1" t="s">
        <v>77</v>
      </c>
    </row>
    <row r="3" spans="2:35" x14ac:dyDescent="0.2">
      <c r="B3" s="2" t="s">
        <v>1282</v>
      </c>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row>
    <row r="4" spans="2:35" s="2" customFormat="1" ht="12.75" x14ac:dyDescent="0.2">
      <c r="B4" s="18"/>
    </row>
    <row r="5" spans="2:35" s="2" customFormat="1" ht="12.75" x14ac:dyDescent="0.2">
      <c r="B5" s="18"/>
    </row>
    <row r="6" spans="2:35" s="2" customFormat="1" ht="15" x14ac:dyDescent="0.25">
      <c r="B6" s="4" t="s">
        <v>1237</v>
      </c>
    </row>
    <row r="7" spans="2:35" s="2" customFormat="1" ht="12.75" x14ac:dyDescent="0.2">
      <c r="B7" s="232" t="s">
        <v>1017</v>
      </c>
      <c r="C7" s="232"/>
      <c r="D7" s="232"/>
      <c r="E7" s="232"/>
      <c r="F7" s="232"/>
      <c r="G7" s="232"/>
      <c r="H7" s="232"/>
      <c r="I7" s="232"/>
      <c r="J7" s="232"/>
      <c r="K7" s="232"/>
      <c r="L7" s="232"/>
      <c r="M7" s="232"/>
      <c r="N7" s="232"/>
      <c r="O7" s="232"/>
      <c r="P7" s="232"/>
      <c r="Q7" s="232"/>
      <c r="R7" s="232"/>
      <c r="S7" s="232"/>
      <c r="T7" s="232"/>
      <c r="U7" s="232"/>
      <c r="V7" s="232"/>
      <c r="W7" s="232"/>
      <c r="X7" s="232"/>
      <c r="Y7" s="232"/>
      <c r="Z7" s="232"/>
      <c r="AA7" s="232"/>
      <c r="AB7" s="232"/>
      <c r="AC7" s="232"/>
      <c r="AD7" s="232"/>
      <c r="AE7" s="232"/>
      <c r="AF7" s="232"/>
      <c r="AG7" s="232"/>
    </row>
    <row r="8" spans="2:35" s="2" customFormat="1" ht="12.75" x14ac:dyDescent="0.2">
      <c r="B8" s="232"/>
      <c r="C8" s="232"/>
      <c r="D8" s="232"/>
      <c r="E8" s="232"/>
      <c r="F8" s="232"/>
      <c r="G8" s="232"/>
      <c r="H8" s="232"/>
      <c r="I8" s="232"/>
      <c r="J8" s="232"/>
      <c r="K8" s="232"/>
      <c r="L8" s="232"/>
      <c r="M8" s="232"/>
      <c r="N8" s="232"/>
      <c r="O8" s="232"/>
      <c r="P8" s="232"/>
      <c r="Q8" s="232"/>
      <c r="R8" s="232"/>
      <c r="S8" s="232"/>
      <c r="T8" s="232"/>
      <c r="U8" s="232"/>
      <c r="V8" s="232"/>
      <c r="W8" s="232"/>
      <c r="X8" s="232"/>
      <c r="Y8" s="232"/>
      <c r="Z8" s="232"/>
      <c r="AA8" s="232"/>
      <c r="AB8" s="232"/>
      <c r="AC8" s="232"/>
      <c r="AD8" s="232"/>
      <c r="AE8" s="232"/>
      <c r="AF8" s="232"/>
      <c r="AG8" s="232"/>
    </row>
    <row r="9" spans="2:35" s="2" customFormat="1" ht="12.75" x14ac:dyDescent="0.2">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row>
    <row r="10" spans="2:35" s="2" customFormat="1" ht="12.75" x14ac:dyDescent="0.2">
      <c r="B10" s="29" t="s">
        <v>1417</v>
      </c>
      <c r="C10" s="14"/>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row>
    <row r="11" spans="2:35" s="2" customFormat="1" ht="12.75" x14ac:dyDescent="0.2">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row>
    <row r="12" spans="2:35" s="2" customFormat="1" ht="12.75" x14ac:dyDescent="0.2">
      <c r="B12" s="14"/>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row>
    <row r="13" spans="2:35" s="2" customFormat="1" ht="12.75" x14ac:dyDescent="0.2">
      <c r="B13" s="14"/>
      <c r="C13" s="86" t="s">
        <v>1257</v>
      </c>
      <c r="D13" s="14"/>
      <c r="E13" s="14"/>
      <c r="F13" s="14"/>
      <c r="G13" s="1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row>
    <row r="14" spans="2:35" s="2" customFormat="1" ht="12.75" x14ac:dyDescent="0.2">
      <c r="B14" s="14"/>
      <c r="C14" s="14"/>
      <c r="D14" s="14"/>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row>
    <row r="15" spans="2:35" s="2" customFormat="1" ht="12.75" x14ac:dyDescent="0.2">
      <c r="B15" s="14"/>
      <c r="C15" s="16" t="s">
        <v>527</v>
      </c>
      <c r="E15" s="18"/>
      <c r="AG15" s="14"/>
    </row>
    <row r="16" spans="2:35" s="2" customFormat="1" ht="12.75" x14ac:dyDescent="0.2">
      <c r="B16" s="14"/>
      <c r="E16" s="21" t="s">
        <v>528</v>
      </c>
      <c r="F16" s="2" t="s">
        <v>1545</v>
      </c>
      <c r="R16" s="2" t="s">
        <v>702</v>
      </c>
      <c r="T16" s="22"/>
      <c r="U16" s="22"/>
      <c r="V16" s="22"/>
      <c r="W16" s="22"/>
      <c r="X16" s="22"/>
      <c r="Y16" s="22"/>
      <c r="Z16" s="22"/>
      <c r="AA16" s="22"/>
      <c r="AB16" s="22"/>
      <c r="AC16" s="22"/>
      <c r="AD16" s="22"/>
      <c r="AE16" s="22"/>
      <c r="AF16" s="22"/>
      <c r="AG16" s="14"/>
    </row>
    <row r="17" spans="2:33" s="2" customFormat="1" ht="15.75" x14ac:dyDescent="0.3">
      <c r="B17" s="14"/>
      <c r="C17" s="13"/>
      <c r="E17" s="21" t="s">
        <v>529</v>
      </c>
      <c r="F17" s="2" t="s">
        <v>1546</v>
      </c>
      <c r="R17" s="2" t="s">
        <v>701</v>
      </c>
      <c r="AG17" s="14"/>
    </row>
    <row r="18" spans="2:33" s="2" customFormat="1" ht="15.75" x14ac:dyDescent="0.3">
      <c r="B18" s="14"/>
      <c r="C18" s="13"/>
      <c r="E18" s="21" t="s">
        <v>531</v>
      </c>
      <c r="F18" s="2" t="s">
        <v>1547</v>
      </c>
      <c r="R18" s="2" t="s">
        <v>703</v>
      </c>
      <c r="AG18" s="14"/>
    </row>
    <row r="19" spans="2:33" s="2" customFormat="1" ht="12.75" x14ac:dyDescent="0.2">
      <c r="B19" s="14"/>
      <c r="C19" s="13"/>
      <c r="E19" s="21"/>
      <c r="AG19" s="14"/>
    </row>
    <row r="20" spans="2:33" s="2" customFormat="1" ht="12.75" x14ac:dyDescent="0.2">
      <c r="B20" s="14"/>
      <c r="C20" s="16" t="s">
        <v>530</v>
      </c>
      <c r="E20" s="18"/>
      <c r="AG20" s="14"/>
    </row>
    <row r="21" spans="2:33" s="2" customFormat="1" ht="15.75" x14ac:dyDescent="0.3">
      <c r="B21" s="14"/>
      <c r="E21" s="21" t="s">
        <v>693</v>
      </c>
      <c r="F21" s="2" t="s">
        <v>1548</v>
      </c>
      <c r="R21" s="2" t="s">
        <v>704</v>
      </c>
      <c r="AG21" s="14"/>
    </row>
    <row r="22" spans="2:33" s="2" customFormat="1" ht="15.75" x14ac:dyDescent="0.3">
      <c r="B22" s="14"/>
      <c r="C22" s="13"/>
      <c r="E22" s="21" t="s">
        <v>705</v>
      </c>
      <c r="F22" s="2" t="s">
        <v>1549</v>
      </c>
      <c r="R22" s="2" t="s">
        <v>706</v>
      </c>
      <c r="AG22" s="14"/>
    </row>
    <row r="23" spans="2:33" s="2" customFormat="1" x14ac:dyDescent="0.2">
      <c r="B23" s="14"/>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4"/>
    </row>
    <row r="24" spans="2:33" s="2" customFormat="1" ht="12.75" x14ac:dyDescent="0.2">
      <c r="B24" s="14"/>
      <c r="C24" s="232" t="s">
        <v>1497</v>
      </c>
      <c r="D24" s="232"/>
      <c r="E24" s="232"/>
      <c r="F24" s="232"/>
      <c r="G24" s="232"/>
      <c r="H24" s="232"/>
      <c r="I24" s="232"/>
      <c r="J24" s="232"/>
      <c r="K24" s="232"/>
      <c r="L24" s="232"/>
      <c r="M24" s="232"/>
      <c r="N24" s="232"/>
      <c r="O24" s="232"/>
      <c r="P24" s="232"/>
      <c r="Q24" s="232"/>
      <c r="R24" s="232"/>
      <c r="S24" s="232"/>
      <c r="T24" s="232"/>
      <c r="U24" s="232"/>
      <c r="V24" s="232"/>
      <c r="W24" s="232"/>
      <c r="X24" s="232"/>
      <c r="Y24" s="232"/>
      <c r="Z24" s="232"/>
      <c r="AA24" s="232"/>
      <c r="AB24" s="232"/>
      <c r="AC24" s="232"/>
      <c r="AD24" s="232"/>
      <c r="AE24" s="232"/>
      <c r="AF24" s="232"/>
      <c r="AG24" s="14"/>
    </row>
    <row r="25" spans="2:33" s="2" customFormat="1" ht="12.75" x14ac:dyDescent="0.2">
      <c r="B25" s="14"/>
      <c r="C25" s="232"/>
      <c r="D25" s="232"/>
      <c r="E25" s="232"/>
      <c r="F25" s="232"/>
      <c r="G25" s="232"/>
      <c r="H25" s="232"/>
      <c r="I25" s="232"/>
      <c r="J25" s="232"/>
      <c r="K25" s="232"/>
      <c r="L25" s="232"/>
      <c r="M25" s="232"/>
      <c r="N25" s="232"/>
      <c r="O25" s="232"/>
      <c r="P25" s="232"/>
      <c r="Q25" s="232"/>
      <c r="R25" s="232"/>
      <c r="S25" s="232"/>
      <c r="T25" s="232"/>
      <c r="U25" s="232"/>
      <c r="V25" s="232"/>
      <c r="W25" s="232"/>
      <c r="X25" s="232"/>
      <c r="Y25" s="232"/>
      <c r="Z25" s="232"/>
      <c r="AA25" s="232"/>
      <c r="AB25" s="232"/>
      <c r="AC25" s="232"/>
      <c r="AD25" s="232"/>
      <c r="AE25" s="232"/>
      <c r="AF25" s="232"/>
      <c r="AG25" s="14"/>
    </row>
    <row r="26" spans="2:33" s="2" customFormat="1" ht="12.75" x14ac:dyDescent="0.2">
      <c r="B26" s="14"/>
      <c r="C26" s="232"/>
      <c r="D26" s="232"/>
      <c r="E26" s="232"/>
      <c r="F26" s="232"/>
      <c r="G26" s="232"/>
      <c r="H26" s="232"/>
      <c r="I26" s="232"/>
      <c r="J26" s="232"/>
      <c r="K26" s="232"/>
      <c r="L26" s="232"/>
      <c r="M26" s="232"/>
      <c r="N26" s="232"/>
      <c r="O26" s="232"/>
      <c r="P26" s="232"/>
      <c r="Q26" s="232"/>
      <c r="R26" s="232"/>
      <c r="S26" s="232"/>
      <c r="T26" s="232"/>
      <c r="U26" s="232"/>
      <c r="V26" s="232"/>
      <c r="W26" s="232"/>
      <c r="X26" s="232"/>
      <c r="Y26" s="232"/>
      <c r="Z26" s="232"/>
      <c r="AA26" s="232"/>
      <c r="AB26" s="232"/>
      <c r="AC26" s="232"/>
      <c r="AD26" s="232"/>
      <c r="AE26" s="232"/>
      <c r="AF26" s="232"/>
      <c r="AG26" s="14"/>
    </row>
    <row r="27" spans="2:33" s="2" customFormat="1" ht="12.75" x14ac:dyDescent="0.2">
      <c r="B27" s="14"/>
      <c r="C27" s="232"/>
      <c r="D27" s="232"/>
      <c r="E27" s="232"/>
      <c r="F27" s="232"/>
      <c r="G27" s="232"/>
      <c r="H27" s="232"/>
      <c r="I27" s="232"/>
      <c r="J27" s="232"/>
      <c r="K27" s="232"/>
      <c r="L27" s="232"/>
      <c r="M27" s="232"/>
      <c r="N27" s="232"/>
      <c r="O27" s="232"/>
      <c r="P27" s="232"/>
      <c r="Q27" s="232"/>
      <c r="R27" s="232"/>
      <c r="S27" s="232"/>
      <c r="T27" s="232"/>
      <c r="U27" s="232"/>
      <c r="V27" s="232"/>
      <c r="W27" s="232"/>
      <c r="X27" s="232"/>
      <c r="Y27" s="232"/>
      <c r="Z27" s="232"/>
      <c r="AA27" s="232"/>
      <c r="AB27" s="232"/>
      <c r="AC27" s="232"/>
      <c r="AD27" s="232"/>
      <c r="AE27" s="232"/>
      <c r="AF27" s="232"/>
      <c r="AG27" s="14"/>
    </row>
    <row r="28" spans="2:33" s="2" customFormat="1" ht="12.75" x14ac:dyDescent="0.2">
      <c r="B28" s="14"/>
      <c r="C28" s="232"/>
      <c r="D28" s="232"/>
      <c r="E28" s="232"/>
      <c r="F28" s="232"/>
      <c r="G28" s="232"/>
      <c r="H28" s="232"/>
      <c r="I28" s="232"/>
      <c r="J28" s="232"/>
      <c r="K28" s="232"/>
      <c r="L28" s="232"/>
      <c r="M28" s="232"/>
      <c r="N28" s="232"/>
      <c r="O28" s="232"/>
      <c r="P28" s="232"/>
      <c r="Q28" s="232"/>
      <c r="R28" s="232"/>
      <c r="S28" s="232"/>
      <c r="T28" s="232"/>
      <c r="U28" s="232"/>
      <c r="V28" s="232"/>
      <c r="W28" s="232"/>
      <c r="X28" s="232"/>
      <c r="Y28" s="232"/>
      <c r="Z28" s="232"/>
      <c r="AA28" s="232"/>
      <c r="AB28" s="232"/>
      <c r="AC28" s="232"/>
      <c r="AD28" s="232"/>
      <c r="AE28" s="232"/>
      <c r="AF28" s="232"/>
      <c r="AG28" s="14"/>
    </row>
    <row r="29" spans="2:33" s="2" customFormat="1" ht="12.75" x14ac:dyDescent="0.2">
      <c r="B29" s="14"/>
      <c r="C29" s="232"/>
      <c r="D29" s="232"/>
      <c r="E29" s="232"/>
      <c r="F29" s="232"/>
      <c r="G29" s="232"/>
      <c r="H29" s="232"/>
      <c r="I29" s="232"/>
      <c r="J29" s="232"/>
      <c r="K29" s="232"/>
      <c r="L29" s="232"/>
      <c r="M29" s="232"/>
      <c r="N29" s="232"/>
      <c r="O29" s="232"/>
      <c r="P29" s="232"/>
      <c r="Q29" s="232"/>
      <c r="R29" s="232"/>
      <c r="S29" s="232"/>
      <c r="T29" s="232"/>
      <c r="U29" s="232"/>
      <c r="V29" s="232"/>
      <c r="W29" s="232"/>
      <c r="X29" s="232"/>
      <c r="Y29" s="232"/>
      <c r="Z29" s="232"/>
      <c r="AA29" s="232"/>
      <c r="AB29" s="232"/>
      <c r="AC29" s="232"/>
      <c r="AD29" s="232"/>
      <c r="AE29" s="232"/>
      <c r="AF29" s="232"/>
      <c r="AG29" s="14"/>
    </row>
    <row r="30" spans="2:33" s="2" customFormat="1" ht="12.75" x14ac:dyDescent="0.2">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row>
    <row r="31" spans="2:33" s="2" customFormat="1" ht="12.75" x14ac:dyDescent="0.2">
      <c r="B31" s="14"/>
      <c r="C31" s="14"/>
      <c r="D31" s="14"/>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row>
    <row r="32" spans="2:33" s="2" customFormat="1" ht="12.75" x14ac:dyDescent="0.2">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row>
    <row r="33" spans="2:33" s="2" customFormat="1" ht="12.75" x14ac:dyDescent="0.2">
      <c r="B33" s="14"/>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row>
    <row r="34" spans="2:33" s="2" customFormat="1" ht="12.75" x14ac:dyDescent="0.2">
      <c r="B34" s="14"/>
      <c r="C34" s="86" t="s">
        <v>1258</v>
      </c>
      <c r="D34" s="14"/>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row>
    <row r="35" spans="2:33" s="2" customFormat="1" ht="12.75" x14ac:dyDescent="0.2">
      <c r="B35" s="18"/>
    </row>
    <row r="36" spans="2:33" s="2" customFormat="1" ht="12.75" x14ac:dyDescent="0.2">
      <c r="B36" s="18"/>
      <c r="D36" s="16" t="s">
        <v>885</v>
      </c>
    </row>
    <row r="37" spans="2:33" s="2" customFormat="1" ht="12.75" x14ac:dyDescent="0.2">
      <c r="B37" s="18"/>
      <c r="D37" s="232" t="s">
        <v>1240</v>
      </c>
      <c r="E37" s="232"/>
      <c r="F37" s="232"/>
      <c r="G37" s="232"/>
      <c r="H37" s="232"/>
      <c r="I37" s="232"/>
      <c r="J37" s="232"/>
      <c r="K37" s="232"/>
      <c r="L37" s="232"/>
      <c r="M37" s="232"/>
      <c r="N37" s="232"/>
      <c r="O37" s="232"/>
      <c r="P37" s="232"/>
      <c r="Q37" s="232"/>
      <c r="R37" s="232"/>
      <c r="S37" s="232"/>
      <c r="T37" s="232"/>
      <c r="U37" s="232"/>
      <c r="V37" s="232"/>
      <c r="W37" s="232"/>
      <c r="X37" s="232"/>
      <c r="Y37" s="232"/>
      <c r="Z37" s="232"/>
      <c r="AA37" s="232"/>
      <c r="AB37" s="232"/>
      <c r="AC37" s="232"/>
      <c r="AD37" s="232"/>
      <c r="AE37" s="232"/>
      <c r="AF37" s="232"/>
      <c r="AG37" s="232"/>
    </row>
    <row r="38" spans="2:33" s="2" customFormat="1" ht="12.75" x14ac:dyDescent="0.2">
      <c r="B38" s="18"/>
      <c r="D38" s="14"/>
      <c r="E38" s="14"/>
      <c r="F38" s="14"/>
      <c r="G38" s="14"/>
      <c r="H38" s="14"/>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row>
    <row r="39" spans="2:33" s="2" customFormat="1" ht="12.75" x14ac:dyDescent="0.2">
      <c r="B39" s="18"/>
      <c r="E39" s="21" t="s">
        <v>1238</v>
      </c>
      <c r="F39" s="2" t="s">
        <v>1239</v>
      </c>
      <c r="R39" s="2" t="s">
        <v>1241</v>
      </c>
      <c r="U39" s="14"/>
      <c r="V39" s="14"/>
      <c r="W39" s="14"/>
      <c r="X39" s="14"/>
      <c r="Y39" s="14"/>
      <c r="Z39" s="14"/>
      <c r="AA39" s="14"/>
      <c r="AB39" s="14"/>
      <c r="AC39" s="14"/>
      <c r="AD39" s="14"/>
      <c r="AE39" s="14"/>
      <c r="AF39" s="14"/>
      <c r="AG39" s="14"/>
    </row>
    <row r="40" spans="2:33" s="2" customFormat="1" ht="12.75" x14ac:dyDescent="0.2">
      <c r="B40" s="18"/>
      <c r="D40" s="14"/>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row>
    <row r="41" spans="2:33" s="2" customFormat="1" ht="12.75" x14ac:dyDescent="0.2">
      <c r="B41" s="18"/>
    </row>
    <row r="42" spans="2:33" s="2" customFormat="1" ht="12.75" x14ac:dyDescent="0.2">
      <c r="B42" s="18"/>
      <c r="D42" s="16" t="s">
        <v>886</v>
      </c>
    </row>
    <row r="43" spans="2:33" s="2" customFormat="1" ht="12.75" x14ac:dyDescent="0.2">
      <c r="B43" s="18"/>
      <c r="D43" s="232" t="s">
        <v>1299</v>
      </c>
      <c r="E43" s="232"/>
      <c r="F43" s="232"/>
      <c r="G43" s="232"/>
      <c r="H43" s="232"/>
      <c r="I43" s="232"/>
      <c r="J43" s="232"/>
      <c r="K43" s="232"/>
      <c r="L43" s="232"/>
      <c r="M43" s="232"/>
      <c r="N43" s="232"/>
      <c r="O43" s="232"/>
      <c r="P43" s="232"/>
      <c r="Q43" s="232"/>
      <c r="R43" s="232"/>
      <c r="S43" s="232"/>
      <c r="T43" s="232"/>
      <c r="U43" s="232"/>
      <c r="V43" s="232"/>
      <c r="W43" s="232"/>
      <c r="X43" s="232"/>
      <c r="Y43" s="232"/>
      <c r="Z43" s="232"/>
      <c r="AA43" s="232"/>
      <c r="AB43" s="232"/>
      <c r="AC43" s="232"/>
      <c r="AD43" s="232"/>
      <c r="AE43" s="232"/>
      <c r="AF43" s="232"/>
      <c r="AG43" s="232"/>
    </row>
    <row r="44" spans="2:33" s="2" customFormat="1" ht="12.75" x14ac:dyDescent="0.2">
      <c r="B44" s="18"/>
      <c r="D44" s="232"/>
      <c r="E44" s="232"/>
      <c r="F44" s="232"/>
      <c r="G44" s="232"/>
      <c r="H44" s="232"/>
      <c r="I44" s="232"/>
      <c r="J44" s="232"/>
      <c r="K44" s="232"/>
      <c r="L44" s="232"/>
      <c r="M44" s="232"/>
      <c r="N44" s="232"/>
      <c r="O44" s="232"/>
      <c r="P44" s="232"/>
      <c r="Q44" s="232"/>
      <c r="R44" s="232"/>
      <c r="S44" s="232"/>
      <c r="T44" s="232"/>
      <c r="U44" s="232"/>
      <c r="V44" s="232"/>
      <c r="W44" s="232"/>
      <c r="X44" s="232"/>
      <c r="Y44" s="232"/>
      <c r="Z44" s="232"/>
      <c r="AA44" s="232"/>
      <c r="AB44" s="232"/>
      <c r="AC44" s="232"/>
      <c r="AD44" s="232"/>
      <c r="AE44" s="232"/>
      <c r="AF44" s="232"/>
      <c r="AG44" s="232"/>
    </row>
    <row r="45" spans="2:33" s="2" customFormat="1" ht="12.75" x14ac:dyDescent="0.2">
      <c r="B45" s="18"/>
      <c r="D45" s="232"/>
      <c r="E45" s="232"/>
      <c r="F45" s="232"/>
      <c r="G45" s="232"/>
      <c r="H45" s="232"/>
      <c r="I45" s="232"/>
      <c r="J45" s="232"/>
      <c r="K45" s="232"/>
      <c r="L45" s="232"/>
      <c r="M45" s="232"/>
      <c r="N45" s="232"/>
      <c r="O45" s="232"/>
      <c r="P45" s="232"/>
      <c r="Q45" s="232"/>
      <c r="R45" s="232"/>
      <c r="S45" s="232"/>
      <c r="T45" s="232"/>
      <c r="U45" s="232"/>
      <c r="V45" s="232"/>
      <c r="W45" s="232"/>
      <c r="X45" s="232"/>
      <c r="Y45" s="232"/>
      <c r="Z45" s="232"/>
      <c r="AA45" s="232"/>
      <c r="AB45" s="232"/>
      <c r="AC45" s="232"/>
      <c r="AD45" s="232"/>
      <c r="AE45" s="232"/>
      <c r="AF45" s="232"/>
      <c r="AG45" s="232"/>
    </row>
    <row r="46" spans="2:33" s="2" customFormat="1" ht="12.75" x14ac:dyDescent="0.2">
      <c r="B46" s="18"/>
      <c r="D46" s="232"/>
      <c r="E46" s="232"/>
      <c r="F46" s="232"/>
      <c r="G46" s="232"/>
      <c r="H46" s="232"/>
      <c r="I46" s="232"/>
      <c r="J46" s="232"/>
      <c r="K46" s="232"/>
      <c r="L46" s="232"/>
      <c r="M46" s="232"/>
      <c r="N46" s="232"/>
      <c r="O46" s="232"/>
      <c r="P46" s="232"/>
      <c r="Q46" s="232"/>
      <c r="R46" s="232"/>
      <c r="S46" s="232"/>
      <c r="T46" s="232"/>
      <c r="U46" s="232"/>
      <c r="V46" s="232"/>
      <c r="W46" s="232"/>
      <c r="X46" s="232"/>
      <c r="Y46" s="232"/>
      <c r="Z46" s="232"/>
      <c r="AA46" s="232"/>
      <c r="AB46" s="232"/>
      <c r="AC46" s="232"/>
      <c r="AD46" s="232"/>
      <c r="AE46" s="232"/>
      <c r="AF46" s="232"/>
      <c r="AG46" s="232"/>
    </row>
    <row r="47" spans="2:33" s="2" customFormat="1" ht="12.75" x14ac:dyDescent="0.2">
      <c r="B47" s="18"/>
    </row>
    <row r="48" spans="2:33" s="2" customFormat="1" ht="15.75" x14ac:dyDescent="0.3">
      <c r="B48" s="18"/>
      <c r="E48" s="21" t="s">
        <v>1244</v>
      </c>
      <c r="F48" s="2" t="s">
        <v>1242</v>
      </c>
      <c r="R48" s="2" t="s">
        <v>1243</v>
      </c>
      <c r="U48" s="14"/>
    </row>
    <row r="49" spans="2:4" s="2" customFormat="1" ht="12.75" x14ac:dyDescent="0.2">
      <c r="B49" s="18"/>
    </row>
    <row r="50" spans="2:4" s="2" customFormat="1" ht="12.75" x14ac:dyDescent="0.2">
      <c r="B50" s="18"/>
    </row>
    <row r="51" spans="2:4" s="2" customFormat="1" ht="12.75" x14ac:dyDescent="0.2">
      <c r="B51" s="18"/>
    </row>
    <row r="52" spans="2:4" s="2" customFormat="1" ht="12.75" x14ac:dyDescent="0.2">
      <c r="B52" s="18"/>
    </row>
    <row r="53" spans="2:4" s="2" customFormat="1" ht="12.75" x14ac:dyDescent="0.2">
      <c r="B53" s="18"/>
    </row>
    <row r="54" spans="2:4" s="2" customFormat="1" ht="12.75" x14ac:dyDescent="0.2">
      <c r="B54" s="18"/>
    </row>
    <row r="55" spans="2:4" s="2" customFormat="1" ht="12.75" x14ac:dyDescent="0.2">
      <c r="B55" s="18"/>
    </row>
    <row r="56" spans="2:4" s="2" customFormat="1" ht="12.75" x14ac:dyDescent="0.2">
      <c r="B56" s="18"/>
    </row>
    <row r="57" spans="2:4" s="2" customFormat="1" ht="12.75" x14ac:dyDescent="0.2">
      <c r="B57" s="18"/>
    </row>
    <row r="58" spans="2:4" s="2" customFormat="1" ht="12.75" x14ac:dyDescent="0.2">
      <c r="B58" s="18"/>
    </row>
    <row r="59" spans="2:4" s="2" customFormat="1" ht="12.75" x14ac:dyDescent="0.2">
      <c r="B59" s="18"/>
    </row>
    <row r="60" spans="2:4" s="2" customFormat="1" ht="12.75" x14ac:dyDescent="0.2">
      <c r="B60" s="18"/>
      <c r="C60" s="86" t="s">
        <v>1259</v>
      </c>
      <c r="D60" s="85"/>
    </row>
    <row r="61" spans="2:4" s="2" customFormat="1" ht="12.75" x14ac:dyDescent="0.2">
      <c r="B61" s="18"/>
      <c r="C61" s="2" t="s">
        <v>1418</v>
      </c>
    </row>
    <row r="62" spans="2:4" s="2" customFormat="1" ht="12.75" x14ac:dyDescent="0.2">
      <c r="B62" s="18"/>
    </row>
    <row r="63" spans="2:4" s="2" customFormat="1" ht="15.75" x14ac:dyDescent="0.3">
      <c r="B63" s="18"/>
      <c r="C63" s="2" t="s">
        <v>534</v>
      </c>
    </row>
    <row r="64" spans="2:4" s="2" customFormat="1" ht="15.75" x14ac:dyDescent="0.3">
      <c r="B64" s="18"/>
      <c r="C64" s="2" t="s">
        <v>1245</v>
      </c>
    </row>
    <row r="65" spans="2:22" s="2" customFormat="1" ht="12.75" x14ac:dyDescent="0.2">
      <c r="B65" s="18"/>
    </row>
    <row r="66" spans="2:22" s="2" customFormat="1" ht="15.75" x14ac:dyDescent="0.3">
      <c r="B66" s="18"/>
      <c r="E66" s="21" t="s">
        <v>532</v>
      </c>
      <c r="F66" s="13" t="s">
        <v>332</v>
      </c>
      <c r="G66" s="2" t="s">
        <v>536</v>
      </c>
    </row>
    <row r="67" spans="2:22" s="2" customFormat="1" ht="15.75" x14ac:dyDescent="0.3">
      <c r="B67" s="18"/>
      <c r="E67" s="21" t="s">
        <v>533</v>
      </c>
      <c r="F67" s="13" t="s">
        <v>332</v>
      </c>
      <c r="G67" s="2" t="s">
        <v>537</v>
      </c>
    </row>
    <row r="68" spans="2:22" s="2" customFormat="1" ht="15.75" x14ac:dyDescent="0.3">
      <c r="B68" s="18"/>
      <c r="E68" s="21" t="s">
        <v>535</v>
      </c>
      <c r="F68" s="13" t="s">
        <v>332</v>
      </c>
      <c r="G68" s="2" t="s">
        <v>538</v>
      </c>
    </row>
    <row r="69" spans="2:22" s="2" customFormat="1" ht="12.75" x14ac:dyDescent="0.2">
      <c r="B69" s="18"/>
      <c r="E69" s="21"/>
      <c r="F69" s="13"/>
    </row>
    <row r="70" spans="2:22" s="2" customFormat="1" ht="15.75" x14ac:dyDescent="0.3">
      <c r="B70" s="18"/>
      <c r="E70" s="21" t="s">
        <v>540</v>
      </c>
      <c r="F70" s="13" t="s">
        <v>332</v>
      </c>
      <c r="G70" s="361">
        <v>4</v>
      </c>
      <c r="H70" s="361"/>
      <c r="I70" s="361"/>
      <c r="L70" s="2" t="s">
        <v>542</v>
      </c>
    </row>
    <row r="71" spans="2:22" s="2" customFormat="1" ht="15.75" x14ac:dyDescent="0.3">
      <c r="B71" s="18"/>
      <c r="E71" s="21" t="s">
        <v>541</v>
      </c>
      <c r="F71" s="13" t="s">
        <v>332</v>
      </c>
      <c r="G71" s="284">
        <f>G70/2</f>
        <v>2</v>
      </c>
      <c r="H71" s="284"/>
      <c r="I71" s="284"/>
      <c r="L71" s="2" t="s">
        <v>543</v>
      </c>
    </row>
    <row r="72" spans="2:22" s="2" customFormat="1" ht="12.75" x14ac:dyDescent="0.2">
      <c r="B72" s="18"/>
      <c r="E72" s="21" t="s">
        <v>513</v>
      </c>
      <c r="F72" s="13" t="s">
        <v>332</v>
      </c>
      <c r="G72" s="351">
        <v>1</v>
      </c>
      <c r="H72" s="351"/>
      <c r="I72" s="351"/>
      <c r="J72" s="2" t="s">
        <v>340</v>
      </c>
      <c r="L72" s="2" t="s">
        <v>539</v>
      </c>
    </row>
    <row r="73" spans="2:22" s="2" customFormat="1" ht="12.75" x14ac:dyDescent="0.2">
      <c r="B73" s="18"/>
    </row>
    <row r="74" spans="2:22" s="2" customFormat="1" ht="12.75" x14ac:dyDescent="0.2">
      <c r="B74" s="18"/>
    </row>
    <row r="75" spans="2:22" s="2" customFormat="1" ht="12.75" x14ac:dyDescent="0.2">
      <c r="B75" s="18"/>
      <c r="G75" s="239" t="s">
        <v>887</v>
      </c>
      <c r="H75" s="239"/>
      <c r="I75" s="239"/>
      <c r="J75" s="239"/>
      <c r="K75" s="239"/>
      <c r="L75" s="239"/>
      <c r="M75" s="239"/>
      <c r="N75" s="239"/>
      <c r="O75" s="239"/>
      <c r="Q75" s="239" t="s">
        <v>547</v>
      </c>
      <c r="R75" s="239"/>
      <c r="S75" s="239"/>
      <c r="T75" s="239"/>
      <c r="U75" s="239"/>
      <c r="V75" s="239"/>
    </row>
    <row r="76" spans="2:22" s="2" customFormat="1" ht="12.75" x14ac:dyDescent="0.2">
      <c r="B76" s="18"/>
      <c r="G76" s="358" t="s">
        <v>544</v>
      </c>
      <c r="H76" s="358"/>
      <c r="I76" s="358"/>
      <c r="J76" s="358" t="s">
        <v>545</v>
      </c>
      <c r="K76" s="358"/>
      <c r="L76" s="358"/>
      <c r="M76" s="358" t="s">
        <v>1247</v>
      </c>
      <c r="N76" s="358"/>
      <c r="O76" s="358"/>
      <c r="Q76" s="358" t="s">
        <v>544</v>
      </c>
      <c r="R76" s="358"/>
      <c r="S76" s="358"/>
      <c r="T76" s="358" t="s">
        <v>545</v>
      </c>
      <c r="U76" s="358"/>
      <c r="V76" s="358"/>
    </row>
    <row r="77" spans="2:22" s="2" customFormat="1" ht="12.75" x14ac:dyDescent="0.2">
      <c r="B77" s="18"/>
      <c r="G77" s="359"/>
      <c r="H77" s="359"/>
      <c r="I77" s="359"/>
      <c r="J77" s="359"/>
      <c r="K77" s="359"/>
      <c r="L77" s="359"/>
      <c r="M77" s="359"/>
      <c r="N77" s="359"/>
      <c r="O77" s="359"/>
      <c r="Q77" s="359"/>
      <c r="R77" s="359"/>
      <c r="S77" s="359"/>
      <c r="T77" s="359"/>
      <c r="U77" s="359"/>
      <c r="V77" s="359"/>
    </row>
    <row r="78" spans="2:22" s="2" customFormat="1" ht="12.75" x14ac:dyDescent="0.2">
      <c r="B78" s="18"/>
      <c r="D78" s="239" t="s">
        <v>131</v>
      </c>
      <c r="E78" s="239"/>
      <c r="F78" s="239"/>
      <c r="G78" s="296">
        <f>'7. Load Development'!N71</f>
        <v>137.87599768128001</v>
      </c>
      <c r="H78" s="296"/>
      <c r="I78" s="296"/>
      <c r="J78" s="239">
        <v>0</v>
      </c>
      <c r="K78" s="239"/>
      <c r="L78" s="239"/>
      <c r="M78" s="239">
        <v>0</v>
      </c>
      <c r="N78" s="239"/>
      <c r="O78" s="239"/>
      <c r="Q78" s="296">
        <f>G78/$G$70+M78/$G$72/$G$71</f>
        <v>34.468999420320003</v>
      </c>
      <c r="R78" s="296"/>
      <c r="S78" s="296"/>
      <c r="T78" s="239">
        <f>J78/$G$70</f>
        <v>0</v>
      </c>
      <c r="U78" s="239"/>
      <c r="V78" s="239"/>
    </row>
    <row r="79" spans="2:22" s="2" customFormat="1" ht="12.75" x14ac:dyDescent="0.2">
      <c r="B79" s="18"/>
      <c r="D79" s="239" t="s">
        <v>135</v>
      </c>
      <c r="E79" s="239"/>
      <c r="F79" s="239"/>
      <c r="G79" s="296">
        <f>'7. Load Development'!H148</f>
        <v>50.097999999999999</v>
      </c>
      <c r="H79" s="296"/>
      <c r="I79" s="296"/>
      <c r="J79" s="239">
        <v>0</v>
      </c>
      <c r="K79" s="239"/>
      <c r="L79" s="239"/>
      <c r="M79" s="239">
        <v>0</v>
      </c>
      <c r="N79" s="239"/>
      <c r="O79" s="239"/>
      <c r="Q79" s="296">
        <f t="shared" ref="Q79:Q82" si="0">G79/$G$70+M79/$G$72/$G$71</f>
        <v>12.5245</v>
      </c>
      <c r="R79" s="296"/>
      <c r="S79" s="296"/>
      <c r="T79" s="239">
        <f t="shared" ref="T79:T82" si="1">J79/$G$70</f>
        <v>0</v>
      </c>
      <c r="U79" s="239"/>
      <c r="V79" s="239"/>
    </row>
    <row r="80" spans="2:22" s="2" customFormat="1" ht="12.75" x14ac:dyDescent="0.2">
      <c r="B80" s="18"/>
      <c r="D80" s="239" t="s">
        <v>136</v>
      </c>
      <c r="E80" s="239"/>
      <c r="F80" s="239"/>
      <c r="G80" s="296">
        <f>'7. Load Development'!H155</f>
        <v>36.679590000000005</v>
      </c>
      <c r="H80" s="296"/>
      <c r="I80" s="296"/>
      <c r="J80" s="239">
        <v>0</v>
      </c>
      <c r="K80" s="239"/>
      <c r="L80" s="239"/>
      <c r="M80" s="239">
        <v>0</v>
      </c>
      <c r="N80" s="239"/>
      <c r="O80" s="239"/>
      <c r="Q80" s="296">
        <f t="shared" si="0"/>
        <v>9.1698975000000011</v>
      </c>
      <c r="R80" s="296"/>
      <c r="S80" s="296"/>
      <c r="T80" s="239">
        <f t="shared" si="1"/>
        <v>0</v>
      </c>
      <c r="U80" s="239"/>
      <c r="V80" s="239"/>
    </row>
    <row r="81" spans="2:22" s="2" customFormat="1" ht="12.75" x14ac:dyDescent="0.2">
      <c r="B81" s="18"/>
      <c r="D81" s="239" t="s">
        <v>174</v>
      </c>
      <c r="E81" s="239"/>
      <c r="F81" s="239"/>
      <c r="G81" s="360">
        <v>0</v>
      </c>
      <c r="H81" s="360"/>
      <c r="I81" s="360"/>
      <c r="J81" s="296">
        <f>'7. Load Development'!H252</f>
        <v>31.995769925329924</v>
      </c>
      <c r="K81" s="296"/>
      <c r="L81" s="296"/>
      <c r="M81" s="296">
        <f>'7. Load Development'!H253</f>
        <v>24.781408464706566</v>
      </c>
      <c r="N81" s="296"/>
      <c r="O81" s="296"/>
      <c r="Q81" s="296">
        <f t="shared" si="0"/>
        <v>12.390704232353283</v>
      </c>
      <c r="R81" s="296"/>
      <c r="S81" s="296"/>
      <c r="T81" s="296">
        <f t="shared" si="1"/>
        <v>7.998942481332481</v>
      </c>
      <c r="U81" s="296"/>
      <c r="V81" s="296"/>
    </row>
    <row r="82" spans="2:22" s="2" customFormat="1" ht="15.75" x14ac:dyDescent="0.3">
      <c r="B82" s="18"/>
      <c r="D82" s="239" t="s">
        <v>1246</v>
      </c>
      <c r="E82" s="239"/>
      <c r="F82" s="239"/>
      <c r="G82" s="360">
        <v>0</v>
      </c>
      <c r="H82" s="360"/>
      <c r="I82" s="360"/>
      <c r="J82" s="296">
        <f>'7. Load Development'!H412</f>
        <v>29.279497375328084</v>
      </c>
      <c r="K82" s="296"/>
      <c r="L82" s="296"/>
      <c r="M82" s="296">
        <f>'7. Load Development'!H413</f>
        <v>46.905754795275584</v>
      </c>
      <c r="N82" s="296"/>
      <c r="O82" s="296"/>
      <c r="Q82" s="296">
        <f t="shared" si="0"/>
        <v>23.452877397637792</v>
      </c>
      <c r="R82" s="296"/>
      <c r="S82" s="296"/>
      <c r="T82" s="296">
        <f t="shared" si="1"/>
        <v>7.3198743438320211</v>
      </c>
      <c r="U82" s="296"/>
      <c r="V82" s="296"/>
    </row>
    <row r="83" spans="2:22" s="2" customFormat="1" ht="12.75" x14ac:dyDescent="0.2">
      <c r="B83" s="18"/>
    </row>
    <row r="84" spans="2:22" s="2" customFormat="1" ht="12.75" x14ac:dyDescent="0.2">
      <c r="B84" s="18"/>
    </row>
    <row r="85" spans="2:22" s="2" customFormat="1" ht="12.75" x14ac:dyDescent="0.2">
      <c r="B85" s="18"/>
    </row>
    <row r="86" spans="2:22" s="2" customFormat="1" ht="12.75" x14ac:dyDescent="0.2">
      <c r="B86" s="18"/>
    </row>
    <row r="87" spans="2:22" s="2" customFormat="1" ht="12.75" x14ac:dyDescent="0.2">
      <c r="B87" s="18"/>
    </row>
    <row r="88" spans="2:22" s="2" customFormat="1" ht="12.75" x14ac:dyDescent="0.2">
      <c r="B88" s="18"/>
    </row>
    <row r="89" spans="2:22" s="2" customFormat="1" ht="12.75" x14ac:dyDescent="0.2">
      <c r="B89" s="18"/>
    </row>
    <row r="90" spans="2:22" s="2" customFormat="1" ht="12.75" x14ac:dyDescent="0.2">
      <c r="B90" s="18"/>
    </row>
    <row r="91" spans="2:22" s="2" customFormat="1" ht="12.75" x14ac:dyDescent="0.2">
      <c r="B91" s="18"/>
    </row>
    <row r="92" spans="2:22" s="2" customFormat="1" ht="12.75" x14ac:dyDescent="0.2">
      <c r="B92" s="18"/>
    </row>
    <row r="93" spans="2:22" s="2" customFormat="1" ht="12.75" x14ac:dyDescent="0.2">
      <c r="B93" s="18"/>
    </row>
    <row r="94" spans="2:22" s="2" customFormat="1" ht="12.75" x14ac:dyDescent="0.2">
      <c r="B94" s="18"/>
    </row>
    <row r="95" spans="2:22" s="2" customFormat="1" ht="12.75" x14ac:dyDescent="0.2">
      <c r="B95" s="18"/>
    </row>
    <row r="96" spans="2:22" s="2" customFormat="1" ht="12.75" x14ac:dyDescent="0.2">
      <c r="B96" s="18"/>
    </row>
    <row r="97" spans="2:2" s="2" customFormat="1" ht="12.75" x14ac:dyDescent="0.2">
      <c r="B97" s="18"/>
    </row>
    <row r="98" spans="2:2" s="2" customFormat="1" ht="12.75" x14ac:dyDescent="0.2">
      <c r="B98" s="18"/>
    </row>
    <row r="99" spans="2:2" s="2" customFormat="1" ht="12.75" x14ac:dyDescent="0.2">
      <c r="B99" s="18"/>
    </row>
    <row r="100" spans="2:2" s="2" customFormat="1" ht="12.75" x14ac:dyDescent="0.2">
      <c r="B100" s="18"/>
    </row>
    <row r="101" spans="2:2" s="2" customFormat="1" ht="12.75" x14ac:dyDescent="0.2">
      <c r="B101" s="18"/>
    </row>
    <row r="102" spans="2:2" s="2" customFormat="1" ht="12.75" x14ac:dyDescent="0.2">
      <c r="B102" s="18"/>
    </row>
    <row r="103" spans="2:2" s="2" customFormat="1" ht="12.75" x14ac:dyDescent="0.2">
      <c r="B103" s="18"/>
    </row>
    <row r="104" spans="2:2" s="2" customFormat="1" ht="12.75" x14ac:dyDescent="0.2">
      <c r="B104" s="18"/>
    </row>
    <row r="105" spans="2:2" s="2" customFormat="1" ht="12.75" x14ac:dyDescent="0.2">
      <c r="B105" s="18"/>
    </row>
    <row r="106" spans="2:2" s="2" customFormat="1" ht="12.75" x14ac:dyDescent="0.2">
      <c r="B106" s="18"/>
    </row>
    <row r="107" spans="2:2" s="2" customFormat="1" ht="12.75" x14ac:dyDescent="0.2">
      <c r="B107" s="18"/>
    </row>
    <row r="108" spans="2:2" s="2" customFormat="1" ht="12.75" x14ac:dyDescent="0.2">
      <c r="B108" s="18"/>
    </row>
    <row r="109" spans="2:2" s="2" customFormat="1" ht="12.75" x14ac:dyDescent="0.2">
      <c r="B109" s="18"/>
    </row>
    <row r="110" spans="2:2" s="2" customFormat="1" ht="12.75" x14ac:dyDescent="0.2">
      <c r="B110" s="18"/>
    </row>
    <row r="111" spans="2:2" s="2" customFormat="1" ht="12.75" x14ac:dyDescent="0.2">
      <c r="B111" s="18"/>
    </row>
    <row r="112" spans="2:2" s="2" customFormat="1" ht="12.75" x14ac:dyDescent="0.2">
      <c r="B112" s="18"/>
    </row>
    <row r="113" spans="2:16" s="2" customFormat="1" ht="12.75" x14ac:dyDescent="0.2">
      <c r="B113" s="18"/>
    </row>
    <row r="114" spans="2:16" s="2" customFormat="1" ht="12.75" x14ac:dyDescent="0.2">
      <c r="B114" s="18"/>
    </row>
    <row r="115" spans="2:16" s="2" customFormat="1" ht="12.75" x14ac:dyDescent="0.2">
      <c r="B115" s="18"/>
    </row>
    <row r="116" spans="2:16" s="2" customFormat="1" ht="12.75" x14ac:dyDescent="0.2">
      <c r="B116" s="18"/>
    </row>
    <row r="117" spans="2:16" s="2" customFormat="1" ht="12.75" x14ac:dyDescent="0.2">
      <c r="B117" s="18"/>
    </row>
    <row r="118" spans="2:16" s="2" customFormat="1" ht="12.75" x14ac:dyDescent="0.2">
      <c r="B118" s="18"/>
    </row>
    <row r="119" spans="2:16" s="2" customFormat="1" ht="12.75" x14ac:dyDescent="0.2">
      <c r="B119" s="18"/>
      <c r="C119" s="86" t="s">
        <v>1260</v>
      </c>
    </row>
    <row r="120" spans="2:16" s="2" customFormat="1" ht="12.75" x14ac:dyDescent="0.2">
      <c r="B120" s="18"/>
    </row>
    <row r="121" spans="2:16" s="2" customFormat="1" ht="12.75" x14ac:dyDescent="0.2">
      <c r="D121" s="20" t="s">
        <v>891</v>
      </c>
    </row>
    <row r="122" spans="2:16" s="2" customFormat="1" ht="12.75" x14ac:dyDescent="0.2"/>
    <row r="123" spans="2:16" s="2" customFormat="1" ht="15" x14ac:dyDescent="0.25">
      <c r="H123" s="239" t="s">
        <v>547</v>
      </c>
      <c r="I123" s="239"/>
      <c r="J123" s="239"/>
      <c r="K123" s="239"/>
      <c r="L123" s="239"/>
      <c r="M123" s="239"/>
      <c r="N123"/>
      <c r="O123"/>
      <c r="P123"/>
    </row>
    <row r="124" spans="2:16" s="2" customFormat="1" ht="12.75" customHeight="1" x14ac:dyDescent="0.25">
      <c r="H124" s="358" t="s">
        <v>546</v>
      </c>
      <c r="I124" s="358"/>
      <c r="J124" s="358"/>
      <c r="K124" s="358" t="s">
        <v>545</v>
      </c>
      <c r="L124" s="358"/>
      <c r="M124" s="358"/>
      <c r="N124"/>
      <c r="O124"/>
      <c r="P124"/>
    </row>
    <row r="125" spans="2:16" s="2" customFormat="1" ht="15" x14ac:dyDescent="0.25">
      <c r="H125" s="359"/>
      <c r="I125" s="359"/>
      <c r="J125" s="359"/>
      <c r="K125" s="359"/>
      <c r="L125" s="359"/>
      <c r="M125" s="359"/>
      <c r="N125"/>
      <c r="O125"/>
      <c r="P125"/>
    </row>
    <row r="126" spans="2:16" s="2" customFormat="1" ht="15" x14ac:dyDescent="0.25">
      <c r="E126" s="239" t="s">
        <v>548</v>
      </c>
      <c r="F126" s="239"/>
      <c r="G126" s="239"/>
      <c r="H126" s="296">
        <f>1.4*(Q78+Q79)</f>
        <v>65.790899188448009</v>
      </c>
      <c r="I126" s="296"/>
      <c r="J126" s="296"/>
      <c r="K126" s="296">
        <f>1.4*(T78+T79)</f>
        <v>0</v>
      </c>
      <c r="L126" s="296"/>
      <c r="M126" s="296"/>
      <c r="N126"/>
      <c r="O126"/>
      <c r="P126"/>
    </row>
    <row r="127" spans="2:16" s="2" customFormat="1" ht="15" x14ac:dyDescent="0.25">
      <c r="E127" s="239" t="s">
        <v>549</v>
      </c>
      <c r="F127" s="239"/>
      <c r="G127" s="239"/>
      <c r="H127" s="296">
        <f>1.25*(Q78+Q79)+1.5*Q82</f>
        <v>93.921190371856696</v>
      </c>
      <c r="I127" s="296"/>
      <c r="J127" s="296"/>
      <c r="K127" s="296">
        <f>1.25*(T78+T79)+1.5*T82</f>
        <v>10.979811515748032</v>
      </c>
      <c r="L127" s="296"/>
      <c r="M127" s="296"/>
      <c r="N127"/>
      <c r="O127"/>
      <c r="P127"/>
    </row>
    <row r="128" spans="2:16" s="2" customFormat="1" ht="15" x14ac:dyDescent="0.25">
      <c r="E128" s="239" t="s">
        <v>550</v>
      </c>
      <c r="F128" s="239"/>
      <c r="G128" s="239"/>
      <c r="H128" s="236">
        <f>0.9*(Q78+Q80)-1.5*Q82</f>
        <v>4.0956911318313232</v>
      </c>
      <c r="I128" s="237"/>
      <c r="J128" s="238"/>
      <c r="K128" s="236">
        <f>0.9*(T78+T80)-1.5*T82</f>
        <v>-10.979811515748032</v>
      </c>
      <c r="L128" s="237"/>
      <c r="M128" s="238"/>
      <c r="N128"/>
      <c r="P128"/>
    </row>
    <row r="129" spans="4:16" s="2" customFormat="1" ht="15" x14ac:dyDescent="0.25">
      <c r="E129" s="239" t="s">
        <v>694</v>
      </c>
      <c r="F129" s="239"/>
      <c r="G129" s="239"/>
      <c r="H129" s="236">
        <f>1*(Q78+Q79)+1*Q81+1.5*Q82</f>
        <v>94.563519749129981</v>
      </c>
      <c r="I129" s="237"/>
      <c r="J129" s="238"/>
      <c r="K129" s="236">
        <f>1*(T78+T79)+1*T81+1.5*T82</f>
        <v>18.978753997080513</v>
      </c>
      <c r="L129" s="237"/>
      <c r="M129" s="238"/>
      <c r="N129"/>
      <c r="O129"/>
      <c r="P129"/>
    </row>
    <row r="130" spans="4:16" s="2" customFormat="1" ht="15" x14ac:dyDescent="0.25">
      <c r="E130" s="239" t="s">
        <v>700</v>
      </c>
      <c r="F130" s="239"/>
      <c r="G130" s="239"/>
      <c r="H130" s="236">
        <f>1*(Q78+Q80)-1*Q81-1.5*Q82</f>
        <v>-3.9311234084899631</v>
      </c>
      <c r="I130" s="237"/>
      <c r="J130" s="238"/>
      <c r="K130" s="236">
        <f>1*(T78+T80)-1*T81-1.5*T82</f>
        <v>-18.978753997080513</v>
      </c>
      <c r="L130" s="237"/>
      <c r="M130" s="238"/>
      <c r="N130"/>
      <c r="O130"/>
      <c r="P130"/>
    </row>
    <row r="131" spans="4:16" s="2" customFormat="1" ht="12.75" x14ac:dyDescent="0.2"/>
    <row r="132" spans="4:16" s="2" customFormat="1" ht="15.75" x14ac:dyDescent="0.3">
      <c r="F132" s="21" t="s">
        <v>382</v>
      </c>
      <c r="G132" s="13" t="s">
        <v>332</v>
      </c>
      <c r="H132" s="231">
        <f>MAX(H126:J130)</f>
        <v>94.563519749129981</v>
      </c>
      <c r="I132" s="231"/>
      <c r="J132" s="231"/>
      <c r="K132" s="2" t="s">
        <v>335</v>
      </c>
      <c r="O132" s="2" t="s">
        <v>889</v>
      </c>
    </row>
    <row r="133" spans="4:16" s="2" customFormat="1" ht="15.75" x14ac:dyDescent="0.3">
      <c r="F133" s="21" t="s">
        <v>888</v>
      </c>
      <c r="G133" s="13" t="s">
        <v>332</v>
      </c>
      <c r="H133" s="231">
        <f>MIN(MIN(H126:J130),0)</f>
        <v>-3.9311234084899631</v>
      </c>
      <c r="I133" s="231"/>
      <c r="J133" s="231"/>
      <c r="K133" s="2" t="s">
        <v>335</v>
      </c>
      <c r="O133" s="2" t="s">
        <v>1248</v>
      </c>
    </row>
    <row r="134" spans="4:16" s="2" customFormat="1" ht="15.75" x14ac:dyDescent="0.3">
      <c r="F134" s="21" t="s">
        <v>533</v>
      </c>
      <c r="G134" s="13" t="s">
        <v>332</v>
      </c>
      <c r="H134" s="231">
        <f>MAX(K126:M130)</f>
        <v>18.978753997080513</v>
      </c>
      <c r="I134" s="231"/>
      <c r="J134" s="231"/>
      <c r="K134" s="2" t="s">
        <v>335</v>
      </c>
      <c r="O134" s="2" t="s">
        <v>890</v>
      </c>
    </row>
    <row r="135" spans="4:16" s="2" customFormat="1" ht="12.75" x14ac:dyDescent="0.2"/>
    <row r="136" spans="4:16" s="2" customFormat="1" ht="12.75" x14ac:dyDescent="0.2"/>
    <row r="137" spans="4:16" s="2" customFormat="1" ht="12.75" x14ac:dyDescent="0.2"/>
    <row r="138" spans="4:16" s="2" customFormat="1" ht="12.75" x14ac:dyDescent="0.2">
      <c r="D138" s="20" t="s">
        <v>1250</v>
      </c>
    </row>
    <row r="139" spans="4:16" s="2" customFormat="1" ht="12.75" x14ac:dyDescent="0.2"/>
    <row r="140" spans="4:16" s="2" customFormat="1" ht="15" x14ac:dyDescent="0.25">
      <c r="H140" s="239" t="s">
        <v>547</v>
      </c>
      <c r="I140" s="239"/>
      <c r="J140" s="239"/>
      <c r="K140" s="239"/>
      <c r="L140" s="239"/>
      <c r="M140" s="239"/>
      <c r="N140"/>
      <c r="O140"/>
      <c r="P140"/>
    </row>
    <row r="141" spans="4:16" s="2" customFormat="1" ht="15" x14ac:dyDescent="0.25">
      <c r="H141" s="358" t="s">
        <v>1255</v>
      </c>
      <c r="I141" s="358"/>
      <c r="J141" s="358"/>
      <c r="K141" s="358" t="s">
        <v>1256</v>
      </c>
      <c r="L141" s="358"/>
      <c r="M141" s="358"/>
      <c r="N141"/>
      <c r="O141"/>
      <c r="P141"/>
    </row>
    <row r="142" spans="4:16" s="2" customFormat="1" ht="15" x14ac:dyDescent="0.25">
      <c r="H142" s="359"/>
      <c r="I142" s="359"/>
      <c r="J142" s="359"/>
      <c r="K142" s="359"/>
      <c r="L142" s="359"/>
      <c r="M142" s="359"/>
      <c r="N142"/>
      <c r="O142"/>
      <c r="P142"/>
    </row>
    <row r="143" spans="4:16" s="2" customFormat="1" ht="15" x14ac:dyDescent="0.25">
      <c r="E143" s="239" t="s">
        <v>1251</v>
      </c>
      <c r="F143" s="239"/>
      <c r="G143" s="239"/>
      <c r="H143" s="296">
        <f>1*(Q78+Q79)</f>
        <v>46.993499420320006</v>
      </c>
      <c r="I143" s="296"/>
      <c r="J143" s="296"/>
      <c r="K143" s="296">
        <f>1*(T78+T79)</f>
        <v>0</v>
      </c>
      <c r="L143" s="296"/>
      <c r="M143" s="296"/>
      <c r="N143"/>
      <c r="O143"/>
      <c r="P143"/>
    </row>
    <row r="144" spans="4:16" s="2" customFormat="1" ht="15" x14ac:dyDescent="0.25">
      <c r="E144" s="239" t="s">
        <v>1252</v>
      </c>
      <c r="F144" s="239"/>
      <c r="G144" s="239"/>
      <c r="H144" s="296">
        <f>1*(Q78+Q79)+1*Q82</f>
        <v>70.446376817957798</v>
      </c>
      <c r="I144" s="296"/>
      <c r="J144" s="296"/>
      <c r="K144" s="296">
        <f>1*(T78+T79)+1*T82</f>
        <v>7.3198743438320211</v>
      </c>
      <c r="L144" s="296"/>
      <c r="M144" s="296"/>
      <c r="N144"/>
      <c r="O144"/>
      <c r="P144"/>
    </row>
    <row r="145" spans="6:15" s="2" customFormat="1" ht="12.75" x14ac:dyDescent="0.2"/>
    <row r="146" spans="6:15" s="2" customFormat="1" ht="15.75" x14ac:dyDescent="0.3">
      <c r="F146" s="21" t="s">
        <v>437</v>
      </c>
      <c r="G146" s="13" t="s">
        <v>332</v>
      </c>
      <c r="H146" s="231">
        <f>MAX(H143:J144)</f>
        <v>70.446376817957798</v>
      </c>
      <c r="I146" s="231"/>
      <c r="J146" s="231"/>
      <c r="K146" s="2" t="s">
        <v>335</v>
      </c>
      <c r="O146" s="2" t="s">
        <v>889</v>
      </c>
    </row>
    <row r="147" spans="6:15" s="2" customFormat="1" ht="15.75" x14ac:dyDescent="0.3">
      <c r="F147" s="21" t="s">
        <v>1253</v>
      </c>
      <c r="G147" s="13" t="s">
        <v>332</v>
      </c>
      <c r="H147" s="231">
        <v>0</v>
      </c>
      <c r="I147" s="231"/>
      <c r="J147" s="231"/>
      <c r="K147" s="2" t="s">
        <v>335</v>
      </c>
      <c r="O147" s="2" t="s">
        <v>1248</v>
      </c>
    </row>
    <row r="148" spans="6:15" s="2" customFormat="1" ht="15.75" x14ac:dyDescent="0.3">
      <c r="F148" s="21" t="s">
        <v>1254</v>
      </c>
      <c r="G148" s="13" t="s">
        <v>332</v>
      </c>
      <c r="H148" s="231">
        <f>MAX(K143:M144)</f>
        <v>7.3198743438320211</v>
      </c>
      <c r="I148" s="231"/>
      <c r="J148" s="231"/>
      <c r="K148" s="2" t="s">
        <v>335</v>
      </c>
      <c r="O148" s="2" t="s">
        <v>890</v>
      </c>
    </row>
    <row r="149" spans="6:15" s="2" customFormat="1" ht="12.75" x14ac:dyDescent="0.2"/>
    <row r="150" spans="6:15" s="2" customFormat="1" ht="12.75" x14ac:dyDescent="0.2"/>
    <row r="151" spans="6:15" s="2" customFormat="1" ht="12.75" x14ac:dyDescent="0.2"/>
    <row r="152" spans="6:15" s="2" customFormat="1" ht="12.75" x14ac:dyDescent="0.2"/>
    <row r="153" spans="6:15" s="2" customFormat="1" ht="12.75" x14ac:dyDescent="0.2"/>
    <row r="154" spans="6:15" s="2" customFormat="1" ht="12.75" x14ac:dyDescent="0.2"/>
    <row r="155" spans="6:15" s="2" customFormat="1" ht="12.75" x14ac:dyDescent="0.2"/>
    <row r="156" spans="6:15" s="2" customFormat="1" ht="12.75" x14ac:dyDescent="0.2"/>
    <row r="157" spans="6:15" s="2" customFormat="1" ht="12.75" x14ac:dyDescent="0.2"/>
    <row r="158" spans="6:15" s="2" customFormat="1" ht="12.75" x14ac:dyDescent="0.2"/>
    <row r="159" spans="6:15" s="2" customFormat="1" ht="12.75" x14ac:dyDescent="0.2"/>
    <row r="160" spans="6:15" s="2" customFormat="1" ht="12.75" x14ac:dyDescent="0.2"/>
    <row r="161" spans="1:32" s="2" customFormat="1" ht="12.75" x14ac:dyDescent="0.2"/>
    <row r="162" spans="1:32" s="2" customFormat="1" ht="12.75" x14ac:dyDescent="0.2"/>
    <row r="163" spans="1:32" s="2" customFormat="1" ht="12.75" x14ac:dyDescent="0.2"/>
    <row r="164" spans="1:32" s="2" customFormat="1" ht="12.75" x14ac:dyDescent="0.2"/>
    <row r="165" spans="1:32" s="2" customFormat="1" ht="12.75" x14ac:dyDescent="0.2"/>
    <row r="166" spans="1:32" s="2" customFormat="1" ht="12.75" x14ac:dyDescent="0.2"/>
    <row r="167" spans="1:32" s="2" customFormat="1" ht="12.75" x14ac:dyDescent="0.2"/>
    <row r="168" spans="1:32" s="2" customFormat="1" ht="12.75" x14ac:dyDescent="0.2"/>
    <row r="169" spans="1:32" s="2" customFormat="1" ht="12.75" x14ac:dyDescent="0.2"/>
    <row r="170" spans="1:32" s="2" customFormat="1" ht="12.75" x14ac:dyDescent="0.2"/>
    <row r="171" spans="1:32" s="2" customFormat="1" ht="12.75" x14ac:dyDescent="0.2"/>
    <row r="172" spans="1:32" s="2" customFormat="1" ht="12.75" x14ac:dyDescent="0.2"/>
    <row r="173" spans="1:32" s="2" customFormat="1" ht="12.75" x14ac:dyDescent="0.2"/>
    <row r="174" spans="1:32" s="2" customFormat="1" ht="12.75" x14ac:dyDescent="0.2"/>
    <row r="175" spans="1:32" s="2" customFormat="1" ht="12.75" x14ac:dyDescent="0.2"/>
    <row r="176" spans="1:32" ht="15" x14ac:dyDescent="0.25">
      <c r="A176" s="2"/>
      <c r="B176" s="4" t="s">
        <v>1261</v>
      </c>
      <c r="C176" s="2"/>
      <c r="D176" s="2"/>
      <c r="E176" s="2"/>
      <c r="F176" s="2"/>
      <c r="G176" s="2"/>
      <c r="H176" s="2"/>
      <c r="I176" s="2"/>
      <c r="J176" s="2"/>
      <c r="K176" s="2"/>
      <c r="L176" s="2"/>
      <c r="M176" s="2"/>
      <c r="N176" s="2"/>
      <c r="O176" s="2"/>
      <c r="P176" s="2"/>
      <c r="Q176" s="2"/>
      <c r="R176" s="2"/>
      <c r="S176" s="2"/>
      <c r="T176" s="2"/>
      <c r="U176" s="2"/>
      <c r="V176" s="2"/>
      <c r="W176" s="2"/>
      <c r="X176"/>
      <c r="Y176"/>
      <c r="Z176"/>
      <c r="AA176"/>
      <c r="AB176"/>
      <c r="AC176"/>
      <c r="AD176"/>
      <c r="AE176"/>
      <c r="AF176"/>
    </row>
    <row r="177" spans="1:33" x14ac:dyDescent="0.2">
      <c r="A177" s="2"/>
      <c r="B177" s="232" t="s">
        <v>1419</v>
      </c>
      <c r="C177" s="232"/>
      <c r="D177" s="232"/>
      <c r="E177" s="232"/>
      <c r="F177" s="232"/>
      <c r="G177" s="232"/>
      <c r="H177" s="232"/>
      <c r="I177" s="232"/>
      <c r="J177" s="232"/>
      <c r="K177" s="232"/>
      <c r="L177" s="232"/>
      <c r="M177" s="232"/>
      <c r="N177" s="232"/>
      <c r="O177" s="232"/>
      <c r="P177" s="232"/>
      <c r="Q177" s="232"/>
      <c r="R177" s="232"/>
      <c r="S177" s="232"/>
      <c r="T177" s="232"/>
      <c r="U177" s="232"/>
      <c r="V177" s="232"/>
      <c r="W177" s="232"/>
      <c r="X177" s="232"/>
      <c r="Y177" s="232"/>
      <c r="Z177" s="232"/>
      <c r="AA177" s="232"/>
      <c r="AB177" s="232"/>
      <c r="AC177" s="232"/>
      <c r="AD177" s="232"/>
      <c r="AE177" s="232"/>
      <c r="AF177" s="232"/>
      <c r="AG177" s="232"/>
    </row>
    <row r="178" spans="1:33" x14ac:dyDescent="0.2">
      <c r="A178" s="2"/>
      <c r="B178" s="232"/>
      <c r="C178" s="232"/>
      <c r="D178" s="232"/>
      <c r="E178" s="232"/>
      <c r="F178" s="232"/>
      <c r="G178" s="232"/>
      <c r="H178" s="232"/>
      <c r="I178" s="232"/>
      <c r="J178" s="232"/>
      <c r="K178" s="232"/>
      <c r="L178" s="232"/>
      <c r="M178" s="232"/>
      <c r="N178" s="232"/>
      <c r="O178" s="232"/>
      <c r="P178" s="232"/>
      <c r="Q178" s="232"/>
      <c r="R178" s="232"/>
      <c r="S178" s="232"/>
      <c r="T178" s="232"/>
      <c r="U178" s="232"/>
      <c r="V178" s="232"/>
      <c r="W178" s="232"/>
      <c r="X178" s="232"/>
      <c r="Y178" s="232"/>
      <c r="Z178" s="232"/>
      <c r="AA178" s="232"/>
      <c r="AB178" s="232"/>
      <c r="AC178" s="232"/>
      <c r="AD178" s="232"/>
      <c r="AE178" s="232"/>
      <c r="AF178" s="232"/>
      <c r="AG178" s="232"/>
    </row>
    <row r="179" spans="1:33" x14ac:dyDescent="0.2">
      <c r="A179" s="2"/>
      <c r="B179" s="232"/>
      <c r="C179" s="232"/>
      <c r="D179" s="232"/>
      <c r="E179" s="232"/>
      <c r="F179" s="232"/>
      <c r="G179" s="232"/>
      <c r="H179" s="232"/>
      <c r="I179" s="232"/>
      <c r="J179" s="232"/>
      <c r="K179" s="232"/>
      <c r="L179" s="232"/>
      <c r="M179" s="232"/>
      <c r="N179" s="232"/>
      <c r="O179" s="232"/>
      <c r="P179" s="232"/>
      <c r="Q179" s="232"/>
      <c r="R179" s="232"/>
      <c r="S179" s="232"/>
      <c r="T179" s="232"/>
      <c r="U179" s="232"/>
      <c r="V179" s="232"/>
      <c r="W179" s="232"/>
      <c r="X179" s="232"/>
      <c r="Y179" s="232"/>
      <c r="Z179" s="232"/>
      <c r="AA179" s="232"/>
      <c r="AB179" s="232"/>
      <c r="AC179" s="232"/>
      <c r="AD179" s="232"/>
      <c r="AE179" s="232"/>
      <c r="AF179" s="232"/>
      <c r="AG179" s="232"/>
    </row>
    <row r="180" spans="1:33" ht="15" customHeight="1" x14ac:dyDescent="0.2">
      <c r="A180" s="2"/>
      <c r="B180" s="357" t="s">
        <v>365</v>
      </c>
      <c r="C180" s="357"/>
      <c r="D180" s="357"/>
      <c r="E180" s="357"/>
      <c r="F180" s="357"/>
      <c r="G180" s="357"/>
      <c r="H180" s="357"/>
      <c r="I180" s="357"/>
      <c r="J180" s="357"/>
      <c r="K180" s="357"/>
      <c r="L180" s="357"/>
      <c r="M180" s="357"/>
      <c r="N180" s="357"/>
      <c r="O180" s="357"/>
      <c r="P180" s="357"/>
      <c r="Q180" s="357"/>
      <c r="R180" s="357"/>
      <c r="S180" s="357"/>
      <c r="T180" s="357"/>
      <c r="U180" s="357"/>
      <c r="V180" s="357"/>
      <c r="W180" s="357"/>
      <c r="X180" s="357"/>
      <c r="Y180" s="357"/>
      <c r="Z180" s="357"/>
      <c r="AA180" s="357"/>
      <c r="AB180" s="357"/>
      <c r="AC180" s="357"/>
      <c r="AD180" s="357"/>
      <c r="AE180" s="357"/>
      <c r="AF180" s="357"/>
      <c r="AG180" s="357"/>
    </row>
    <row r="181" spans="1:33" x14ac:dyDescent="0.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row>
    <row r="182" spans="1:33" x14ac:dyDescent="0.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row>
    <row r="183" spans="1:33" ht="15" x14ac:dyDescent="0.25">
      <c r="A183" s="2"/>
      <c r="B183" s="2"/>
      <c r="C183" s="24" t="s">
        <v>1249</v>
      </c>
      <c r="D183" s="2"/>
      <c r="E183" s="2"/>
      <c r="F183" s="2"/>
      <c r="G183" s="2"/>
      <c r="H183" s="2"/>
      <c r="I183" s="2"/>
      <c r="J183" s="2"/>
      <c r="K183" s="2"/>
      <c r="L183" s="2"/>
      <c r="M183" s="2"/>
      <c r="N183" s="2"/>
      <c r="O183" s="2"/>
      <c r="P183" s="2"/>
      <c r="Q183" s="2"/>
      <c r="R183" s="2"/>
      <c r="S183" s="2"/>
      <c r="T183" s="2"/>
      <c r="U183" s="2"/>
      <c r="V183"/>
      <c r="W183"/>
      <c r="X183"/>
      <c r="Y183"/>
      <c r="Z183"/>
      <c r="AA183"/>
      <c r="AB183"/>
      <c r="AC183"/>
      <c r="AD183" s="2"/>
      <c r="AE183" s="2"/>
      <c r="AF183" s="2"/>
      <c r="AG183" s="2"/>
    </row>
    <row r="184" spans="1:33" x14ac:dyDescent="0.2">
      <c r="A184" s="2"/>
      <c r="B184" s="2"/>
      <c r="C184" s="232" t="s">
        <v>395</v>
      </c>
      <c r="D184" s="232"/>
      <c r="E184" s="232"/>
      <c r="F184" s="232"/>
      <c r="G184" s="232"/>
      <c r="H184" s="232"/>
      <c r="I184" s="232"/>
      <c r="J184" s="232"/>
      <c r="K184" s="232"/>
      <c r="L184" s="232"/>
      <c r="M184" s="232"/>
      <c r="N184" s="232"/>
      <c r="O184" s="232"/>
      <c r="P184" s="232"/>
      <c r="Q184" s="232"/>
      <c r="R184" s="232"/>
      <c r="S184" s="232"/>
      <c r="T184" s="232"/>
      <c r="U184" s="232"/>
      <c r="V184" s="232"/>
      <c r="W184" s="232"/>
      <c r="X184" s="232"/>
      <c r="Y184" s="232"/>
      <c r="Z184" s="232"/>
      <c r="AA184" s="232"/>
      <c r="AB184" s="232"/>
      <c r="AC184" s="232"/>
      <c r="AD184" s="232"/>
      <c r="AE184" s="232"/>
      <c r="AF184" s="232"/>
      <c r="AG184" s="232"/>
    </row>
    <row r="185" spans="1:33" x14ac:dyDescent="0.2">
      <c r="A185" s="2"/>
      <c r="B185" s="2"/>
      <c r="C185" s="232"/>
      <c r="D185" s="232"/>
      <c r="E185" s="232"/>
      <c r="F185" s="232"/>
      <c r="G185" s="232"/>
      <c r="H185" s="232"/>
      <c r="I185" s="232"/>
      <c r="J185" s="232"/>
      <c r="K185" s="232"/>
      <c r="L185" s="232"/>
      <c r="M185" s="232"/>
      <c r="N185" s="232"/>
      <c r="O185" s="232"/>
      <c r="P185" s="232"/>
      <c r="Q185" s="232"/>
      <c r="R185" s="232"/>
      <c r="S185" s="232"/>
      <c r="T185" s="232"/>
      <c r="U185" s="232"/>
      <c r="V185" s="232"/>
      <c r="W185" s="232"/>
      <c r="X185" s="232"/>
      <c r="Y185" s="232"/>
      <c r="Z185" s="232"/>
      <c r="AA185" s="232"/>
      <c r="AB185" s="232"/>
      <c r="AC185" s="232"/>
      <c r="AD185" s="232"/>
      <c r="AE185" s="232"/>
      <c r="AF185" s="232"/>
      <c r="AG185" s="232"/>
    </row>
    <row r="186" spans="1:33" ht="15" x14ac:dyDescent="0.25">
      <c r="A186" s="2"/>
      <c r="B186" s="2"/>
      <c r="C186" s="2"/>
      <c r="D186" s="2"/>
      <c r="E186" s="2"/>
      <c r="F186" s="2"/>
      <c r="G186" s="2"/>
      <c r="H186" s="2"/>
      <c r="I186" s="2"/>
      <c r="J186" s="2"/>
      <c r="K186" s="2"/>
      <c r="L186" s="2"/>
      <c r="M186" s="2"/>
      <c r="N186" s="2"/>
      <c r="O186" s="2"/>
      <c r="P186" s="2"/>
      <c r="Q186" s="2"/>
      <c r="R186" s="2"/>
      <c r="S186" s="2"/>
      <c r="T186" s="2"/>
      <c r="U186" s="2"/>
      <c r="V186"/>
      <c r="W186"/>
      <c r="X186"/>
      <c r="Y186"/>
      <c r="Z186"/>
      <c r="AA186"/>
      <c r="AB186"/>
      <c r="AC186"/>
      <c r="AD186" s="2"/>
      <c r="AE186" s="2"/>
      <c r="AF186" s="2"/>
      <c r="AG186" s="2"/>
    </row>
    <row r="187" spans="1:33" ht="15.75" x14ac:dyDescent="0.3">
      <c r="A187" s="2"/>
      <c r="B187" s="2"/>
      <c r="C187" s="2"/>
      <c r="D187" s="2"/>
      <c r="E187" s="2"/>
      <c r="F187" s="33" t="s">
        <v>553</v>
      </c>
      <c r="G187" s="12" t="s">
        <v>332</v>
      </c>
      <c r="H187" s="354">
        <v>0.219</v>
      </c>
      <c r="I187" s="354"/>
      <c r="J187" s="354"/>
      <c r="K187" s="34" t="s">
        <v>340</v>
      </c>
      <c r="L187" s="2"/>
      <c r="M187" s="2" t="s">
        <v>554</v>
      </c>
      <c r="N187" s="2"/>
      <c r="O187" s="2"/>
      <c r="P187" s="2"/>
      <c r="Q187" s="2"/>
      <c r="R187" s="2"/>
      <c r="S187" s="2"/>
      <c r="T187" s="2"/>
      <c r="U187" s="2"/>
      <c r="V187" s="2"/>
      <c r="W187" s="2"/>
      <c r="X187" s="2"/>
      <c r="Y187" s="2"/>
      <c r="Z187" s="2"/>
      <c r="AA187" s="2"/>
      <c r="AB187" s="2"/>
      <c r="AC187" s="2"/>
      <c r="AD187" s="2"/>
      <c r="AE187" s="2"/>
      <c r="AF187" s="2"/>
      <c r="AG187" s="2"/>
    </row>
    <row r="188" spans="1:33" ht="15.75" x14ac:dyDescent="0.3">
      <c r="A188" s="2"/>
      <c r="B188" s="2"/>
      <c r="C188" s="2"/>
      <c r="D188" s="2"/>
      <c r="E188" s="2"/>
      <c r="F188" s="33" t="s">
        <v>811</v>
      </c>
      <c r="G188" s="12" t="s">
        <v>332</v>
      </c>
      <c r="H188" s="354">
        <v>12</v>
      </c>
      <c r="I188" s="354"/>
      <c r="J188" s="354"/>
      <c r="K188" s="34" t="s">
        <v>340</v>
      </c>
      <c r="L188" s="2"/>
      <c r="M188" s="2" t="s">
        <v>812</v>
      </c>
      <c r="N188" s="2"/>
      <c r="O188" s="2"/>
      <c r="P188" s="2"/>
      <c r="Q188" s="2"/>
      <c r="R188" s="2"/>
      <c r="S188" s="2"/>
      <c r="T188" s="2"/>
      <c r="U188" s="2"/>
      <c r="V188" s="2"/>
      <c r="W188" s="2"/>
      <c r="X188" s="2"/>
      <c r="Y188" s="2"/>
      <c r="Z188" s="2"/>
      <c r="AA188" s="2"/>
      <c r="AB188" s="2"/>
      <c r="AC188" s="2"/>
      <c r="AD188" s="2"/>
      <c r="AE188" s="2"/>
      <c r="AF188" s="2"/>
      <c r="AG188" s="2"/>
    </row>
    <row r="189" spans="1:33" x14ac:dyDescent="0.2">
      <c r="A189" s="2"/>
      <c r="B189" s="2"/>
      <c r="C189" s="2"/>
      <c r="D189" s="2"/>
      <c r="E189" s="2"/>
      <c r="F189" s="33"/>
      <c r="G189" s="12"/>
      <c r="H189" s="35"/>
      <c r="I189" s="35"/>
      <c r="J189" s="35"/>
      <c r="K189" s="34"/>
      <c r="L189" s="2"/>
      <c r="M189" s="2"/>
      <c r="N189" s="2"/>
      <c r="O189" s="2"/>
      <c r="P189" s="2"/>
      <c r="Q189" s="2"/>
      <c r="R189" s="2"/>
      <c r="S189" s="2"/>
      <c r="T189" s="2"/>
      <c r="U189" s="2"/>
      <c r="V189" s="2"/>
      <c r="W189" s="2"/>
      <c r="X189" s="2"/>
      <c r="Y189" s="2"/>
      <c r="Z189" s="2"/>
      <c r="AA189" s="2"/>
      <c r="AB189" s="2"/>
      <c r="AC189" s="2"/>
      <c r="AD189" s="2"/>
      <c r="AE189" s="2"/>
      <c r="AF189" s="2"/>
      <c r="AG189" s="2"/>
    </row>
    <row r="190" spans="1:33" x14ac:dyDescent="0.2">
      <c r="A190" s="2"/>
      <c r="B190" s="2"/>
      <c r="C190" s="2"/>
      <c r="D190" s="2"/>
      <c r="E190" s="2"/>
      <c r="F190" s="33"/>
      <c r="G190" s="12"/>
      <c r="H190" s="35"/>
      <c r="I190" s="35"/>
      <c r="J190" s="35"/>
      <c r="K190" s="34"/>
      <c r="L190" s="2"/>
      <c r="M190" s="2"/>
      <c r="N190" s="2"/>
      <c r="O190" s="2"/>
      <c r="P190" s="2"/>
      <c r="Q190" s="2"/>
      <c r="R190" s="2"/>
      <c r="S190" s="2"/>
      <c r="T190" s="2"/>
      <c r="U190" s="2"/>
      <c r="V190" s="2"/>
      <c r="W190" s="2"/>
      <c r="X190" s="2"/>
      <c r="Y190" s="2"/>
      <c r="Z190" s="2"/>
      <c r="AA190" s="2"/>
      <c r="AB190" s="2"/>
      <c r="AC190" s="2"/>
      <c r="AD190" s="2"/>
      <c r="AE190" s="2"/>
      <c r="AF190" s="2"/>
      <c r="AG190" s="2"/>
    </row>
    <row r="191" spans="1:33" x14ac:dyDescent="0.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row>
    <row r="192" spans="1:33" x14ac:dyDescent="0.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row>
    <row r="193" spans="1:33" x14ac:dyDescent="0.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row>
    <row r="194" spans="1:33" x14ac:dyDescent="0.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row>
    <row r="195" spans="1:33" x14ac:dyDescent="0.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row>
    <row r="196" spans="1:33" x14ac:dyDescent="0.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row>
    <row r="197" spans="1:33" x14ac:dyDescent="0.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row>
    <row r="198" spans="1:33" x14ac:dyDescent="0.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row>
    <row r="199" spans="1:33" x14ac:dyDescent="0.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row>
    <row r="200" spans="1:33" x14ac:dyDescent="0.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row>
    <row r="201" spans="1:33" x14ac:dyDescent="0.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row>
    <row r="202" spans="1:33" x14ac:dyDescent="0.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row>
    <row r="203" spans="1:33" x14ac:dyDescent="0.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row>
    <row r="204" spans="1:33" x14ac:dyDescent="0.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row>
    <row r="205" spans="1:33" x14ac:dyDescent="0.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row>
    <row r="206" spans="1:33" x14ac:dyDescent="0.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row>
    <row r="207" spans="1:33" x14ac:dyDescent="0.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row>
    <row r="208" spans="1:33" x14ac:dyDescent="0.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row>
    <row r="209" spans="1:33" x14ac:dyDescent="0.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row>
    <row r="210" spans="1:33" x14ac:dyDescent="0.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row>
    <row r="211" spans="1:33" x14ac:dyDescent="0.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row>
    <row r="212" spans="1:33" x14ac:dyDescent="0.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row>
    <row r="213" spans="1:33" x14ac:dyDescent="0.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row>
    <row r="214" spans="1:33" x14ac:dyDescent="0.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row>
    <row r="215" spans="1:33" x14ac:dyDescent="0.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row>
    <row r="216" spans="1:33" x14ac:dyDescent="0.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row>
    <row r="217" spans="1:33" x14ac:dyDescent="0.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row>
    <row r="218" spans="1:33" x14ac:dyDescent="0.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row>
    <row r="219" spans="1:33" x14ac:dyDescent="0.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row>
    <row r="220" spans="1:33" x14ac:dyDescent="0.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row>
    <row r="221" spans="1:33" x14ac:dyDescent="0.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row>
    <row r="222" spans="1:33" x14ac:dyDescent="0.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row>
    <row r="223" spans="1:33" x14ac:dyDescent="0.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row>
    <row r="224" spans="1:33" x14ac:dyDescent="0.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row>
    <row r="225" spans="1:33" x14ac:dyDescent="0.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row>
    <row r="226" spans="1:33" x14ac:dyDescent="0.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row>
    <row r="227" spans="1:33" x14ac:dyDescent="0.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row>
    <row r="228" spans="1:33" x14ac:dyDescent="0.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row>
    <row r="229" spans="1:33" x14ac:dyDescent="0.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row>
    <row r="230" spans="1:33" x14ac:dyDescent="0.2">
      <c r="A230" s="2"/>
      <c r="B230" s="2"/>
      <c r="E230" s="2"/>
      <c r="F230" s="2"/>
      <c r="G230" s="2"/>
      <c r="H230" s="33" t="s">
        <v>387</v>
      </c>
      <c r="I230" s="12" t="s">
        <v>332</v>
      </c>
      <c r="J230" s="355">
        <v>0</v>
      </c>
      <c r="K230" s="355"/>
      <c r="L230" s="355"/>
      <c r="M230" s="34" t="s">
        <v>347</v>
      </c>
      <c r="N230" s="2"/>
      <c r="O230" s="2" t="s">
        <v>390</v>
      </c>
      <c r="P230" s="2"/>
      <c r="Q230" s="2"/>
      <c r="R230" s="2"/>
      <c r="S230" s="2"/>
      <c r="T230" s="2"/>
      <c r="U230" s="2"/>
      <c r="V230" s="2"/>
      <c r="W230" s="2"/>
      <c r="X230" s="2"/>
      <c r="Y230" s="2"/>
      <c r="Z230" s="2"/>
      <c r="AA230" s="2"/>
      <c r="AB230" s="2"/>
      <c r="AC230" s="2"/>
    </row>
    <row r="231" spans="1:33" x14ac:dyDescent="0.2">
      <c r="A231" s="2"/>
      <c r="B231" s="2"/>
      <c r="E231" s="2"/>
      <c r="F231" s="2"/>
      <c r="G231" s="2"/>
      <c r="H231" s="33" t="s">
        <v>388</v>
      </c>
      <c r="I231" s="12" t="s">
        <v>332</v>
      </c>
      <c r="J231" s="355">
        <v>35</v>
      </c>
      <c r="K231" s="355"/>
      <c r="L231" s="355"/>
      <c r="M231" s="34" t="s">
        <v>347</v>
      </c>
      <c r="N231" s="2"/>
      <c r="O231" s="2" t="s">
        <v>391</v>
      </c>
      <c r="P231" s="2"/>
      <c r="Q231" s="2"/>
      <c r="R231" s="2"/>
      <c r="S231" s="2"/>
      <c r="T231" s="2"/>
      <c r="U231" s="2"/>
      <c r="V231" s="2"/>
      <c r="W231" s="2"/>
      <c r="X231" s="2"/>
      <c r="Y231" s="2"/>
      <c r="Z231" s="2"/>
      <c r="AA231" s="2"/>
      <c r="AB231" s="2"/>
      <c r="AC231" s="2"/>
    </row>
    <row r="232" spans="1:33" x14ac:dyDescent="0.2">
      <c r="A232" s="2"/>
      <c r="B232" s="2"/>
      <c r="E232" s="2"/>
      <c r="F232" s="2"/>
      <c r="G232" s="2"/>
      <c r="H232" s="33" t="s">
        <v>396</v>
      </c>
      <c r="I232" s="12" t="s">
        <v>332</v>
      </c>
      <c r="J232" s="355">
        <v>60</v>
      </c>
      <c r="K232" s="355"/>
      <c r="L232" s="355"/>
      <c r="M232" s="34" t="s">
        <v>347</v>
      </c>
      <c r="N232" s="2"/>
      <c r="O232" s="2" t="s">
        <v>392</v>
      </c>
      <c r="P232" s="2"/>
      <c r="Q232" s="2"/>
      <c r="R232" s="2"/>
      <c r="S232" s="2"/>
      <c r="T232" s="2"/>
      <c r="U232" s="2"/>
      <c r="V232" s="2"/>
      <c r="W232" s="2"/>
      <c r="X232" s="2"/>
      <c r="Y232" s="2"/>
      <c r="Z232" s="2"/>
      <c r="AA232" s="2"/>
      <c r="AB232" s="2"/>
      <c r="AC232" s="2"/>
    </row>
    <row r="233" spans="1:33" x14ac:dyDescent="0.2">
      <c r="A233" s="2"/>
      <c r="B233" s="2"/>
      <c r="E233" s="2"/>
      <c r="F233" s="2"/>
      <c r="G233" s="2"/>
      <c r="H233" s="33" t="s">
        <v>374</v>
      </c>
      <c r="I233" s="12" t="s">
        <v>332</v>
      </c>
      <c r="J233" s="356">
        <v>2400</v>
      </c>
      <c r="K233" s="356"/>
      <c r="L233" s="356"/>
      <c r="M233" s="34" t="s">
        <v>347</v>
      </c>
      <c r="N233" s="2"/>
      <c r="O233" s="2" t="s">
        <v>389</v>
      </c>
      <c r="P233" s="2"/>
      <c r="Q233" s="2"/>
      <c r="R233" s="2"/>
      <c r="S233" s="2"/>
      <c r="T233" s="2"/>
      <c r="U233" s="2"/>
      <c r="V233" s="2"/>
      <c r="W233" s="2"/>
      <c r="X233" s="2"/>
      <c r="Y233" s="2"/>
      <c r="Z233" s="36"/>
      <c r="AA233" s="2"/>
      <c r="AB233" s="2"/>
      <c r="AC233" s="2"/>
    </row>
    <row r="234" spans="1:33" x14ac:dyDescent="0.2">
      <c r="A234" s="2"/>
      <c r="B234" s="2"/>
      <c r="C234" s="2"/>
      <c r="D234" s="2"/>
      <c r="E234" s="2"/>
      <c r="F234" s="33"/>
      <c r="G234" s="12"/>
      <c r="H234" s="37"/>
      <c r="I234" s="37"/>
      <c r="J234" s="37"/>
      <c r="K234" s="34"/>
      <c r="L234" s="2"/>
      <c r="M234" s="2"/>
      <c r="N234" s="2"/>
      <c r="O234" s="2"/>
      <c r="P234" s="2"/>
      <c r="Q234" s="2"/>
      <c r="R234" s="2"/>
      <c r="S234" s="2"/>
      <c r="T234" s="2"/>
      <c r="U234" s="2"/>
      <c r="V234" s="2"/>
      <c r="W234" s="2"/>
      <c r="X234" s="36"/>
      <c r="Y234" s="2"/>
      <c r="Z234" s="2"/>
      <c r="AA234" s="2"/>
      <c r="AB234" s="2"/>
      <c r="AC234" s="2"/>
      <c r="AD234" s="2"/>
      <c r="AE234" s="2"/>
      <c r="AF234" s="2"/>
      <c r="AG234" s="2"/>
    </row>
    <row r="235" spans="1:33" ht="15.75" x14ac:dyDescent="0.3">
      <c r="A235" s="2"/>
      <c r="B235" s="2"/>
      <c r="C235" s="2"/>
      <c r="D235" s="2"/>
      <c r="E235" s="16" t="s">
        <v>375</v>
      </c>
      <c r="G235" s="2"/>
      <c r="H235" s="33"/>
      <c r="I235" s="12" t="s">
        <v>332</v>
      </c>
      <c r="J235" s="38" t="s">
        <v>846</v>
      </c>
      <c r="K235" s="37"/>
      <c r="L235" s="37"/>
      <c r="M235" s="34"/>
      <c r="N235" s="2"/>
      <c r="O235" s="2"/>
      <c r="P235" s="2"/>
      <c r="Q235" s="2"/>
      <c r="R235" s="2"/>
      <c r="S235" s="2"/>
      <c r="T235" s="2"/>
      <c r="U235" s="2"/>
      <c r="V235" s="2"/>
      <c r="W235" s="2"/>
      <c r="X235" s="2"/>
      <c r="Y235" s="2"/>
      <c r="Z235" s="36"/>
      <c r="AA235" s="2"/>
      <c r="AB235" s="2"/>
      <c r="AC235" s="2"/>
      <c r="AD235" s="2"/>
      <c r="AE235" s="2"/>
      <c r="AF235" s="2"/>
      <c r="AG235" s="2"/>
    </row>
    <row r="236" spans="1:33" x14ac:dyDescent="0.2">
      <c r="A236" s="2"/>
      <c r="B236" s="2"/>
      <c r="C236" s="2"/>
      <c r="D236" s="2"/>
      <c r="E236" s="16"/>
      <c r="G236" s="2"/>
      <c r="H236" s="33"/>
      <c r="I236" s="12"/>
      <c r="J236" s="38"/>
      <c r="K236" s="37"/>
      <c r="L236" s="37"/>
      <c r="M236" s="34"/>
      <c r="N236" s="2"/>
      <c r="O236" s="2"/>
      <c r="P236" s="2"/>
      <c r="Q236" s="2"/>
      <c r="R236" s="2"/>
      <c r="S236" s="2"/>
      <c r="T236" s="2"/>
      <c r="U236" s="2"/>
      <c r="V236" s="2"/>
      <c r="W236" s="2"/>
      <c r="X236" s="2"/>
      <c r="Y236" s="2"/>
      <c r="Z236" s="36"/>
      <c r="AA236" s="2"/>
      <c r="AB236" s="2"/>
      <c r="AC236" s="2"/>
      <c r="AD236" s="2"/>
      <c r="AE236" s="2"/>
      <c r="AF236" s="2"/>
      <c r="AG236" s="2"/>
    </row>
    <row r="237" spans="1:33" x14ac:dyDescent="0.2">
      <c r="A237" s="2"/>
      <c r="B237" s="2"/>
      <c r="C237" s="2"/>
      <c r="D237" s="2"/>
      <c r="E237" s="2"/>
      <c r="F237" s="2"/>
      <c r="G237" s="2"/>
      <c r="H237" s="33" t="s">
        <v>387</v>
      </c>
      <c r="I237" s="12" t="s">
        <v>332</v>
      </c>
      <c r="J237" s="353">
        <f>PI()*$H$187*(1.5-0)*J230</f>
        <v>0</v>
      </c>
      <c r="K237" s="353"/>
      <c r="L237" s="353"/>
      <c r="M237" s="34" t="s">
        <v>335</v>
      </c>
      <c r="O237" s="3" t="s">
        <v>397</v>
      </c>
      <c r="P237" s="2"/>
      <c r="Q237" s="2"/>
      <c r="R237" s="2"/>
      <c r="S237" s="2"/>
      <c r="T237" s="2"/>
      <c r="U237" s="2"/>
      <c r="V237" s="2"/>
      <c r="W237" s="2"/>
      <c r="Y237" s="36"/>
      <c r="AA237" s="2"/>
      <c r="AB237" s="2"/>
      <c r="AC237" s="2"/>
      <c r="AD237" s="2"/>
      <c r="AE237" s="2"/>
      <c r="AF237" s="2"/>
      <c r="AG237" s="2"/>
    </row>
    <row r="238" spans="1:33" x14ac:dyDescent="0.2">
      <c r="A238" s="2"/>
      <c r="B238" s="2"/>
      <c r="C238" s="2"/>
      <c r="D238" s="2"/>
      <c r="E238" s="2"/>
      <c r="F238" s="2"/>
      <c r="G238" s="2"/>
      <c r="H238" s="33" t="s">
        <v>393</v>
      </c>
      <c r="I238" s="12" t="s">
        <v>332</v>
      </c>
      <c r="J238" s="353">
        <f>PI()*$H$187*(7-1.5)*J231</f>
        <v>132.4416922937117</v>
      </c>
      <c r="K238" s="353"/>
      <c r="L238" s="353"/>
      <c r="M238" s="34" t="s">
        <v>335</v>
      </c>
      <c r="O238" s="3" t="s">
        <v>376</v>
      </c>
      <c r="P238" s="2"/>
      <c r="Q238" s="2"/>
      <c r="R238" s="2"/>
      <c r="S238" s="2"/>
      <c r="T238" s="2"/>
      <c r="U238" s="2"/>
      <c r="V238" s="2"/>
      <c r="W238" s="2"/>
      <c r="Y238" s="36"/>
      <c r="AA238" s="2"/>
      <c r="AB238" s="2"/>
      <c r="AC238" s="2"/>
      <c r="AD238" s="2"/>
      <c r="AE238" s="2"/>
      <c r="AF238" s="2"/>
      <c r="AG238" s="2"/>
    </row>
    <row r="239" spans="1:33" x14ac:dyDescent="0.2">
      <c r="A239" s="2"/>
      <c r="B239" s="2"/>
      <c r="C239" s="2"/>
      <c r="D239" s="2"/>
      <c r="E239" s="2"/>
      <c r="F239" s="2"/>
      <c r="G239" s="2"/>
      <c r="H239" s="33" t="s">
        <v>396</v>
      </c>
      <c r="I239" s="12" t="s">
        <v>332</v>
      </c>
      <c r="J239" s="353">
        <f>PI()*$H$187*(H188-7)*J232</f>
        <v>206.4026373408494</v>
      </c>
      <c r="K239" s="353"/>
      <c r="L239" s="353"/>
      <c r="M239" s="34" t="s">
        <v>335</v>
      </c>
      <c r="O239" s="3" t="s">
        <v>377</v>
      </c>
      <c r="P239" s="2"/>
      <c r="Q239" s="2"/>
      <c r="R239" s="2"/>
      <c r="S239" s="2"/>
      <c r="T239" s="2"/>
      <c r="U239" s="2"/>
      <c r="V239" s="2"/>
      <c r="W239" s="2"/>
      <c r="Y239" s="36"/>
      <c r="AA239" s="2"/>
      <c r="AB239" s="2"/>
      <c r="AC239" s="2"/>
      <c r="AD239" s="2"/>
      <c r="AE239" s="2"/>
      <c r="AF239" s="2"/>
      <c r="AG239" s="2"/>
    </row>
    <row r="240" spans="1:33" x14ac:dyDescent="0.2">
      <c r="A240" s="2"/>
      <c r="B240" s="2"/>
      <c r="D240" s="2"/>
      <c r="E240" s="2"/>
      <c r="F240" s="2"/>
      <c r="G240" s="2"/>
      <c r="H240" s="39" t="s">
        <v>378</v>
      </c>
      <c r="I240" s="12" t="s">
        <v>332</v>
      </c>
      <c r="J240" s="353">
        <f>SUM(J237:L239)</f>
        <v>338.84432963456106</v>
      </c>
      <c r="K240" s="353"/>
      <c r="L240" s="353"/>
      <c r="M240" s="34" t="s">
        <v>335</v>
      </c>
      <c r="N240" s="3"/>
      <c r="O240" s="2"/>
      <c r="P240" s="2"/>
      <c r="Q240" s="2"/>
      <c r="R240" s="2"/>
      <c r="S240" s="2"/>
      <c r="T240" s="2"/>
      <c r="U240" s="2"/>
      <c r="V240" s="2"/>
      <c r="W240" s="2"/>
      <c r="X240" s="2"/>
      <c r="Y240" s="2"/>
      <c r="Z240" s="36"/>
      <c r="AA240" s="2"/>
      <c r="AB240" s="2"/>
      <c r="AC240" s="2"/>
      <c r="AD240" s="2"/>
      <c r="AE240" s="2"/>
      <c r="AF240" s="2"/>
      <c r="AG240" s="2"/>
    </row>
    <row r="241" spans="1:33" x14ac:dyDescent="0.2">
      <c r="A241" s="2"/>
      <c r="B241" s="2"/>
      <c r="C241" s="2"/>
      <c r="D241" s="2"/>
      <c r="E241" s="2"/>
      <c r="F241" s="2"/>
      <c r="G241" s="2"/>
      <c r="H241" s="33"/>
      <c r="I241" s="12"/>
      <c r="J241" s="37"/>
      <c r="K241" s="37"/>
      <c r="L241" s="37"/>
      <c r="M241" s="34"/>
      <c r="N241" s="3"/>
      <c r="O241" s="2"/>
      <c r="P241" s="2"/>
      <c r="Q241" s="2"/>
      <c r="R241" s="2"/>
      <c r="S241" s="2"/>
      <c r="T241" s="2"/>
      <c r="U241" s="2"/>
      <c r="V241" s="2"/>
      <c r="W241" s="2"/>
      <c r="X241" s="2"/>
      <c r="Y241" s="2"/>
      <c r="Z241" s="36"/>
      <c r="AA241" s="2"/>
      <c r="AB241" s="2"/>
      <c r="AC241" s="2"/>
      <c r="AD241" s="2"/>
      <c r="AE241" s="2"/>
      <c r="AF241" s="2"/>
      <c r="AG241" s="2"/>
    </row>
    <row r="242" spans="1:33" ht="15.75" x14ac:dyDescent="0.3">
      <c r="A242" s="2"/>
      <c r="B242" s="2"/>
      <c r="C242" s="2"/>
      <c r="D242" s="2"/>
      <c r="E242" s="2"/>
      <c r="F242" s="2"/>
      <c r="G242" s="2"/>
      <c r="H242" s="40" t="s">
        <v>379</v>
      </c>
      <c r="I242" s="12" t="s">
        <v>332</v>
      </c>
      <c r="J242" s="353">
        <f>PI()/4*H187^2*J233</f>
        <v>90.404355155292038</v>
      </c>
      <c r="K242" s="353"/>
      <c r="L242" s="353"/>
      <c r="M242" s="34" t="s">
        <v>335</v>
      </c>
      <c r="N242" s="3"/>
      <c r="O242" s="2" t="s">
        <v>845</v>
      </c>
      <c r="P242" s="2"/>
      <c r="Q242" s="2"/>
      <c r="R242" s="2"/>
      <c r="S242" s="2"/>
      <c r="T242" s="2"/>
      <c r="U242" s="2"/>
      <c r="V242" s="2"/>
      <c r="W242" s="2"/>
      <c r="X242" s="2"/>
      <c r="Y242" s="2"/>
      <c r="Z242" s="36"/>
      <c r="AA242" s="2"/>
      <c r="AB242" s="2"/>
      <c r="AC242" s="2"/>
      <c r="AD242" s="2"/>
      <c r="AE242" s="2"/>
      <c r="AF242" s="2"/>
      <c r="AG242" s="2"/>
    </row>
    <row r="243" spans="1:33" x14ac:dyDescent="0.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row>
    <row r="244" spans="1:33" x14ac:dyDescent="0.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row>
    <row r="245" spans="1:33" x14ac:dyDescent="0.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row>
    <row r="246" spans="1:33" x14ac:dyDescent="0.2">
      <c r="A246" s="2"/>
      <c r="B246" s="2"/>
      <c r="C246" s="2"/>
      <c r="D246" s="20" t="s">
        <v>1262</v>
      </c>
      <c r="E246" s="2"/>
      <c r="F246" s="33"/>
      <c r="G246" s="12"/>
      <c r="H246" s="37"/>
      <c r="I246" s="37"/>
      <c r="J246" s="37"/>
      <c r="K246" s="34"/>
      <c r="L246" s="3"/>
      <c r="M246" s="2"/>
      <c r="N246" s="2"/>
      <c r="O246" s="2"/>
      <c r="P246" s="2"/>
      <c r="Q246" s="2"/>
      <c r="R246" s="2"/>
      <c r="S246" s="2"/>
      <c r="T246" s="2"/>
      <c r="U246" s="2"/>
      <c r="V246" s="2"/>
      <c r="W246" s="2"/>
      <c r="X246" s="36"/>
      <c r="Y246" s="2"/>
      <c r="Z246" s="2"/>
      <c r="AA246" s="2"/>
      <c r="AB246" s="2"/>
      <c r="AC246" s="2"/>
      <c r="AD246" s="2"/>
      <c r="AE246" s="2"/>
      <c r="AF246" s="2"/>
      <c r="AG246" s="2"/>
    </row>
    <row r="247" spans="1:33" x14ac:dyDescent="0.2">
      <c r="A247" s="2"/>
      <c r="B247" s="2"/>
      <c r="C247" s="2"/>
      <c r="D247" s="232" t="s">
        <v>454</v>
      </c>
      <c r="E247" s="232"/>
      <c r="F247" s="232"/>
      <c r="G247" s="232"/>
      <c r="H247" s="232"/>
      <c r="I247" s="232"/>
      <c r="J247" s="232"/>
      <c r="K247" s="232"/>
      <c r="L247" s="232"/>
      <c r="M247" s="232"/>
      <c r="N247" s="232"/>
      <c r="O247" s="232"/>
      <c r="P247" s="232"/>
      <c r="Q247" s="232"/>
      <c r="R247" s="232"/>
      <c r="S247" s="232"/>
      <c r="T247" s="232"/>
      <c r="U247" s="232"/>
      <c r="V247" s="232"/>
      <c r="W247" s="232"/>
      <c r="X247" s="232"/>
      <c r="Y247" s="232"/>
      <c r="Z247" s="232"/>
      <c r="AA247" s="232"/>
      <c r="AB247" s="232"/>
      <c r="AC247" s="232"/>
      <c r="AD247" s="232"/>
      <c r="AE247" s="232"/>
      <c r="AF247" s="232"/>
      <c r="AG247" s="232"/>
    </row>
    <row r="248" spans="1:33" x14ac:dyDescent="0.2">
      <c r="A248" s="2"/>
      <c r="B248" s="2"/>
      <c r="C248" s="2"/>
      <c r="D248" s="232"/>
      <c r="E248" s="232"/>
      <c r="F248" s="232"/>
      <c r="G248" s="232"/>
      <c r="H248" s="232"/>
      <c r="I248" s="232"/>
      <c r="J248" s="232"/>
      <c r="K248" s="232"/>
      <c r="L248" s="232"/>
      <c r="M248" s="232"/>
      <c r="N248" s="232"/>
      <c r="O248" s="232"/>
      <c r="P248" s="232"/>
      <c r="Q248" s="232"/>
      <c r="R248" s="232"/>
      <c r="S248" s="232"/>
      <c r="T248" s="232"/>
      <c r="U248" s="232"/>
      <c r="V248" s="232"/>
      <c r="W248" s="232"/>
      <c r="X248" s="232"/>
      <c r="Y248" s="232"/>
      <c r="Z248" s="232"/>
      <c r="AA248" s="232"/>
      <c r="AB248" s="232"/>
      <c r="AC248" s="232"/>
      <c r="AD248" s="232"/>
      <c r="AE248" s="232"/>
      <c r="AF248" s="232"/>
      <c r="AG248" s="232"/>
    </row>
    <row r="249" spans="1:33" x14ac:dyDescent="0.2">
      <c r="A249" s="2"/>
      <c r="B249" s="2"/>
      <c r="C249" s="2"/>
      <c r="D249" s="20"/>
      <c r="E249" s="2"/>
      <c r="F249" s="33"/>
      <c r="G249" s="12"/>
      <c r="H249" s="37"/>
      <c r="I249" s="37"/>
      <c r="J249" s="37"/>
      <c r="K249" s="34"/>
      <c r="L249" s="3"/>
      <c r="M249" s="2"/>
      <c r="N249" s="2"/>
      <c r="O249" s="2"/>
      <c r="P249" s="2"/>
      <c r="Q249" s="2"/>
      <c r="R249" s="2"/>
      <c r="S249" s="2"/>
      <c r="T249" s="2"/>
      <c r="U249" s="2"/>
      <c r="V249" s="2"/>
      <c r="W249" s="2"/>
      <c r="X249" s="36"/>
      <c r="Y249" s="2"/>
      <c r="Z249" s="2"/>
      <c r="AA249" s="2"/>
      <c r="AB249" s="2"/>
      <c r="AC249" s="2"/>
      <c r="AD249" s="2"/>
      <c r="AE249" s="2"/>
      <c r="AF249" s="2"/>
      <c r="AG249" s="2"/>
    </row>
    <row r="250" spans="1:33" ht="15.75" x14ac:dyDescent="0.3">
      <c r="A250" s="2"/>
      <c r="B250" s="2"/>
      <c r="C250" s="2"/>
      <c r="D250" s="20"/>
      <c r="E250" s="2"/>
      <c r="F250" s="33"/>
      <c r="G250" s="12"/>
      <c r="H250" s="21" t="s">
        <v>394</v>
      </c>
      <c r="I250" s="13" t="s">
        <v>332</v>
      </c>
      <c r="J250" s="231">
        <f>J240+J242</f>
        <v>429.24868478985309</v>
      </c>
      <c r="K250" s="231"/>
      <c r="L250" s="231"/>
      <c r="M250" s="2" t="s">
        <v>335</v>
      </c>
      <c r="N250" s="2"/>
      <c r="O250" s="2"/>
      <c r="P250" s="2" t="s">
        <v>398</v>
      </c>
      <c r="R250" s="2"/>
      <c r="S250" s="2"/>
      <c r="T250" s="2"/>
      <c r="U250" s="2"/>
      <c r="V250" s="2"/>
      <c r="W250" s="2"/>
      <c r="X250" s="36"/>
      <c r="Y250" s="2"/>
      <c r="Z250" s="2"/>
      <c r="AA250" s="2"/>
      <c r="AB250" s="2"/>
      <c r="AC250" s="2"/>
      <c r="AD250" s="2"/>
      <c r="AE250" s="2"/>
      <c r="AF250" s="2"/>
      <c r="AG250" s="2"/>
    </row>
    <row r="251" spans="1:33" ht="15.75" x14ac:dyDescent="0.3">
      <c r="A251" s="2"/>
      <c r="B251" s="2"/>
      <c r="C251" s="2"/>
      <c r="D251" s="2"/>
      <c r="E251" s="2"/>
      <c r="H251" s="33" t="s">
        <v>380</v>
      </c>
      <c r="I251" s="12" t="s">
        <v>332</v>
      </c>
      <c r="J251" s="352">
        <v>0.5</v>
      </c>
      <c r="K251" s="352"/>
      <c r="L251" s="352"/>
      <c r="M251" s="34"/>
      <c r="N251" s="3"/>
      <c r="O251" s="2"/>
      <c r="P251" s="2" t="s">
        <v>399</v>
      </c>
      <c r="R251" s="2"/>
      <c r="AA251" s="2"/>
      <c r="AB251" s="2"/>
      <c r="AC251" s="2"/>
      <c r="AD251" s="2"/>
      <c r="AE251" s="2"/>
      <c r="AF251" s="2"/>
      <c r="AG251" s="2"/>
    </row>
    <row r="252" spans="1:33" ht="15.75" x14ac:dyDescent="0.3">
      <c r="A252" s="2"/>
      <c r="B252" s="2"/>
      <c r="C252" s="2"/>
      <c r="D252" s="2"/>
      <c r="E252" s="2"/>
      <c r="H252" s="21" t="s">
        <v>381</v>
      </c>
      <c r="I252" s="13" t="s">
        <v>332</v>
      </c>
      <c r="J252" s="231">
        <f>J251*(J240+J242)</f>
        <v>214.62434239492654</v>
      </c>
      <c r="K252" s="231"/>
      <c r="L252" s="231"/>
      <c r="M252" s="2" t="s">
        <v>335</v>
      </c>
      <c r="N252" s="2"/>
      <c r="O252" s="2"/>
      <c r="P252" s="2" t="s">
        <v>400</v>
      </c>
      <c r="R252" s="2"/>
      <c r="AA252" s="2"/>
      <c r="AB252" s="2"/>
      <c r="AC252" s="2"/>
      <c r="AD252" s="2"/>
      <c r="AE252" s="2"/>
      <c r="AF252" s="2"/>
      <c r="AG252" s="2"/>
    </row>
    <row r="253" spans="1:33" x14ac:dyDescent="0.2">
      <c r="A253" s="2"/>
      <c r="B253" s="2"/>
      <c r="C253" s="2"/>
      <c r="D253" s="2"/>
      <c r="E253" s="2"/>
      <c r="H253" s="21"/>
      <c r="I253" s="13"/>
      <c r="J253" s="28"/>
      <c r="K253" s="28"/>
      <c r="L253" s="28"/>
      <c r="M253" s="2"/>
      <c r="N253" s="2"/>
      <c r="O253" s="2"/>
      <c r="P253" s="2"/>
      <c r="Q253" s="2"/>
      <c r="R253" s="2"/>
      <c r="AA253" s="2"/>
      <c r="AB253" s="2"/>
      <c r="AC253" s="2"/>
      <c r="AD253" s="2"/>
      <c r="AE253" s="2"/>
      <c r="AF253" s="2"/>
      <c r="AG253" s="2"/>
    </row>
    <row r="254" spans="1:33" ht="15.75" x14ac:dyDescent="0.3">
      <c r="A254" s="2"/>
      <c r="B254" s="2"/>
      <c r="C254" s="2"/>
      <c r="D254" s="2"/>
      <c r="E254" s="2"/>
      <c r="H254" s="21" t="s">
        <v>382</v>
      </c>
      <c r="I254" s="13" t="s">
        <v>332</v>
      </c>
      <c r="J254" s="342">
        <f>H132</f>
        <v>94.563519749129981</v>
      </c>
      <c r="K254" s="284"/>
      <c r="L254" s="284"/>
      <c r="M254" s="2" t="s">
        <v>335</v>
      </c>
      <c r="N254" s="2"/>
      <c r="O254" s="2"/>
      <c r="P254" s="2"/>
      <c r="Q254" s="2" t="s">
        <v>383</v>
      </c>
      <c r="R254" s="2"/>
      <c r="AA254" s="2"/>
      <c r="AB254" s="2"/>
      <c r="AC254" s="2"/>
      <c r="AD254" s="2"/>
      <c r="AE254" s="2"/>
      <c r="AF254" s="2"/>
      <c r="AG254" s="2"/>
    </row>
    <row r="255" spans="1:33" ht="15.75" x14ac:dyDescent="0.3">
      <c r="A255" s="2"/>
      <c r="B255" s="2"/>
      <c r="C255" s="2"/>
      <c r="D255" s="2"/>
      <c r="E255" s="2"/>
      <c r="H255" s="21" t="s">
        <v>384</v>
      </c>
      <c r="I255" s="13" t="s">
        <v>332</v>
      </c>
      <c r="J255" s="343">
        <f>J254/J252</f>
        <v>0.44060016069903796</v>
      </c>
      <c r="K255" s="343"/>
      <c r="L255" s="343"/>
      <c r="M255" s="2" t="s">
        <v>385</v>
      </c>
      <c r="N255" s="2"/>
      <c r="O255" s="2"/>
      <c r="P255" s="2"/>
      <c r="Q255" s="2" t="s">
        <v>386</v>
      </c>
      <c r="R255" s="2"/>
      <c r="AA255" s="2"/>
      <c r="AB255" s="2"/>
      <c r="AC255" s="2"/>
      <c r="AD255" s="2"/>
      <c r="AE255" s="2"/>
      <c r="AF255" s="2"/>
      <c r="AG255" s="2"/>
    </row>
    <row r="256" spans="1:33" x14ac:dyDescent="0.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row>
    <row r="257" spans="1:33" ht="15" x14ac:dyDescent="0.25">
      <c r="A257" s="2"/>
      <c r="B257" s="2"/>
      <c r="C257" s="2"/>
      <c r="D257" s="2" t="s">
        <v>833</v>
      </c>
      <c r="E257" s="2"/>
      <c r="F257" s="2"/>
      <c r="G257" s="2"/>
      <c r="H257" s="2"/>
      <c r="I257" s="2"/>
      <c r="J257" s="2"/>
      <c r="K257" s="2"/>
      <c r="L257" s="2"/>
      <c r="M257" s="2"/>
      <c r="W257"/>
      <c r="X257"/>
      <c r="Y257"/>
      <c r="Z257"/>
      <c r="AA257"/>
      <c r="AB257"/>
      <c r="AC257"/>
      <c r="AD257" s="2"/>
      <c r="AE257" s="2"/>
      <c r="AF257" s="2"/>
      <c r="AG257" s="2"/>
    </row>
    <row r="258" spans="1:33" ht="15" x14ac:dyDescent="0.25">
      <c r="A258" s="2"/>
      <c r="B258" s="2"/>
      <c r="C258" s="2"/>
      <c r="E258" s="2"/>
      <c r="F258" s="2"/>
      <c r="G258" s="2"/>
      <c r="H258" s="2"/>
      <c r="I258" s="2"/>
      <c r="J258" s="2"/>
      <c r="K258" s="2"/>
      <c r="L258" s="2"/>
      <c r="V258"/>
      <c r="W258"/>
      <c r="X258"/>
      <c r="Y258"/>
      <c r="Z258"/>
      <c r="AA258"/>
      <c r="AB258"/>
      <c r="AC258"/>
      <c r="AD258" s="2"/>
      <c r="AE258" s="2"/>
      <c r="AF258" s="2"/>
      <c r="AG258" s="2"/>
    </row>
    <row r="259" spans="1:33" ht="15.75" x14ac:dyDescent="0.3">
      <c r="A259" s="2"/>
      <c r="B259" s="2"/>
      <c r="C259" s="2"/>
      <c r="E259" s="2"/>
      <c r="F259" s="2"/>
      <c r="G259" s="2"/>
      <c r="H259" s="2"/>
      <c r="I259" s="2"/>
      <c r="J259" s="2"/>
      <c r="K259" s="2"/>
      <c r="L259" s="2"/>
      <c r="M259" s="2"/>
      <c r="N259" s="2"/>
      <c r="Q259" s="21" t="s">
        <v>1007</v>
      </c>
      <c r="R259" s="351">
        <f>CEILING(2*J254+25,5)</f>
        <v>215</v>
      </c>
      <c r="S259" s="351"/>
      <c r="T259" s="351"/>
      <c r="U259" s="2" t="s">
        <v>335</v>
      </c>
      <c r="Y259" s="2"/>
      <c r="Z259" s="2"/>
      <c r="AA259" s="2"/>
      <c r="AB259" s="2"/>
      <c r="AC259" s="2"/>
      <c r="AD259" s="2"/>
      <c r="AE259" s="2"/>
      <c r="AF259" s="2"/>
      <c r="AG259" s="2"/>
    </row>
    <row r="260" spans="1:33" x14ac:dyDescent="0.2">
      <c r="A260" s="2"/>
      <c r="B260" s="2"/>
      <c r="C260" s="2"/>
      <c r="D260" s="2"/>
      <c r="E260" s="2"/>
      <c r="F260" s="2"/>
      <c r="G260" s="2"/>
      <c r="H260" s="2"/>
      <c r="I260" s="2"/>
      <c r="J260" s="2"/>
      <c r="K260" s="2"/>
      <c r="L260" s="2"/>
      <c r="M260" s="2"/>
      <c r="N260" s="2"/>
      <c r="O260" s="2"/>
      <c r="P260" s="2"/>
      <c r="Q260" s="2"/>
      <c r="V260" s="2"/>
      <c r="W260" s="2"/>
      <c r="X260" s="2"/>
      <c r="Y260" s="2"/>
      <c r="Z260" s="2"/>
      <c r="AA260" s="2"/>
      <c r="AB260" s="2"/>
      <c r="AC260" s="2"/>
      <c r="AD260" s="2"/>
      <c r="AE260" s="2"/>
      <c r="AF260" s="2"/>
      <c r="AG260" s="2"/>
    </row>
    <row r="261" spans="1:33" x14ac:dyDescent="0.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row>
    <row r="262" spans="1:33" x14ac:dyDescent="0.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row>
    <row r="263" spans="1:33" x14ac:dyDescent="0.2">
      <c r="A263" s="2"/>
      <c r="B263" s="2"/>
      <c r="C263" s="2"/>
      <c r="D263" s="20" t="s">
        <v>1263</v>
      </c>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row>
    <row r="264" spans="1:33" ht="14.25" customHeight="1" x14ac:dyDescent="0.2">
      <c r="A264" s="2"/>
      <c r="B264" s="2"/>
      <c r="C264" s="2"/>
      <c r="D264" s="232" t="s">
        <v>1337</v>
      </c>
      <c r="E264" s="232"/>
      <c r="F264" s="232"/>
      <c r="G264" s="232"/>
      <c r="H264" s="232"/>
      <c r="I264" s="232"/>
      <c r="J264" s="232"/>
      <c r="K264" s="232"/>
      <c r="L264" s="232"/>
      <c r="M264" s="232"/>
      <c r="N264" s="232"/>
      <c r="O264" s="232"/>
      <c r="P264" s="232"/>
      <c r="Q264" s="232"/>
      <c r="R264" s="232"/>
      <c r="S264" s="232"/>
      <c r="T264" s="232"/>
      <c r="U264" s="232"/>
      <c r="V264" s="232"/>
      <c r="W264" s="232"/>
      <c r="X264" s="232"/>
      <c r="Y264" s="232"/>
      <c r="Z264" s="232"/>
      <c r="AA264" s="232"/>
      <c r="AB264" s="232"/>
      <c r="AC264" s="232"/>
      <c r="AD264" s="232"/>
      <c r="AE264" s="232"/>
      <c r="AF264" s="232"/>
      <c r="AG264" s="232"/>
    </row>
    <row r="265" spans="1:33" ht="13.5" customHeight="1" x14ac:dyDescent="0.2">
      <c r="A265" s="2"/>
      <c r="B265" s="2"/>
      <c r="C265" s="2"/>
      <c r="D265" s="232"/>
      <c r="E265" s="232"/>
      <c r="F265" s="232"/>
      <c r="G265" s="232"/>
      <c r="H265" s="232"/>
      <c r="I265" s="232"/>
      <c r="J265" s="232"/>
      <c r="K265" s="232"/>
      <c r="L265" s="232"/>
      <c r="M265" s="232"/>
      <c r="N265" s="232"/>
      <c r="O265" s="232"/>
      <c r="P265" s="232"/>
      <c r="Q265" s="232"/>
      <c r="R265" s="232"/>
      <c r="S265" s="232"/>
      <c r="T265" s="232"/>
      <c r="U265" s="232"/>
      <c r="V265" s="232"/>
      <c r="W265" s="232"/>
      <c r="X265" s="232"/>
      <c r="Y265" s="232"/>
      <c r="Z265" s="232"/>
      <c r="AA265" s="232"/>
      <c r="AB265" s="232"/>
      <c r="AC265" s="232"/>
      <c r="AD265" s="232"/>
      <c r="AE265" s="232"/>
      <c r="AF265" s="232"/>
      <c r="AG265" s="232"/>
    </row>
    <row r="266" spans="1:33" ht="13.5" customHeight="1" x14ac:dyDescent="0.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row>
    <row r="267" spans="1:33" ht="15.75" x14ac:dyDescent="0.3">
      <c r="A267" s="2"/>
      <c r="B267" s="2"/>
      <c r="C267" s="2"/>
      <c r="D267" s="20"/>
      <c r="E267" s="2"/>
      <c r="F267" s="33"/>
      <c r="G267" s="12"/>
      <c r="H267" s="21" t="s">
        <v>1332</v>
      </c>
      <c r="I267" s="13" t="s">
        <v>332</v>
      </c>
      <c r="J267" s="231">
        <f>J240</f>
        <v>338.84432963456106</v>
      </c>
      <c r="K267" s="231"/>
      <c r="L267" s="231"/>
      <c r="M267" s="2" t="s">
        <v>335</v>
      </c>
      <c r="N267" s="2"/>
      <c r="O267" s="2"/>
      <c r="P267" s="2" t="s">
        <v>1333</v>
      </c>
      <c r="R267" s="2"/>
      <c r="S267" s="2"/>
      <c r="T267" s="2"/>
      <c r="U267" s="2"/>
      <c r="V267" s="2"/>
      <c r="W267" s="2"/>
      <c r="X267" s="36"/>
      <c r="Y267" s="2"/>
      <c r="Z267" s="2"/>
      <c r="AA267" s="2"/>
      <c r="AB267" s="2"/>
      <c r="AC267" s="2"/>
      <c r="AD267" s="2"/>
      <c r="AE267" s="2"/>
      <c r="AF267" s="2"/>
      <c r="AG267" s="2"/>
    </row>
    <row r="268" spans="1:33" ht="15.75" x14ac:dyDescent="0.3">
      <c r="A268" s="2"/>
      <c r="B268" s="2"/>
      <c r="C268" s="2"/>
      <c r="D268" s="2"/>
      <c r="E268" s="2"/>
      <c r="H268" s="33" t="s">
        <v>1334</v>
      </c>
      <c r="I268" s="12" t="s">
        <v>332</v>
      </c>
      <c r="J268" s="352">
        <v>0.3</v>
      </c>
      <c r="K268" s="352"/>
      <c r="L268" s="352"/>
      <c r="M268" s="34"/>
      <c r="N268" s="3"/>
      <c r="O268" s="2"/>
      <c r="P268" s="2" t="s">
        <v>1335</v>
      </c>
      <c r="R268" s="2"/>
      <c r="AA268" s="2"/>
      <c r="AB268" s="2"/>
      <c r="AC268" s="2"/>
      <c r="AD268" s="2"/>
      <c r="AE268" s="2"/>
      <c r="AF268" s="2"/>
      <c r="AG268" s="2"/>
    </row>
    <row r="269" spans="1:33" ht="15.75" x14ac:dyDescent="0.3">
      <c r="A269" s="2"/>
      <c r="B269" s="2"/>
      <c r="C269" s="2"/>
      <c r="D269" s="2"/>
      <c r="E269" s="2"/>
      <c r="H269" s="21" t="s">
        <v>914</v>
      </c>
      <c r="I269" s="13" t="s">
        <v>332</v>
      </c>
      <c r="J269" s="231">
        <f>J267*J268</f>
        <v>101.65329889036832</v>
      </c>
      <c r="K269" s="231"/>
      <c r="L269" s="231"/>
      <c r="M269" s="2" t="s">
        <v>335</v>
      </c>
      <c r="N269" s="2"/>
      <c r="O269" s="2"/>
      <c r="P269" s="2" t="s">
        <v>1336</v>
      </c>
      <c r="R269" s="2"/>
      <c r="AA269" s="2"/>
      <c r="AB269" s="2"/>
      <c r="AC269" s="2"/>
      <c r="AD269" s="2"/>
      <c r="AE269" s="2"/>
      <c r="AF269" s="2"/>
      <c r="AG269" s="2"/>
    </row>
    <row r="270" spans="1:33" ht="13.5" customHeight="1" x14ac:dyDescent="0.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row>
    <row r="271" spans="1:33" ht="13.5" customHeight="1" x14ac:dyDescent="0.3">
      <c r="A271" s="2"/>
      <c r="B271" s="2"/>
      <c r="C271" s="2"/>
      <c r="D271" s="2"/>
      <c r="E271" s="2"/>
      <c r="F271" s="2"/>
      <c r="G271" s="2"/>
      <c r="H271" s="21" t="s">
        <v>888</v>
      </c>
      <c r="I271" s="13" t="s">
        <v>332</v>
      </c>
      <c r="J271" s="342">
        <f>ABS(H133)</f>
        <v>3.9311234084899631</v>
      </c>
      <c r="K271" s="284"/>
      <c r="L271" s="284"/>
      <c r="M271" s="2" t="s">
        <v>335</v>
      </c>
      <c r="N271" s="2"/>
      <c r="O271" s="2"/>
      <c r="P271" s="2"/>
      <c r="Q271" s="2" t="s">
        <v>1339</v>
      </c>
      <c r="R271" s="2"/>
      <c r="S271" s="2"/>
      <c r="T271" s="2"/>
      <c r="U271" s="2"/>
      <c r="V271" s="2"/>
      <c r="W271" s="2"/>
      <c r="X271" s="2"/>
      <c r="Y271" s="2"/>
      <c r="Z271" s="2"/>
      <c r="AA271" s="2"/>
      <c r="AB271" s="2"/>
      <c r="AC271" s="2"/>
      <c r="AD271" s="2"/>
      <c r="AE271" s="2"/>
      <c r="AF271" s="2"/>
      <c r="AG271" s="2"/>
    </row>
    <row r="272" spans="1:33" ht="13.5" customHeight="1" x14ac:dyDescent="0.3">
      <c r="A272" s="2"/>
      <c r="B272" s="2"/>
      <c r="C272" s="2"/>
      <c r="D272" s="2"/>
      <c r="E272" s="2"/>
      <c r="F272" s="2"/>
      <c r="H272" s="21" t="s">
        <v>1338</v>
      </c>
      <c r="I272" s="13" t="s">
        <v>332</v>
      </c>
      <c r="J272" s="343">
        <f>J271/J269</f>
        <v>3.8671872446851191E-2</v>
      </c>
      <c r="K272" s="343"/>
      <c r="L272" s="343"/>
      <c r="M272" s="2" t="s">
        <v>573</v>
      </c>
      <c r="N272" s="2"/>
      <c r="O272" s="2"/>
      <c r="P272" s="2"/>
      <c r="Q272" s="2" t="s">
        <v>386</v>
      </c>
      <c r="R272" s="2"/>
      <c r="S272" s="2"/>
      <c r="T272" s="2"/>
      <c r="U272" s="2"/>
      <c r="V272" s="2"/>
      <c r="W272" s="2"/>
      <c r="X272" s="2"/>
      <c r="Y272" s="2"/>
      <c r="Z272" s="2"/>
      <c r="AA272" s="2"/>
      <c r="AB272" s="2"/>
      <c r="AC272" s="2"/>
      <c r="AD272" s="2"/>
      <c r="AE272" s="2"/>
      <c r="AF272" s="2"/>
      <c r="AG272" s="2"/>
    </row>
    <row r="273" spans="1:33" ht="13.5" customHeight="1" x14ac:dyDescent="0.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row>
    <row r="274" spans="1:33" ht="13.5" customHeight="1" x14ac:dyDescent="0.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row>
    <row r="275" spans="1:33" ht="15.75" x14ac:dyDescent="0.3">
      <c r="A275" s="2"/>
      <c r="B275" s="2"/>
      <c r="C275" s="2"/>
      <c r="E275" s="2"/>
      <c r="F275" s="2"/>
      <c r="G275" s="2"/>
      <c r="H275" s="2"/>
      <c r="I275" s="2"/>
      <c r="J275" s="2"/>
      <c r="K275" s="2"/>
      <c r="L275" s="2"/>
      <c r="M275" s="2"/>
      <c r="N275" s="2"/>
      <c r="Q275" s="21" t="s">
        <v>1264</v>
      </c>
      <c r="R275" s="351">
        <f>CEILING(ABS(J271),10)</f>
        <v>10</v>
      </c>
      <c r="S275" s="351"/>
      <c r="T275" s="351"/>
      <c r="U275" s="2" t="s">
        <v>335</v>
      </c>
      <c r="Y275" s="2"/>
      <c r="Z275" s="2"/>
      <c r="AA275" s="2"/>
      <c r="AB275" s="2"/>
      <c r="AC275" s="2"/>
      <c r="AD275" s="2"/>
      <c r="AE275" s="2"/>
      <c r="AF275" s="2"/>
      <c r="AG275" s="2"/>
    </row>
    <row r="276" spans="1:33" ht="13.5" customHeight="1" x14ac:dyDescent="0.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row>
    <row r="277" spans="1:33" ht="13.5" customHeight="1" x14ac:dyDescent="0.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row>
    <row r="278" spans="1:33" ht="13.5" customHeight="1" x14ac:dyDescent="0.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row>
    <row r="279" spans="1:33" ht="13.5" customHeight="1" x14ac:dyDescent="0.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row>
    <row r="280" spans="1:33" ht="13.5" customHeight="1" x14ac:dyDescent="0.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row>
    <row r="281" spans="1:33" ht="13.5" customHeight="1" x14ac:dyDescent="0.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row>
    <row r="282" spans="1:33" x14ac:dyDescent="0.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row>
    <row r="283" spans="1:33" x14ac:dyDescent="0.2">
      <c r="A283" s="2"/>
      <c r="B283" s="2"/>
      <c r="D283" s="20" t="s">
        <v>1265</v>
      </c>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row>
    <row r="284" spans="1:33" x14ac:dyDescent="0.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row>
    <row r="285" spans="1:33" ht="15.75" x14ac:dyDescent="0.2">
      <c r="D285" s="2"/>
      <c r="E285" s="2"/>
      <c r="F285" s="2"/>
      <c r="G285" s="2"/>
      <c r="H285" s="25" t="s">
        <v>401</v>
      </c>
      <c r="I285" s="12" t="s">
        <v>332</v>
      </c>
      <c r="J285" s="350">
        <v>2.2000000000000002</v>
      </c>
      <c r="K285" s="350"/>
      <c r="L285" s="350"/>
      <c r="M285" s="3" t="s">
        <v>340</v>
      </c>
      <c r="N285" s="2"/>
      <c r="O285" s="3" t="s">
        <v>402</v>
      </c>
      <c r="P285" s="2"/>
      <c r="Q285" s="2"/>
      <c r="R285" s="2"/>
      <c r="S285" s="2"/>
      <c r="T285" s="2"/>
      <c r="U285" s="2"/>
      <c r="V285" s="2"/>
      <c r="W285" s="2"/>
      <c r="X285" s="2"/>
      <c r="Y285" s="2"/>
      <c r="Z285" s="2"/>
    </row>
    <row r="286" spans="1:33" x14ac:dyDescent="0.2">
      <c r="D286" s="2"/>
      <c r="E286" s="2"/>
      <c r="F286" s="2"/>
      <c r="G286" s="2"/>
      <c r="H286" s="33" t="s">
        <v>403</v>
      </c>
      <c r="I286" s="12" t="s">
        <v>332</v>
      </c>
      <c r="J286" s="348">
        <v>100</v>
      </c>
      <c r="K286" s="348"/>
      <c r="L286" s="348"/>
      <c r="M286" s="34" t="s">
        <v>347</v>
      </c>
      <c r="N286" s="2"/>
      <c r="O286" s="3"/>
      <c r="P286" s="2"/>
      <c r="Q286" s="2"/>
      <c r="R286" s="2"/>
      <c r="S286" s="2"/>
      <c r="T286" s="2"/>
      <c r="U286" s="2"/>
      <c r="V286" s="2"/>
      <c r="W286" s="2"/>
      <c r="X286" s="2"/>
      <c r="Y286" s="2"/>
      <c r="Z286" s="2"/>
    </row>
    <row r="287" spans="1:33" x14ac:dyDescent="0.2">
      <c r="D287" s="2"/>
      <c r="E287" s="2"/>
      <c r="F287" s="2"/>
      <c r="G287" s="2"/>
      <c r="H287" s="33" t="s">
        <v>404</v>
      </c>
      <c r="I287" s="12" t="s">
        <v>332</v>
      </c>
      <c r="J287" s="348">
        <v>50</v>
      </c>
      <c r="K287" s="348"/>
      <c r="L287" s="348"/>
      <c r="M287" s="34" t="s">
        <v>337</v>
      </c>
      <c r="N287" s="2"/>
      <c r="O287" s="3"/>
      <c r="P287" s="2"/>
      <c r="Q287" s="2"/>
      <c r="R287" s="2"/>
      <c r="S287" s="2"/>
      <c r="T287" s="2"/>
      <c r="U287" s="2"/>
      <c r="V287" s="2"/>
      <c r="W287" s="2"/>
      <c r="X287" s="2"/>
      <c r="Y287" s="2"/>
      <c r="Z287" s="2"/>
    </row>
    <row r="288" spans="1:33" ht="15.75" x14ac:dyDescent="0.3">
      <c r="D288" s="2"/>
      <c r="E288" s="2"/>
      <c r="F288" s="2"/>
      <c r="G288" s="2"/>
      <c r="H288" s="33" t="s">
        <v>405</v>
      </c>
      <c r="I288" s="12" t="s">
        <v>332</v>
      </c>
      <c r="J288" s="348">
        <v>0.8</v>
      </c>
      <c r="K288" s="348"/>
      <c r="L288" s="348"/>
      <c r="M288" s="2"/>
      <c r="N288" s="2"/>
      <c r="O288" s="3" t="s">
        <v>406</v>
      </c>
      <c r="P288" s="2"/>
      <c r="Q288" s="2"/>
      <c r="R288" s="2"/>
      <c r="S288" s="2"/>
      <c r="T288" s="2"/>
      <c r="U288" s="2"/>
      <c r="V288" s="2"/>
      <c r="W288" s="2"/>
      <c r="X288" s="2"/>
      <c r="Y288" s="2"/>
      <c r="Z288" s="2"/>
    </row>
    <row r="289" spans="1:33" x14ac:dyDescent="0.2">
      <c r="A289" s="2"/>
      <c r="B289" s="2"/>
      <c r="C289" s="2"/>
      <c r="D289" s="2"/>
      <c r="E289" s="33"/>
      <c r="F289" s="12"/>
      <c r="G289" s="2"/>
      <c r="H289" s="2"/>
      <c r="I289" s="2"/>
      <c r="J289" s="2"/>
      <c r="K289" s="2"/>
      <c r="L289" s="3"/>
      <c r="M289" s="2"/>
      <c r="N289" s="2"/>
      <c r="O289" s="2"/>
      <c r="P289" s="2"/>
      <c r="Q289" s="2"/>
      <c r="R289" s="2"/>
      <c r="S289" s="2"/>
      <c r="T289" s="2"/>
      <c r="U289" s="2"/>
      <c r="V289" s="2"/>
      <c r="W289" s="2"/>
      <c r="X289" s="2"/>
      <c r="Y289" s="2"/>
      <c r="Z289" s="2"/>
      <c r="AA289" s="2"/>
      <c r="AB289" s="2"/>
      <c r="AC289" s="2"/>
      <c r="AD289" s="2"/>
      <c r="AE289" s="2"/>
      <c r="AF289" s="2"/>
      <c r="AG289" s="2"/>
    </row>
    <row r="290" spans="1:33" x14ac:dyDescent="0.2">
      <c r="A290" s="2"/>
      <c r="B290" s="2"/>
      <c r="D290" s="41" t="s">
        <v>407</v>
      </c>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row>
    <row r="291" spans="1:33" ht="14.25" customHeight="1" x14ac:dyDescent="0.2">
      <c r="A291" s="2"/>
      <c r="B291" s="2"/>
      <c r="C291" s="2"/>
      <c r="D291" s="232" t="s">
        <v>847</v>
      </c>
      <c r="E291" s="232"/>
      <c r="F291" s="232"/>
      <c r="G291" s="232"/>
      <c r="H291" s="232"/>
      <c r="I291" s="232"/>
      <c r="J291" s="232"/>
      <c r="K291" s="232"/>
      <c r="L291" s="232"/>
      <c r="M291" s="232"/>
      <c r="N291" s="232"/>
      <c r="O291" s="232"/>
      <c r="P291" s="232"/>
      <c r="Q291" s="232"/>
      <c r="R291" s="232"/>
      <c r="S291" s="232"/>
      <c r="T291" s="232"/>
      <c r="U291" s="232"/>
      <c r="V291" s="232"/>
      <c r="W291" s="232"/>
      <c r="X291" s="232"/>
      <c r="Y291" s="232"/>
      <c r="Z291" s="232"/>
      <c r="AA291" s="232"/>
      <c r="AB291" s="232"/>
      <c r="AC291" s="232"/>
      <c r="AD291" s="232"/>
      <c r="AE291" s="232"/>
      <c r="AF291" s="232"/>
      <c r="AG291" s="232"/>
    </row>
    <row r="292" spans="1:33" x14ac:dyDescent="0.2">
      <c r="A292" s="2"/>
      <c r="B292" s="2"/>
      <c r="C292" s="2"/>
      <c r="D292" s="232"/>
      <c r="E292" s="232"/>
      <c r="F292" s="232"/>
      <c r="G292" s="232"/>
      <c r="H292" s="232"/>
      <c r="I292" s="232"/>
      <c r="J292" s="232"/>
      <c r="K292" s="232"/>
      <c r="L292" s="232"/>
      <c r="M292" s="232"/>
      <c r="N292" s="232"/>
      <c r="O292" s="232"/>
      <c r="P292" s="232"/>
      <c r="Q292" s="232"/>
      <c r="R292" s="232"/>
      <c r="S292" s="232"/>
      <c r="T292" s="232"/>
      <c r="U292" s="232"/>
      <c r="V292" s="232"/>
      <c r="W292" s="232"/>
      <c r="X292" s="232"/>
      <c r="Y292" s="232"/>
      <c r="Z292" s="232"/>
      <c r="AA292" s="232"/>
      <c r="AB292" s="232"/>
      <c r="AC292" s="232"/>
      <c r="AD292" s="232"/>
      <c r="AE292" s="232"/>
      <c r="AF292" s="232"/>
      <c r="AG292" s="232"/>
    </row>
    <row r="293" spans="1:33" x14ac:dyDescent="0.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row>
    <row r="294" spans="1:33" ht="15.75" x14ac:dyDescent="0.3">
      <c r="A294" s="2"/>
      <c r="B294" s="2"/>
      <c r="C294" s="2"/>
      <c r="G294" s="2"/>
      <c r="H294" s="33" t="s">
        <v>408</v>
      </c>
      <c r="I294" s="12" t="s">
        <v>332</v>
      </c>
      <c r="J294" s="349">
        <f>J240-(2.2-1.5)*J231*PI()*H187</f>
        <v>321.98811425172505</v>
      </c>
      <c r="K294" s="349"/>
      <c r="L294" s="349"/>
      <c r="M294" s="34" t="s">
        <v>335</v>
      </c>
      <c r="O294" s="3" t="s">
        <v>829</v>
      </c>
      <c r="P294" s="2"/>
      <c r="Q294" s="2"/>
      <c r="R294" s="2"/>
      <c r="S294" s="2"/>
      <c r="T294" s="2"/>
      <c r="U294" s="2"/>
      <c r="V294" s="2"/>
      <c r="W294" s="2"/>
      <c r="X294" s="2"/>
      <c r="Y294" s="2"/>
      <c r="Z294" s="2"/>
      <c r="AA294" s="2"/>
    </row>
    <row r="295" spans="1:33" ht="15.75" x14ac:dyDescent="0.3">
      <c r="A295" s="2"/>
      <c r="B295" s="2"/>
      <c r="C295" s="2"/>
      <c r="G295" s="2"/>
      <c r="H295" s="33" t="s">
        <v>409</v>
      </c>
      <c r="I295" s="12" t="s">
        <v>332</v>
      </c>
      <c r="J295" s="336">
        <f>J294*J288</f>
        <v>257.59049140138006</v>
      </c>
      <c r="K295" s="336"/>
      <c r="L295" s="336"/>
      <c r="M295" s="34" t="s">
        <v>335</v>
      </c>
      <c r="O295" s="3" t="s">
        <v>410</v>
      </c>
      <c r="P295" s="2"/>
      <c r="Q295" s="2"/>
      <c r="R295" s="2"/>
      <c r="S295" s="2"/>
      <c r="T295" s="2"/>
      <c r="U295" s="2"/>
      <c r="V295" s="2"/>
      <c r="W295" s="2"/>
      <c r="X295" s="2"/>
      <c r="Y295" s="2"/>
      <c r="Z295" s="2"/>
      <c r="AA295" s="2"/>
    </row>
    <row r="296" spans="1:33" x14ac:dyDescent="0.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row>
    <row r="297" spans="1:33" x14ac:dyDescent="0.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row>
    <row r="298" spans="1:33" x14ac:dyDescent="0.2">
      <c r="A298" s="2"/>
      <c r="B298" s="2"/>
      <c r="D298" s="41" t="s">
        <v>411</v>
      </c>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row>
    <row r="299" spans="1:33" ht="15.75" x14ac:dyDescent="0.2">
      <c r="A299" s="2"/>
      <c r="B299" s="2"/>
      <c r="C299" s="2"/>
      <c r="D299" s="2"/>
      <c r="H299" s="25" t="s">
        <v>412</v>
      </c>
      <c r="I299" s="12" t="s">
        <v>332</v>
      </c>
      <c r="J299" s="350">
        <f>J285</f>
        <v>2.2000000000000002</v>
      </c>
      <c r="K299" s="350"/>
      <c r="L299" s="350"/>
      <c r="M299" s="3" t="s">
        <v>340</v>
      </c>
      <c r="O299" s="3" t="s">
        <v>413</v>
      </c>
      <c r="P299" s="2"/>
      <c r="Q299" s="2"/>
      <c r="R299" s="2"/>
      <c r="S299" s="2"/>
      <c r="T299" s="2"/>
      <c r="U299" s="2"/>
      <c r="V299" s="2"/>
      <c r="W299" s="2"/>
      <c r="X299" s="2"/>
      <c r="Y299" s="2"/>
      <c r="Z299" s="2"/>
      <c r="AA299" s="2"/>
      <c r="AB299" s="2"/>
    </row>
    <row r="300" spans="1:33" ht="15.75" x14ac:dyDescent="0.2">
      <c r="A300" s="2"/>
      <c r="B300" s="2"/>
      <c r="C300" s="2"/>
      <c r="D300" s="2"/>
      <c r="H300" s="25" t="s">
        <v>414</v>
      </c>
      <c r="I300" s="12" t="s">
        <v>332</v>
      </c>
      <c r="J300" s="336">
        <f>J286*PI()*H187*J299</f>
        <v>151.36193404995626</v>
      </c>
      <c r="K300" s="336"/>
      <c r="L300" s="336"/>
      <c r="M300" s="3" t="s">
        <v>335</v>
      </c>
      <c r="O300" s="3" t="s">
        <v>415</v>
      </c>
      <c r="P300" s="2"/>
      <c r="Q300" s="2"/>
      <c r="R300" s="2"/>
      <c r="S300" s="2"/>
      <c r="T300" s="2"/>
      <c r="U300" s="2"/>
      <c r="V300" s="2"/>
      <c r="W300" s="2"/>
      <c r="X300" s="2"/>
      <c r="Y300" s="2"/>
      <c r="Z300" s="2"/>
      <c r="AA300" s="2"/>
      <c r="AB300" s="2"/>
    </row>
    <row r="301" spans="1:33" x14ac:dyDescent="0.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row>
    <row r="302" spans="1:33" x14ac:dyDescent="0.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row>
    <row r="303" spans="1:33" x14ac:dyDescent="0.2">
      <c r="A303" s="2"/>
      <c r="B303" s="2"/>
      <c r="D303" s="41" t="s">
        <v>416</v>
      </c>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row>
    <row r="304" spans="1:33" x14ac:dyDescent="0.2">
      <c r="A304" s="2"/>
      <c r="B304" s="2"/>
      <c r="D304" s="232" t="s">
        <v>872</v>
      </c>
      <c r="E304" s="232"/>
      <c r="F304" s="232"/>
      <c r="G304" s="232"/>
      <c r="H304" s="232"/>
      <c r="I304" s="232"/>
      <c r="J304" s="232"/>
      <c r="K304" s="232"/>
      <c r="L304" s="232"/>
      <c r="M304" s="232"/>
      <c r="N304" s="232"/>
      <c r="O304" s="232"/>
      <c r="P304" s="232"/>
      <c r="Q304" s="232"/>
      <c r="R304" s="232"/>
      <c r="S304" s="232"/>
      <c r="T304" s="232"/>
      <c r="U304" s="232"/>
      <c r="V304" s="232"/>
      <c r="W304" s="232"/>
      <c r="X304" s="232"/>
      <c r="Y304" s="232"/>
      <c r="Z304" s="232"/>
      <c r="AA304" s="232"/>
      <c r="AB304" s="232"/>
      <c r="AC304" s="232"/>
      <c r="AD304" s="232"/>
      <c r="AE304" s="232"/>
      <c r="AF304" s="232"/>
      <c r="AG304" s="232"/>
    </row>
    <row r="305" spans="1:33" x14ac:dyDescent="0.2">
      <c r="A305" s="2"/>
      <c r="B305" s="2"/>
      <c r="D305" s="232"/>
      <c r="E305" s="232"/>
      <c r="F305" s="232"/>
      <c r="G305" s="232"/>
      <c r="H305" s="232"/>
      <c r="I305" s="232"/>
      <c r="J305" s="232"/>
      <c r="K305" s="232"/>
      <c r="L305" s="232"/>
      <c r="M305" s="232"/>
      <c r="N305" s="232"/>
      <c r="O305" s="232"/>
      <c r="P305" s="232"/>
      <c r="Q305" s="232"/>
      <c r="R305" s="232"/>
      <c r="S305" s="232"/>
      <c r="T305" s="232"/>
      <c r="U305" s="232"/>
      <c r="V305" s="232"/>
      <c r="W305" s="232"/>
      <c r="X305" s="232"/>
      <c r="Y305" s="232"/>
      <c r="Z305" s="232"/>
      <c r="AA305" s="232"/>
      <c r="AB305" s="232"/>
      <c r="AC305" s="232"/>
      <c r="AD305" s="232"/>
      <c r="AE305" s="232"/>
      <c r="AF305" s="232"/>
      <c r="AG305" s="232"/>
    </row>
    <row r="306" spans="1:33" x14ac:dyDescent="0.2">
      <c r="A306" s="2"/>
      <c r="B306" s="2"/>
      <c r="C306" s="23"/>
      <c r="D306" s="232"/>
      <c r="E306" s="232"/>
      <c r="F306" s="232"/>
      <c r="G306" s="232"/>
      <c r="H306" s="232"/>
      <c r="I306" s="232"/>
      <c r="J306" s="232"/>
      <c r="K306" s="232"/>
      <c r="L306" s="232"/>
      <c r="M306" s="232"/>
      <c r="N306" s="232"/>
      <c r="O306" s="232"/>
      <c r="P306" s="232"/>
      <c r="Q306" s="232"/>
      <c r="R306" s="232"/>
      <c r="S306" s="232"/>
      <c r="T306" s="232"/>
      <c r="U306" s="232"/>
      <c r="V306" s="232"/>
      <c r="W306" s="232"/>
      <c r="X306" s="232"/>
      <c r="Y306" s="232"/>
      <c r="Z306" s="232"/>
      <c r="AA306" s="232"/>
      <c r="AB306" s="232"/>
      <c r="AC306" s="232"/>
      <c r="AD306" s="232"/>
      <c r="AE306" s="232"/>
      <c r="AF306" s="232"/>
      <c r="AG306" s="232"/>
    </row>
    <row r="307" spans="1:33" x14ac:dyDescent="0.2">
      <c r="A307" s="2"/>
      <c r="B307" s="2"/>
      <c r="C307" s="23"/>
      <c r="D307" s="14"/>
      <c r="E307" s="14"/>
      <c r="F307" s="14"/>
      <c r="G307" s="14"/>
      <c r="H307" s="14"/>
      <c r="I307" s="14"/>
      <c r="J307" s="14"/>
      <c r="K307" s="14"/>
      <c r="L307" s="14"/>
      <c r="M307" s="14"/>
      <c r="N307" s="14"/>
      <c r="O307" s="14"/>
      <c r="P307" s="14"/>
      <c r="Q307" s="14"/>
      <c r="R307" s="14"/>
      <c r="S307" s="14"/>
      <c r="T307" s="14"/>
      <c r="U307" s="14"/>
      <c r="V307" s="14"/>
      <c r="W307" s="14"/>
      <c r="X307" s="14"/>
      <c r="Y307" s="14"/>
      <c r="Z307" s="14"/>
      <c r="AA307" s="14"/>
      <c r="AB307" s="14"/>
      <c r="AC307" s="14"/>
      <c r="AD307" s="14"/>
      <c r="AE307" s="14"/>
      <c r="AF307" s="14"/>
      <c r="AG307" s="14"/>
    </row>
    <row r="308" spans="1:33" x14ac:dyDescent="0.2">
      <c r="D308" s="2"/>
      <c r="E308" s="2"/>
      <c r="F308" s="2"/>
      <c r="G308" s="2"/>
      <c r="H308" s="21" t="s">
        <v>417</v>
      </c>
      <c r="I308" s="13" t="s">
        <v>332</v>
      </c>
      <c r="J308" s="347">
        <v>0</v>
      </c>
      <c r="K308" s="347"/>
      <c r="L308" s="347"/>
      <c r="M308" s="29" t="s">
        <v>335</v>
      </c>
      <c r="N308" s="2"/>
      <c r="O308" s="2"/>
      <c r="P308" s="2"/>
      <c r="Q308" s="2"/>
      <c r="AC308" s="2"/>
      <c r="AD308" s="2"/>
      <c r="AE308" s="2"/>
      <c r="AF308" s="2"/>
      <c r="AG308" s="2"/>
    </row>
    <row r="309" spans="1:33"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row>
    <row r="310" spans="1:33"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row>
    <row r="311" spans="1:33"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row>
    <row r="312" spans="1:33" x14ac:dyDescent="0.2">
      <c r="A312" s="2"/>
      <c r="B312" s="2"/>
      <c r="D312" s="42" t="s">
        <v>418</v>
      </c>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row>
    <row r="313" spans="1:33" ht="15.75" x14ac:dyDescent="0.2">
      <c r="D313" s="2"/>
      <c r="E313" s="2"/>
      <c r="F313" s="2"/>
      <c r="G313" s="2"/>
      <c r="H313" s="25" t="s">
        <v>419</v>
      </c>
      <c r="I313" s="12" t="s">
        <v>332</v>
      </c>
      <c r="J313" s="336">
        <f>J295</f>
        <v>257.59049140138006</v>
      </c>
      <c r="K313" s="336"/>
      <c r="L313" s="336"/>
      <c r="M313" s="2" t="s">
        <v>335</v>
      </c>
      <c r="N313" s="2"/>
      <c r="O313" s="2"/>
      <c r="P313" s="2"/>
      <c r="Q313" s="2"/>
      <c r="R313" s="2"/>
      <c r="S313" s="2"/>
      <c r="T313" s="2"/>
      <c r="U313" s="2"/>
      <c r="V313" s="2"/>
      <c r="W313" s="2"/>
      <c r="X313" s="2"/>
      <c r="Y313" s="2"/>
      <c r="Z313" s="2"/>
      <c r="AA313" s="2"/>
      <c r="AB313" s="2"/>
      <c r="AC313" s="2"/>
      <c r="AD313" s="2"/>
      <c r="AE313" s="2"/>
      <c r="AF313" s="2"/>
      <c r="AG313" s="2"/>
    </row>
    <row r="314" spans="1:33" ht="15.75" x14ac:dyDescent="0.2">
      <c r="D314" s="2"/>
      <c r="E314" s="2"/>
      <c r="F314" s="2"/>
      <c r="G314" s="2"/>
      <c r="H314" s="25" t="s">
        <v>414</v>
      </c>
      <c r="I314" s="12" t="s">
        <v>332</v>
      </c>
      <c r="J314" s="336">
        <f>J300</f>
        <v>151.36193404995626</v>
      </c>
      <c r="K314" s="336"/>
      <c r="L314" s="336"/>
      <c r="M314" s="2" t="s">
        <v>335</v>
      </c>
      <c r="N314" s="2"/>
      <c r="O314" s="13" t="s">
        <v>332</v>
      </c>
      <c r="P314" s="290">
        <f>CEILING(J314,5)</f>
        <v>155</v>
      </c>
      <c r="Q314" s="290"/>
      <c r="R314" s="290"/>
      <c r="S314" s="12" t="s">
        <v>335</v>
      </c>
      <c r="T314" s="232" t="s">
        <v>420</v>
      </c>
      <c r="U314" s="232"/>
      <c r="V314" s="232"/>
      <c r="W314" s="232"/>
      <c r="X314" s="232"/>
      <c r="Y314" s="232"/>
      <c r="Z314" s="232"/>
    </row>
    <row r="315" spans="1:33" x14ac:dyDescent="0.2">
      <c r="D315" s="2"/>
      <c r="E315" s="2"/>
      <c r="F315" s="2"/>
      <c r="G315" s="2"/>
      <c r="H315" s="25" t="s">
        <v>421</v>
      </c>
      <c r="I315" s="12" t="s">
        <v>332</v>
      </c>
      <c r="J315" s="345">
        <f>J314/J313</f>
        <v>0.58760683760683774</v>
      </c>
      <c r="K315" s="345"/>
      <c r="L315" s="345"/>
      <c r="M315" s="3" t="str">
        <f>IF(L315&lt;1,"&lt;1.0 OK","FAIL")</f>
        <v>&lt;1.0 OK</v>
      </c>
      <c r="N315" s="2"/>
      <c r="O315" s="2"/>
      <c r="P315" s="2"/>
      <c r="Q315" s="2"/>
      <c r="R315" s="2"/>
      <c r="S315" s="2"/>
      <c r="T315" s="232"/>
      <c r="U315" s="232"/>
      <c r="V315" s="232"/>
      <c r="W315" s="232"/>
      <c r="X315" s="232"/>
      <c r="Y315" s="232"/>
      <c r="Z315" s="232"/>
    </row>
    <row r="316" spans="1:33" x14ac:dyDescent="0.2">
      <c r="A316" s="2"/>
      <c r="B316" s="2"/>
      <c r="C316" s="2"/>
      <c r="D316" s="2"/>
      <c r="E316" s="2"/>
      <c r="F316" s="2"/>
      <c r="G316" s="2"/>
      <c r="H316" s="2"/>
      <c r="I316" s="2"/>
      <c r="J316" s="2"/>
      <c r="K316" s="2"/>
      <c r="L316" s="2"/>
      <c r="M316" s="2"/>
      <c r="N316" s="2"/>
      <c r="O316" s="2"/>
      <c r="P316" s="2"/>
      <c r="Q316" s="2"/>
      <c r="R316" s="2"/>
      <c r="S316" s="2"/>
      <c r="AE316" s="2"/>
      <c r="AF316" s="2"/>
      <c r="AG316" s="2"/>
    </row>
    <row r="317" spans="1:33"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row>
    <row r="318" spans="1:33" x14ac:dyDescent="0.2">
      <c r="A318" s="2"/>
      <c r="B318" s="2"/>
      <c r="D318" s="42" t="s">
        <v>422</v>
      </c>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row>
    <row r="319" spans="1:33" ht="15.75" x14ac:dyDescent="0.2">
      <c r="A319" s="2"/>
      <c r="B319" s="2"/>
      <c r="C319" s="2"/>
      <c r="D319" s="2"/>
      <c r="E319" s="2"/>
      <c r="F319" s="2"/>
      <c r="G319" s="2"/>
      <c r="H319" s="25" t="s">
        <v>419</v>
      </c>
      <c r="I319" s="12" t="s">
        <v>332</v>
      </c>
      <c r="J319" s="336">
        <f>J295</f>
        <v>257.59049140138006</v>
      </c>
      <c r="K319" s="336"/>
      <c r="L319" s="336"/>
      <c r="M319" s="3" t="s">
        <v>335</v>
      </c>
      <c r="N319" s="2"/>
      <c r="O319" s="3" t="s">
        <v>423</v>
      </c>
      <c r="P319" s="2"/>
      <c r="Q319" s="2"/>
      <c r="R319" s="2"/>
      <c r="S319" s="2"/>
      <c r="T319" s="2"/>
      <c r="U319" s="2"/>
      <c r="V319" s="2"/>
      <c r="W319" s="2"/>
      <c r="X319" s="2"/>
      <c r="Y319" s="2"/>
      <c r="Z319" s="2"/>
      <c r="AA319" s="2"/>
      <c r="AB319" s="2"/>
      <c r="AC319" s="2"/>
      <c r="AD319" s="2"/>
      <c r="AE319" s="2"/>
      <c r="AF319" s="2"/>
      <c r="AG319" s="2"/>
    </row>
    <row r="320" spans="1:33" x14ac:dyDescent="0.2">
      <c r="A320" s="2"/>
      <c r="B320" s="2"/>
      <c r="C320" s="2"/>
      <c r="D320" s="2"/>
      <c r="E320" s="2"/>
      <c r="F320" s="2"/>
      <c r="G320" s="2"/>
      <c r="H320" s="25" t="s">
        <v>148</v>
      </c>
      <c r="I320" s="12" t="s">
        <v>332</v>
      </c>
      <c r="J320" s="346">
        <f>G70</f>
        <v>4</v>
      </c>
      <c r="K320" s="346"/>
      <c r="L320" s="346"/>
      <c r="M320" s="3"/>
      <c r="N320" s="2"/>
      <c r="O320" s="3" t="s">
        <v>424</v>
      </c>
      <c r="P320" s="2"/>
      <c r="Q320" s="2"/>
      <c r="R320" s="2"/>
      <c r="S320" s="2"/>
      <c r="T320" s="2"/>
      <c r="U320" s="2"/>
      <c r="V320" s="2"/>
      <c r="W320" s="2"/>
      <c r="X320" s="2"/>
      <c r="Y320" s="2"/>
      <c r="Z320" s="2"/>
      <c r="AA320" s="2"/>
      <c r="AB320" s="2"/>
      <c r="AC320" s="2"/>
      <c r="AD320" s="2"/>
      <c r="AE320" s="2"/>
      <c r="AF320" s="2"/>
      <c r="AG320" s="2"/>
    </row>
    <row r="321" spans="1:34" ht="15.75" x14ac:dyDescent="0.2">
      <c r="A321" s="2"/>
      <c r="B321" s="2"/>
      <c r="C321" s="2"/>
      <c r="D321" s="2"/>
      <c r="E321" s="2"/>
      <c r="F321" s="2"/>
      <c r="G321" s="2"/>
      <c r="H321" s="25" t="s">
        <v>425</v>
      </c>
      <c r="I321" s="12" t="s">
        <v>332</v>
      </c>
      <c r="J321" s="336">
        <f>'7. Load Development'!T65*'7. Load Development'!N70</f>
        <v>114.42384000000001</v>
      </c>
      <c r="K321" s="336"/>
      <c r="L321" s="336"/>
      <c r="M321" s="3" t="s">
        <v>335</v>
      </c>
      <c r="N321" s="2"/>
      <c r="O321" s="3" t="s">
        <v>436</v>
      </c>
      <c r="P321" s="2"/>
      <c r="Q321" s="2"/>
      <c r="R321" s="2"/>
      <c r="S321" s="2"/>
      <c r="T321" s="2"/>
      <c r="U321" s="2"/>
      <c r="V321" s="2"/>
      <c r="W321" s="2"/>
      <c r="X321" s="2"/>
      <c r="Y321" s="2"/>
      <c r="Z321" s="2"/>
      <c r="AA321" s="2"/>
      <c r="AB321" s="2"/>
      <c r="AC321" s="2"/>
      <c r="AD321" s="2"/>
      <c r="AE321" s="2"/>
      <c r="AF321" s="2"/>
      <c r="AG321" s="2"/>
    </row>
    <row r="322" spans="1:34" ht="15.75" x14ac:dyDescent="0.2">
      <c r="A322" s="2"/>
      <c r="B322" s="2"/>
      <c r="C322" s="2"/>
      <c r="D322" s="2"/>
      <c r="E322" s="2"/>
      <c r="F322" s="2"/>
      <c r="G322" s="2"/>
      <c r="H322" s="25" t="s">
        <v>414</v>
      </c>
      <c r="I322" s="12" t="s">
        <v>332</v>
      </c>
      <c r="J322" s="336">
        <f>J300</f>
        <v>151.36193404995626</v>
      </c>
      <c r="K322" s="336"/>
      <c r="L322" s="336"/>
      <c r="M322" s="3" t="s">
        <v>335</v>
      </c>
      <c r="N322" s="2"/>
      <c r="O322" s="232" t="s">
        <v>830</v>
      </c>
      <c r="P322" s="232"/>
      <c r="Q322" s="232"/>
      <c r="R322" s="232"/>
      <c r="S322" s="232"/>
      <c r="T322" s="232"/>
      <c r="U322" s="232"/>
      <c r="V322" s="232"/>
      <c r="W322" s="232"/>
      <c r="X322" s="232"/>
      <c r="Y322" s="232"/>
      <c r="Z322" s="232"/>
      <c r="AA322" s="232"/>
      <c r="AB322" s="232"/>
      <c r="AC322" s="232"/>
      <c r="AD322" s="232"/>
      <c r="AE322" s="232"/>
      <c r="AF322" s="232"/>
      <c r="AG322" s="232"/>
    </row>
    <row r="323" spans="1:34" x14ac:dyDescent="0.2">
      <c r="A323" s="2"/>
      <c r="B323" s="2"/>
      <c r="C323" s="2"/>
      <c r="D323" s="2"/>
      <c r="E323" s="2"/>
      <c r="F323" s="2"/>
      <c r="G323" s="2"/>
      <c r="H323" s="25"/>
      <c r="I323" s="12"/>
      <c r="J323" s="30"/>
      <c r="K323" s="30"/>
      <c r="L323" s="30"/>
      <c r="M323" s="3"/>
      <c r="N323" s="2"/>
      <c r="O323" s="232"/>
      <c r="P323" s="232"/>
      <c r="Q323" s="232"/>
      <c r="R323" s="232"/>
      <c r="S323" s="232"/>
      <c r="T323" s="232"/>
      <c r="U323" s="232"/>
      <c r="V323" s="232"/>
      <c r="W323" s="232"/>
      <c r="X323" s="232"/>
      <c r="Y323" s="232"/>
      <c r="Z323" s="232"/>
      <c r="AA323" s="232"/>
      <c r="AB323" s="232"/>
      <c r="AC323" s="232"/>
      <c r="AD323" s="232"/>
      <c r="AE323" s="232"/>
      <c r="AF323" s="232"/>
      <c r="AG323" s="232"/>
    </row>
    <row r="324" spans="1:34" ht="15.75" x14ac:dyDescent="0.2">
      <c r="A324" s="2"/>
      <c r="B324" s="2"/>
      <c r="C324" s="2"/>
      <c r="D324" s="2"/>
      <c r="E324" s="2"/>
      <c r="F324" s="2"/>
      <c r="G324" s="2"/>
      <c r="H324" s="25" t="s">
        <v>426</v>
      </c>
      <c r="I324" s="12" t="s">
        <v>332</v>
      </c>
      <c r="J324" s="336">
        <f>J308</f>
        <v>0</v>
      </c>
      <c r="K324" s="336"/>
      <c r="L324" s="336"/>
      <c r="M324" s="3" t="s">
        <v>335</v>
      </c>
      <c r="N324" s="2"/>
      <c r="O324" s="3" t="s">
        <v>427</v>
      </c>
      <c r="P324" s="2"/>
      <c r="Q324" s="2"/>
      <c r="R324" s="2"/>
      <c r="S324" s="2"/>
      <c r="T324" s="2"/>
      <c r="U324" s="2"/>
      <c r="V324" s="2"/>
      <c r="W324" s="2"/>
      <c r="X324" s="2"/>
      <c r="Y324" s="2"/>
      <c r="Z324" s="2"/>
      <c r="AA324" s="2"/>
      <c r="AB324" s="2"/>
      <c r="AC324" s="2"/>
      <c r="AD324" s="2"/>
      <c r="AE324" s="2"/>
      <c r="AF324" s="2"/>
      <c r="AG324" s="2"/>
    </row>
    <row r="325" spans="1:34" ht="15.75" x14ac:dyDescent="0.2">
      <c r="A325" s="2"/>
      <c r="B325" s="2"/>
      <c r="C325" s="2"/>
      <c r="D325" s="2"/>
      <c r="E325" s="2"/>
      <c r="F325" s="2"/>
      <c r="G325" s="2"/>
      <c r="H325" s="25" t="s">
        <v>428</v>
      </c>
      <c r="I325" s="12" t="s">
        <v>332</v>
      </c>
      <c r="J325" s="336">
        <f>G675</f>
        <v>218.33148558107294</v>
      </c>
      <c r="K325" s="336"/>
      <c r="L325" s="336"/>
      <c r="M325" s="3" t="s">
        <v>335</v>
      </c>
      <c r="N325" s="2"/>
      <c r="O325" s="3" t="s">
        <v>1302</v>
      </c>
      <c r="P325" s="2"/>
      <c r="Q325" s="2"/>
      <c r="R325" s="2"/>
      <c r="S325" s="2"/>
      <c r="T325" s="2"/>
      <c r="U325" s="2"/>
      <c r="V325" s="2"/>
      <c r="W325" s="2"/>
      <c r="X325" s="2"/>
      <c r="Y325" s="2"/>
      <c r="Z325" s="2"/>
      <c r="AA325" s="2"/>
      <c r="AB325" s="2"/>
      <c r="AC325" s="2"/>
      <c r="AD325" s="2"/>
      <c r="AE325" s="2"/>
      <c r="AF325" s="2"/>
      <c r="AG325" s="2"/>
      <c r="AH325" s="1">
        <f>J325-0.9*J321</f>
        <v>115.35002958107293</v>
      </c>
    </row>
    <row r="326" spans="1:34"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1">
        <f>AH325/8</f>
        <v>14.418753697634116</v>
      </c>
    </row>
    <row r="327" spans="1:34" ht="15.75" x14ac:dyDescent="0.2">
      <c r="A327" s="2"/>
      <c r="B327" s="2"/>
      <c r="C327" s="2"/>
      <c r="D327" s="2"/>
      <c r="E327" s="2"/>
      <c r="F327" s="2"/>
      <c r="G327" s="2"/>
      <c r="H327" s="25" t="s">
        <v>429</v>
      </c>
      <c r="I327" s="12" t="s">
        <v>332</v>
      </c>
      <c r="J327" s="336">
        <f>J319*J320</f>
        <v>1030.3619656055203</v>
      </c>
      <c r="K327" s="336"/>
      <c r="L327" s="336"/>
      <c r="M327" s="2" t="s">
        <v>335</v>
      </c>
      <c r="N327" s="2"/>
      <c r="O327" s="3" t="s">
        <v>430</v>
      </c>
      <c r="P327" s="2"/>
      <c r="Q327" s="2"/>
      <c r="R327" s="2"/>
      <c r="S327" s="2"/>
      <c r="T327" s="2"/>
      <c r="U327" s="2"/>
      <c r="V327" s="2"/>
      <c r="W327" s="2"/>
      <c r="X327" s="2"/>
      <c r="Y327" s="2"/>
      <c r="Z327" s="2"/>
      <c r="AA327" s="2"/>
      <c r="AB327" s="2"/>
      <c r="AC327" s="2"/>
      <c r="AD327" s="2"/>
      <c r="AE327" s="2"/>
      <c r="AF327" s="2"/>
      <c r="AG327" s="2"/>
    </row>
    <row r="328" spans="1:34" ht="15.75" x14ac:dyDescent="0.2">
      <c r="A328" s="2"/>
      <c r="B328" s="2"/>
      <c r="C328" s="2"/>
      <c r="D328" s="2"/>
      <c r="E328" s="2"/>
      <c r="F328" s="2"/>
      <c r="G328" s="2"/>
      <c r="H328" s="25" t="s">
        <v>431</v>
      </c>
      <c r="I328" s="12" t="s">
        <v>332</v>
      </c>
      <c r="J328" s="336">
        <f>J322*J320+J324+J325-0.9*J321</f>
        <v>720.79776578089798</v>
      </c>
      <c r="K328" s="336"/>
      <c r="L328" s="336"/>
      <c r="M328" s="2" t="s">
        <v>335</v>
      </c>
      <c r="N328" s="2"/>
      <c r="O328" s="3" t="s">
        <v>432</v>
      </c>
      <c r="P328" s="2"/>
      <c r="Q328" s="2"/>
      <c r="R328" s="2"/>
      <c r="S328" s="2"/>
      <c r="T328" s="2"/>
      <c r="U328" s="2"/>
      <c r="V328" s="2"/>
      <c r="W328" s="2"/>
      <c r="X328" s="2"/>
      <c r="Y328" s="2"/>
      <c r="Z328" s="2"/>
      <c r="AA328" s="2"/>
      <c r="AB328" s="2"/>
      <c r="AC328" s="2"/>
      <c r="AD328" s="2"/>
      <c r="AE328" s="2"/>
      <c r="AF328" s="2"/>
      <c r="AG328" s="2"/>
    </row>
    <row r="329" spans="1:34" x14ac:dyDescent="0.2">
      <c r="A329" s="2"/>
      <c r="B329" s="2"/>
      <c r="C329" s="2"/>
      <c r="D329" s="2"/>
      <c r="E329" s="2"/>
      <c r="F329" s="2"/>
      <c r="G329" s="2"/>
      <c r="H329" s="25" t="s">
        <v>421</v>
      </c>
      <c r="I329" s="12" t="s">
        <v>332</v>
      </c>
      <c r="J329" s="345">
        <f>J328/J327</f>
        <v>0.69955781544915774</v>
      </c>
      <c r="K329" s="345"/>
      <c r="L329" s="345"/>
      <c r="M329" s="3" t="str">
        <f>IF(L329&lt;1,"&lt;1 OK","FAIL")</f>
        <v>&lt;1 OK</v>
      </c>
      <c r="N329" s="2"/>
      <c r="O329" s="2"/>
      <c r="P329" s="2"/>
      <c r="Q329" s="2"/>
      <c r="R329" s="2"/>
      <c r="S329" s="2"/>
      <c r="T329" s="2"/>
      <c r="U329" s="2"/>
      <c r="V329" s="2"/>
      <c r="W329" s="2"/>
      <c r="X329" s="2"/>
      <c r="Y329" s="2"/>
      <c r="Z329" s="2"/>
      <c r="AA329" s="2"/>
      <c r="AB329" s="2"/>
      <c r="AC329" s="2"/>
      <c r="AD329" s="2"/>
      <c r="AE329" s="2"/>
      <c r="AF329" s="2"/>
      <c r="AG329" s="2"/>
    </row>
    <row r="330" spans="1:34"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row>
    <row r="331" spans="1:34" ht="15.75" x14ac:dyDescent="0.2">
      <c r="A331" s="2"/>
      <c r="B331" s="2"/>
      <c r="C331" s="2"/>
      <c r="D331" s="2"/>
      <c r="E331" s="2"/>
      <c r="F331" s="2"/>
      <c r="G331" s="2"/>
      <c r="H331" s="25" t="s">
        <v>358</v>
      </c>
      <c r="I331" s="12" t="s">
        <v>332</v>
      </c>
      <c r="J331" s="339" t="s">
        <v>434</v>
      </c>
      <c r="K331" s="339"/>
      <c r="L331" s="339"/>
      <c r="M331" s="2"/>
      <c r="N331" s="2"/>
      <c r="O331" s="2" t="s">
        <v>832</v>
      </c>
      <c r="P331" s="2"/>
      <c r="Q331" s="2"/>
      <c r="R331" s="2"/>
      <c r="S331" s="2"/>
      <c r="T331" s="2"/>
      <c r="U331" s="2"/>
      <c r="V331" s="2"/>
      <c r="W331" s="2"/>
      <c r="X331" s="2"/>
      <c r="Y331" s="2"/>
      <c r="Z331" s="2"/>
      <c r="AA331" s="2"/>
      <c r="AB331" s="2"/>
      <c r="AC331" s="2"/>
      <c r="AD331" s="2"/>
      <c r="AE331" s="2"/>
      <c r="AF331" s="2"/>
      <c r="AG331" s="2"/>
    </row>
    <row r="332" spans="1:34" x14ac:dyDescent="0.2">
      <c r="A332" s="2"/>
      <c r="B332" s="2"/>
      <c r="C332" s="2"/>
      <c r="D332" s="2"/>
      <c r="E332" s="2"/>
      <c r="F332" s="2"/>
      <c r="G332" s="2"/>
      <c r="H332" s="2"/>
      <c r="I332" s="12" t="s">
        <v>332</v>
      </c>
      <c r="J332" s="336">
        <f>J328/J320</f>
        <v>180.19944144522449</v>
      </c>
      <c r="K332" s="336"/>
      <c r="L332" s="336"/>
      <c r="M332" s="3" t="s">
        <v>335</v>
      </c>
      <c r="N332" s="2"/>
      <c r="O332" s="2"/>
      <c r="P332" s="2"/>
      <c r="Q332" s="2"/>
      <c r="R332" s="2"/>
      <c r="S332" s="2"/>
      <c r="T332" s="2"/>
      <c r="U332" s="2"/>
      <c r="V332" s="2"/>
      <c r="W332" s="2"/>
      <c r="X332" s="2"/>
      <c r="Y332" s="2"/>
      <c r="Z332" s="2"/>
      <c r="AA332" s="2"/>
      <c r="AB332" s="2"/>
      <c r="AC332" s="2"/>
      <c r="AD332" s="2"/>
      <c r="AE332" s="2"/>
      <c r="AF332" s="2"/>
      <c r="AG332" s="2"/>
    </row>
    <row r="333" spans="1:34"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row>
    <row r="334" spans="1:34" x14ac:dyDescent="0.2">
      <c r="A334" s="2"/>
      <c r="B334" s="2"/>
      <c r="C334" s="2"/>
      <c r="D334" s="2"/>
      <c r="E334" s="2"/>
      <c r="F334" s="2"/>
      <c r="G334" s="2"/>
      <c r="H334" s="2"/>
      <c r="I334" s="2"/>
      <c r="J334" s="2"/>
      <c r="K334" s="2"/>
      <c r="L334" s="2"/>
      <c r="M334" s="2"/>
      <c r="N334" s="2"/>
      <c r="O334" s="25"/>
      <c r="P334" s="2"/>
      <c r="Q334" s="2"/>
      <c r="R334" s="2"/>
      <c r="S334" s="2"/>
      <c r="T334" s="2"/>
      <c r="U334" s="2"/>
    </row>
    <row r="335" spans="1:34" ht="15" x14ac:dyDescent="0.25">
      <c r="B335" s="2"/>
      <c r="D335" s="42" t="s">
        <v>435</v>
      </c>
      <c r="E335" s="2"/>
      <c r="F335" s="2"/>
      <c r="G335" s="2"/>
      <c r="H335" s="2"/>
      <c r="I335" s="2"/>
      <c r="J335" s="2"/>
      <c r="K335" s="2"/>
      <c r="L335" s="2"/>
      <c r="M335" s="2"/>
      <c r="N335" s="2"/>
      <c r="O335" s="2"/>
      <c r="P335" s="2"/>
      <c r="Q335" s="2"/>
      <c r="R335" s="2"/>
      <c r="S335" s="2"/>
      <c r="T335" s="2"/>
      <c r="U335" s="2"/>
      <c r="V335" s="2"/>
      <c r="W335" s="2"/>
      <c r="X335"/>
      <c r="Y335"/>
      <c r="Z335"/>
      <c r="AA335"/>
      <c r="AB335"/>
      <c r="AC335"/>
      <c r="AD335"/>
      <c r="AE335"/>
      <c r="AF335"/>
    </row>
    <row r="336" spans="1:34" x14ac:dyDescent="0.2">
      <c r="B336" s="2"/>
      <c r="D336" s="232" t="s">
        <v>1013</v>
      </c>
      <c r="E336" s="232"/>
      <c r="F336" s="232"/>
      <c r="G336" s="232"/>
      <c r="H336" s="232"/>
      <c r="I336" s="232"/>
      <c r="J336" s="232"/>
      <c r="K336" s="232"/>
      <c r="L336" s="232"/>
      <c r="M336" s="232"/>
      <c r="N336" s="232"/>
      <c r="O336" s="232"/>
      <c r="P336" s="232"/>
      <c r="Q336" s="232"/>
      <c r="R336" s="232"/>
      <c r="S336" s="232"/>
      <c r="T336" s="232"/>
      <c r="U336" s="232"/>
      <c r="V336" s="232"/>
      <c r="W336" s="232"/>
      <c r="X336" s="232"/>
      <c r="Y336" s="232"/>
      <c r="Z336" s="232"/>
      <c r="AA336" s="232"/>
      <c r="AB336" s="232"/>
      <c r="AC336" s="232"/>
      <c r="AD336" s="232"/>
      <c r="AE336" s="232"/>
      <c r="AF336" s="232"/>
      <c r="AG336" s="232"/>
    </row>
    <row r="337" spans="1:33" x14ac:dyDescent="0.2">
      <c r="B337" s="2"/>
      <c r="C337" s="2"/>
      <c r="D337" s="232"/>
      <c r="E337" s="232"/>
      <c r="F337" s="232"/>
      <c r="G337" s="232"/>
      <c r="H337" s="232"/>
      <c r="I337" s="232"/>
      <c r="J337" s="232"/>
      <c r="K337" s="232"/>
      <c r="L337" s="232"/>
      <c r="M337" s="232"/>
      <c r="N337" s="232"/>
      <c r="O337" s="232"/>
      <c r="P337" s="232"/>
      <c r="Q337" s="232"/>
      <c r="R337" s="232"/>
      <c r="S337" s="232"/>
      <c r="T337" s="232"/>
      <c r="U337" s="232"/>
      <c r="V337" s="232"/>
      <c r="W337" s="232"/>
      <c r="X337" s="232"/>
      <c r="Y337" s="232"/>
      <c r="Z337" s="232"/>
      <c r="AA337" s="232"/>
      <c r="AB337" s="232"/>
      <c r="AC337" s="232"/>
      <c r="AD337" s="232"/>
      <c r="AE337" s="232"/>
      <c r="AF337" s="232"/>
      <c r="AG337" s="232"/>
    </row>
    <row r="338" spans="1:33"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row>
    <row r="339" spans="1:33"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row>
    <row r="340" spans="1:33" ht="15.75" x14ac:dyDescent="0.2">
      <c r="A340" s="2"/>
      <c r="B340" s="2"/>
      <c r="C340" s="2"/>
      <c r="D340" s="3" t="s">
        <v>433</v>
      </c>
      <c r="E340" s="2"/>
      <c r="F340" s="2"/>
      <c r="G340" s="2"/>
      <c r="H340" s="2"/>
      <c r="I340" s="2"/>
      <c r="J340" s="2"/>
      <c r="K340" s="2"/>
      <c r="L340" s="25" t="s">
        <v>358</v>
      </c>
      <c r="M340" s="12" t="s">
        <v>332</v>
      </c>
      <c r="N340" s="344">
        <f>CEILING(MAX(P314,J332),5)</f>
        <v>185</v>
      </c>
      <c r="O340" s="344"/>
      <c r="P340" s="344"/>
      <c r="Q340" s="3" t="s">
        <v>335</v>
      </c>
      <c r="S340" s="232" t="s">
        <v>831</v>
      </c>
      <c r="T340" s="232"/>
      <c r="U340" s="232"/>
      <c r="V340" s="232"/>
      <c r="W340" s="232"/>
      <c r="X340" s="232"/>
      <c r="Y340" s="232"/>
      <c r="Z340" s="232"/>
      <c r="AA340" s="232"/>
      <c r="AB340" s="232"/>
      <c r="AC340" s="232"/>
      <c r="AD340" s="232"/>
      <c r="AE340" s="232"/>
      <c r="AF340" s="232"/>
      <c r="AG340" s="2"/>
    </row>
    <row r="341" spans="1:33" x14ac:dyDescent="0.2">
      <c r="A341" s="2"/>
      <c r="B341" s="2"/>
      <c r="C341" s="2"/>
      <c r="D341" s="2"/>
      <c r="E341" s="2"/>
      <c r="F341" s="2"/>
      <c r="G341" s="2"/>
      <c r="H341" s="2"/>
      <c r="I341" s="2"/>
      <c r="J341" s="2"/>
      <c r="K341" s="2"/>
      <c r="L341" s="2"/>
      <c r="M341" s="2"/>
      <c r="N341" s="2"/>
      <c r="O341" s="2"/>
      <c r="P341" s="2"/>
      <c r="AG341" s="2"/>
    </row>
    <row r="342" spans="1:33"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row>
    <row r="343" spans="1:33"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row>
    <row r="344" spans="1:33"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row>
    <row r="345" spans="1:33" ht="15" x14ac:dyDescent="0.25">
      <c r="A345" s="2"/>
      <c r="B345" s="2"/>
      <c r="C345" s="2"/>
      <c r="D345" s="20" t="s">
        <v>1285</v>
      </c>
      <c r="E345" s="2"/>
      <c r="F345" s="2"/>
      <c r="G345" s="2"/>
      <c r="H345" s="2"/>
      <c r="I345" s="2"/>
      <c r="J345" s="2"/>
      <c r="K345" s="2"/>
      <c r="L345" s="2"/>
      <c r="M345" s="2"/>
      <c r="N345" s="2"/>
      <c r="O345" s="2"/>
      <c r="P345" s="2"/>
      <c r="Q345" s="2"/>
      <c r="R345" s="2"/>
      <c r="S345" s="2"/>
      <c r="T345" s="2"/>
      <c r="U345" s="2"/>
      <c r="V345" s="2"/>
      <c r="W345" s="2"/>
      <c r="X345"/>
      <c r="Y345"/>
      <c r="Z345"/>
      <c r="AA345"/>
      <c r="AB345"/>
      <c r="AC345"/>
      <c r="AD345"/>
      <c r="AE345"/>
      <c r="AF345"/>
    </row>
    <row r="346" spans="1:33" x14ac:dyDescent="0.2">
      <c r="A346" s="2"/>
      <c r="B346" s="2"/>
      <c r="C346" s="2"/>
      <c r="D346" s="232" t="s">
        <v>1284</v>
      </c>
      <c r="E346" s="232"/>
      <c r="F346" s="232"/>
      <c r="G346" s="232"/>
      <c r="H346" s="232"/>
      <c r="I346" s="232"/>
      <c r="J346" s="232"/>
      <c r="K346" s="232"/>
      <c r="L346" s="232"/>
      <c r="M346" s="232"/>
      <c r="N346" s="232"/>
      <c r="O346" s="232"/>
      <c r="P346" s="232"/>
      <c r="Q346" s="232"/>
      <c r="R346" s="232"/>
      <c r="S346" s="232"/>
      <c r="T346" s="232"/>
      <c r="U346" s="232"/>
      <c r="V346" s="232"/>
      <c r="W346" s="232"/>
      <c r="X346" s="232"/>
      <c r="Y346" s="232"/>
      <c r="Z346" s="232"/>
      <c r="AA346" s="232"/>
      <c r="AB346" s="232"/>
      <c r="AC346" s="232"/>
      <c r="AD346" s="232"/>
      <c r="AE346" s="232"/>
      <c r="AF346" s="232"/>
      <c r="AG346" s="232"/>
    </row>
    <row r="347" spans="1:33" ht="15"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c r="Y347"/>
      <c r="Z347"/>
      <c r="AA347"/>
      <c r="AB347"/>
      <c r="AC347"/>
      <c r="AD347"/>
      <c r="AE347"/>
      <c r="AF347"/>
    </row>
    <row r="348" spans="1:33" ht="15" x14ac:dyDescent="0.25">
      <c r="A348" s="2"/>
      <c r="B348" s="2"/>
      <c r="C348" s="2"/>
      <c r="D348" s="2" t="s">
        <v>1269</v>
      </c>
      <c r="E348" s="2"/>
      <c r="F348" s="2"/>
      <c r="G348" s="2"/>
      <c r="H348" s="2"/>
      <c r="I348" s="2"/>
      <c r="J348" s="2"/>
      <c r="K348" s="2"/>
      <c r="L348" s="2"/>
      <c r="M348" s="2"/>
      <c r="N348" s="2"/>
      <c r="O348" s="2"/>
      <c r="P348" s="2"/>
      <c r="Q348" s="2"/>
      <c r="R348" s="2"/>
      <c r="S348" s="2"/>
      <c r="T348" s="2"/>
      <c r="U348" s="2"/>
      <c r="V348" s="2"/>
      <c r="W348" s="2"/>
      <c r="X348"/>
      <c r="Y348"/>
      <c r="Z348"/>
      <c r="AA348"/>
      <c r="AB348"/>
      <c r="AC348"/>
      <c r="AD348"/>
      <c r="AE348"/>
      <c r="AF348"/>
    </row>
    <row r="349" spans="1:33" ht="15" x14ac:dyDescent="0.25">
      <c r="A349" s="2"/>
      <c r="B349" s="2"/>
      <c r="C349" s="2"/>
      <c r="D349" s="2" t="s">
        <v>1286</v>
      </c>
      <c r="E349" s="2"/>
      <c r="F349" s="2"/>
      <c r="G349" s="2"/>
      <c r="H349" s="2"/>
      <c r="I349" s="2"/>
      <c r="J349" s="2"/>
      <c r="K349" s="2"/>
      <c r="L349" s="2"/>
      <c r="M349" s="2"/>
      <c r="N349" s="2"/>
      <c r="O349" s="2"/>
      <c r="P349" s="2"/>
      <c r="Q349" s="2"/>
      <c r="R349" s="2"/>
      <c r="S349" s="2"/>
      <c r="T349" s="2"/>
      <c r="U349" s="2"/>
      <c r="V349" s="2"/>
      <c r="W349" s="2"/>
      <c r="X349"/>
      <c r="Y349"/>
      <c r="Z349"/>
      <c r="AA349"/>
      <c r="AB349"/>
      <c r="AC349"/>
      <c r="AD349"/>
      <c r="AE349"/>
      <c r="AF349"/>
    </row>
    <row r="350" spans="1:33" ht="15" x14ac:dyDescent="0.25">
      <c r="A350" s="2"/>
      <c r="B350" s="2"/>
      <c r="C350" s="2"/>
      <c r="D350" s="2" t="s">
        <v>1283</v>
      </c>
      <c r="E350" s="2"/>
      <c r="F350" s="2"/>
      <c r="G350" s="2"/>
      <c r="H350" s="2"/>
      <c r="I350" s="2"/>
      <c r="J350" s="2"/>
      <c r="K350" s="2"/>
      <c r="L350" s="2"/>
      <c r="M350" s="2"/>
      <c r="N350" s="2"/>
      <c r="O350" s="2"/>
      <c r="P350" s="2"/>
      <c r="Q350" s="2"/>
      <c r="R350" s="2"/>
      <c r="S350" s="2"/>
      <c r="T350" s="2"/>
      <c r="U350" s="2"/>
      <c r="V350" s="2"/>
      <c r="W350" s="2"/>
      <c r="X350"/>
      <c r="Y350"/>
      <c r="Z350"/>
      <c r="AA350"/>
      <c r="AB350"/>
      <c r="AC350"/>
      <c r="AD350"/>
      <c r="AE350"/>
      <c r="AF350"/>
    </row>
    <row r="351" spans="1:33" ht="15"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c r="Y351"/>
      <c r="Z351"/>
      <c r="AA351"/>
      <c r="AB351"/>
      <c r="AC351"/>
      <c r="AD351"/>
      <c r="AE351"/>
      <c r="AF351"/>
    </row>
    <row r="352" spans="1:33" ht="15" x14ac:dyDescent="0.25">
      <c r="A352" s="2"/>
      <c r="B352" s="2"/>
      <c r="C352" s="2"/>
      <c r="D352" s="2" t="s">
        <v>1287</v>
      </c>
      <c r="E352" s="2"/>
      <c r="F352" s="2"/>
      <c r="G352" s="2"/>
      <c r="H352" s="2"/>
      <c r="I352" s="2"/>
      <c r="J352" s="2"/>
      <c r="K352" s="2"/>
      <c r="L352" s="2"/>
      <c r="M352" s="2"/>
      <c r="N352" s="2"/>
      <c r="O352" s="2"/>
      <c r="P352" s="2"/>
      <c r="Q352" s="2"/>
      <c r="R352" s="2"/>
      <c r="S352" s="2"/>
      <c r="T352" s="2"/>
      <c r="U352" s="2"/>
      <c r="V352" s="2"/>
      <c r="W352" s="2"/>
      <c r="X352"/>
      <c r="Y352"/>
      <c r="Z352"/>
      <c r="AA352"/>
      <c r="AB352"/>
      <c r="AC352"/>
      <c r="AD352"/>
      <c r="AE352"/>
      <c r="AF352"/>
    </row>
    <row r="353" spans="1:33" ht="15"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c r="Y353"/>
      <c r="Z353"/>
      <c r="AA353"/>
      <c r="AB353"/>
      <c r="AC353"/>
      <c r="AD353"/>
      <c r="AE353"/>
      <c r="AF353"/>
    </row>
    <row r="354" spans="1:33" ht="15.75" x14ac:dyDescent="0.3">
      <c r="A354" s="2"/>
      <c r="B354" s="2"/>
      <c r="C354" s="2"/>
      <c r="D354" s="2"/>
      <c r="E354" s="2"/>
      <c r="F354" s="21" t="s">
        <v>437</v>
      </c>
      <c r="G354" s="13" t="s">
        <v>332</v>
      </c>
      <c r="H354" s="342">
        <f>H146</f>
        <v>70.446376817957798</v>
      </c>
      <c r="I354" s="342"/>
      <c r="J354" s="342"/>
      <c r="K354" s="2" t="s">
        <v>335</v>
      </c>
      <c r="L354" s="2"/>
      <c r="M354" s="2"/>
      <c r="N354" s="2" t="s">
        <v>1270</v>
      </c>
      <c r="O354" s="2"/>
      <c r="P354" s="2"/>
      <c r="Q354" s="2"/>
      <c r="R354" s="2"/>
      <c r="S354" s="2"/>
      <c r="T354" s="2"/>
      <c r="U354" s="2"/>
      <c r="V354" s="2"/>
      <c r="W354" s="2"/>
      <c r="X354"/>
      <c r="Y354"/>
      <c r="Z354"/>
      <c r="AA354"/>
      <c r="AB354"/>
      <c r="AC354"/>
      <c r="AD354"/>
      <c r="AE354"/>
      <c r="AF354"/>
    </row>
    <row r="355" spans="1:33" ht="15.75" x14ac:dyDescent="0.3">
      <c r="A355" s="2"/>
      <c r="B355" s="2"/>
      <c r="C355" s="2"/>
      <c r="D355" s="2"/>
      <c r="E355" s="2"/>
      <c r="F355" s="21" t="s">
        <v>1254</v>
      </c>
      <c r="G355" s="13" t="s">
        <v>332</v>
      </c>
      <c r="H355" s="342">
        <f>H148</f>
        <v>7.3198743438320211</v>
      </c>
      <c r="I355" s="342"/>
      <c r="J355" s="342"/>
      <c r="K355" s="2" t="s">
        <v>335</v>
      </c>
      <c r="L355" s="2"/>
      <c r="M355" s="2"/>
      <c r="N355" s="2" t="s">
        <v>1271</v>
      </c>
      <c r="O355" s="2"/>
      <c r="P355" s="2"/>
      <c r="Q355" s="2"/>
      <c r="R355" s="2"/>
      <c r="S355" s="2"/>
      <c r="T355" s="2"/>
      <c r="U355" s="2"/>
      <c r="V355" s="2"/>
      <c r="W355" s="2"/>
      <c r="X355"/>
      <c r="Y355"/>
      <c r="Z355"/>
      <c r="AA355"/>
      <c r="AB355"/>
      <c r="AC355"/>
      <c r="AD355"/>
      <c r="AE355"/>
      <c r="AF355"/>
    </row>
    <row r="356" spans="1:33" ht="15"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c r="Y356"/>
      <c r="Z356"/>
      <c r="AA356"/>
      <c r="AB356"/>
      <c r="AC356"/>
      <c r="AD356"/>
      <c r="AE356"/>
      <c r="AF356"/>
    </row>
    <row r="357" spans="1:33" ht="15.75" x14ac:dyDescent="0.2">
      <c r="A357" s="2"/>
      <c r="B357" s="2"/>
      <c r="C357" s="2"/>
      <c r="D357" s="2"/>
      <c r="E357" s="2"/>
      <c r="F357" s="2"/>
      <c r="G357" s="2"/>
      <c r="H357" s="25" t="s">
        <v>1272</v>
      </c>
      <c r="I357" s="13" t="s">
        <v>332</v>
      </c>
      <c r="J357" s="342">
        <v>1</v>
      </c>
      <c r="K357" s="284"/>
      <c r="L357" s="284"/>
      <c r="M357" s="2" t="s">
        <v>337</v>
      </c>
      <c r="N357" s="2"/>
      <c r="O357" s="2"/>
      <c r="P357" s="2" t="s">
        <v>1420</v>
      </c>
      <c r="Q357" s="2"/>
      <c r="R357" s="2"/>
      <c r="S357" s="2"/>
      <c r="T357" s="2"/>
      <c r="U357" s="2"/>
      <c r="V357" s="2"/>
      <c r="W357" s="2"/>
      <c r="X357" s="2"/>
      <c r="Y357" s="2"/>
      <c r="Z357" s="2"/>
      <c r="AA357" s="2"/>
      <c r="AB357" s="2"/>
      <c r="AC357" s="2"/>
      <c r="AD357" s="2"/>
      <c r="AE357" s="2"/>
      <c r="AF357" s="2"/>
      <c r="AG357" s="2"/>
    </row>
    <row r="358" spans="1:33" x14ac:dyDescent="0.2">
      <c r="A358" s="2"/>
      <c r="B358" s="2"/>
      <c r="C358" s="2"/>
      <c r="D358" s="2"/>
      <c r="E358" s="2"/>
      <c r="R358" s="2"/>
      <c r="S358" s="2"/>
      <c r="T358" s="2"/>
      <c r="U358" s="2"/>
      <c r="V358" s="2"/>
      <c r="W358" s="2"/>
      <c r="X358" s="2"/>
      <c r="Y358" s="2"/>
      <c r="Z358" s="2"/>
      <c r="AA358" s="2"/>
      <c r="AB358" s="2"/>
      <c r="AC358" s="2"/>
      <c r="AD358" s="2"/>
      <c r="AE358" s="2"/>
      <c r="AF358" s="2"/>
      <c r="AG358" s="2"/>
    </row>
    <row r="359" spans="1:33" x14ac:dyDescent="0.2">
      <c r="A359" s="2"/>
      <c r="B359" s="2"/>
      <c r="C359" s="2"/>
      <c r="D359" s="2"/>
      <c r="H359" s="21" t="s">
        <v>439</v>
      </c>
      <c r="I359" s="13" t="s">
        <v>332</v>
      </c>
      <c r="J359" s="231">
        <f>G72</f>
        <v>1</v>
      </c>
      <c r="K359" s="231"/>
      <c r="L359" s="231"/>
      <c r="M359" s="2" t="s">
        <v>340</v>
      </c>
      <c r="N359" s="2"/>
      <c r="O359" s="2" t="s">
        <v>849</v>
      </c>
      <c r="P359" s="2"/>
      <c r="T359" s="2"/>
      <c r="U359" s="2"/>
      <c r="V359" s="2"/>
      <c r="W359" s="2"/>
      <c r="X359" s="2"/>
      <c r="Y359" s="2"/>
      <c r="Z359" s="2"/>
      <c r="AA359" s="2"/>
      <c r="AB359" s="2"/>
      <c r="AC359" s="2"/>
      <c r="AD359" s="2"/>
      <c r="AE359" s="2"/>
      <c r="AF359" s="2"/>
      <c r="AG359" s="2"/>
    </row>
    <row r="360" spans="1:33" x14ac:dyDescent="0.2">
      <c r="A360" s="2"/>
      <c r="B360" s="2"/>
      <c r="C360" s="2"/>
      <c r="D360" s="2"/>
      <c r="H360" s="21"/>
      <c r="I360" s="13" t="s">
        <v>332</v>
      </c>
      <c r="J360" s="231">
        <f>J359/H187</f>
        <v>4.5662100456621006</v>
      </c>
      <c r="K360" s="231"/>
      <c r="L360" s="231"/>
      <c r="M360" s="2" t="s">
        <v>440</v>
      </c>
      <c r="N360" s="2"/>
      <c r="O360" s="2"/>
      <c r="P360" s="2"/>
      <c r="T360" s="2"/>
      <c r="U360" s="2"/>
      <c r="V360" s="2"/>
      <c r="W360" s="2"/>
      <c r="X360" s="2"/>
      <c r="Y360" s="2"/>
      <c r="Z360" s="2"/>
      <c r="AA360" s="2"/>
      <c r="AB360" s="2"/>
      <c r="AC360" s="2"/>
      <c r="AD360" s="2"/>
      <c r="AE360" s="2"/>
      <c r="AF360" s="2"/>
      <c r="AG360" s="2"/>
    </row>
    <row r="361" spans="1:33" x14ac:dyDescent="0.2">
      <c r="A361" s="2"/>
      <c r="B361" s="2"/>
      <c r="C361" s="2"/>
      <c r="D361" s="2"/>
      <c r="H361" s="21"/>
      <c r="I361" s="13"/>
      <c r="J361" s="28"/>
      <c r="K361" s="28"/>
      <c r="L361" s="28"/>
      <c r="M361" s="2"/>
      <c r="N361" s="2"/>
      <c r="O361" s="2"/>
      <c r="P361" s="2"/>
      <c r="T361" s="2"/>
      <c r="U361" s="2"/>
      <c r="V361" s="2"/>
      <c r="W361" s="2"/>
      <c r="X361" s="2"/>
      <c r="Y361" s="2"/>
      <c r="Z361" s="2"/>
      <c r="AA361" s="2"/>
      <c r="AB361" s="2"/>
      <c r="AC361" s="2"/>
      <c r="AD361" s="2"/>
      <c r="AE361" s="2"/>
      <c r="AF361" s="2"/>
      <c r="AG361" s="2"/>
    </row>
    <row r="362" spans="1:33" x14ac:dyDescent="0.2">
      <c r="A362" s="2"/>
      <c r="B362" s="2"/>
      <c r="C362" s="2"/>
      <c r="G362" s="2"/>
      <c r="H362" s="21" t="s">
        <v>1273</v>
      </c>
      <c r="I362" s="13" t="s">
        <v>332</v>
      </c>
      <c r="J362" s="342">
        <v>1.4</v>
      </c>
      <c r="K362" s="342"/>
      <c r="L362" s="342"/>
      <c r="M362" s="2"/>
      <c r="N362" s="27"/>
      <c r="O362" s="27"/>
      <c r="P362" s="2" t="s">
        <v>1267</v>
      </c>
      <c r="Q362" s="27"/>
      <c r="R362" s="27"/>
      <c r="S362" s="27"/>
      <c r="T362" s="27"/>
      <c r="U362" s="27"/>
      <c r="V362" s="27"/>
      <c r="W362" s="27"/>
      <c r="X362" s="27"/>
      <c r="Y362" s="27"/>
      <c r="Z362" s="27"/>
      <c r="AA362" s="27"/>
      <c r="AB362" s="27"/>
      <c r="AC362" s="27"/>
      <c r="AD362" s="27"/>
      <c r="AE362" s="27"/>
      <c r="AF362" s="27"/>
      <c r="AG362" s="27"/>
    </row>
    <row r="363" spans="1:33" ht="15.75" x14ac:dyDescent="0.2">
      <c r="A363" s="2"/>
      <c r="B363" s="2"/>
      <c r="C363" s="2"/>
      <c r="G363" s="2"/>
      <c r="H363" s="25" t="s">
        <v>1274</v>
      </c>
      <c r="I363" s="13" t="s">
        <v>332</v>
      </c>
      <c r="J363" s="342">
        <f>J357*J362</f>
        <v>1.4</v>
      </c>
      <c r="K363" s="284"/>
      <c r="L363" s="284"/>
      <c r="M363" s="2" t="s">
        <v>337</v>
      </c>
      <c r="N363" s="27"/>
      <c r="O363" s="2" t="s">
        <v>1275</v>
      </c>
      <c r="P363" s="2"/>
      <c r="Q363" s="2"/>
      <c r="R363" s="2"/>
      <c r="S363" s="27"/>
      <c r="T363" s="27"/>
      <c r="U363" s="27"/>
      <c r="W363" s="27"/>
      <c r="X363" s="27"/>
      <c r="Y363" s="27"/>
      <c r="Z363" s="27"/>
      <c r="AA363" s="27"/>
      <c r="AB363" s="27"/>
      <c r="AC363" s="27"/>
      <c r="AD363" s="27"/>
      <c r="AE363" s="27"/>
      <c r="AF363" s="27"/>
      <c r="AG363" s="27"/>
    </row>
    <row r="364" spans="1:33" x14ac:dyDescent="0.2">
      <c r="A364" s="2"/>
      <c r="B364" s="2"/>
      <c r="C364" s="2"/>
      <c r="G364" s="2"/>
      <c r="H364" s="21" t="s">
        <v>1276</v>
      </c>
      <c r="I364" s="13" t="s">
        <v>332</v>
      </c>
      <c r="J364" s="285">
        <f>J363/12</f>
        <v>0.11666666666666665</v>
      </c>
      <c r="K364" s="285"/>
      <c r="L364" s="285"/>
      <c r="M364" s="2"/>
      <c r="N364" s="2"/>
      <c r="P364" s="2"/>
      <c r="Q364" s="2"/>
      <c r="R364" s="2"/>
      <c r="S364" s="2"/>
      <c r="T364" s="2"/>
      <c r="U364" s="2"/>
      <c r="Z364" s="2"/>
      <c r="AA364" s="2"/>
      <c r="AB364" s="2"/>
      <c r="AC364" s="2"/>
      <c r="AD364" s="2"/>
      <c r="AE364" s="2"/>
      <c r="AF364" s="2"/>
      <c r="AG364" s="2"/>
    </row>
    <row r="365" spans="1:33" ht="15"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c r="Y365"/>
      <c r="Z365"/>
      <c r="AA365"/>
      <c r="AB365"/>
      <c r="AC365"/>
      <c r="AD365"/>
      <c r="AE365"/>
      <c r="AF365"/>
    </row>
    <row r="366" spans="1:33" ht="15"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c r="Y366"/>
      <c r="Z366"/>
      <c r="AA366"/>
      <c r="AB366"/>
      <c r="AC366"/>
      <c r="AD366"/>
      <c r="AE366"/>
      <c r="AF366"/>
    </row>
    <row r="367" spans="1:33" ht="15"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c r="Y367"/>
      <c r="Z367"/>
      <c r="AA367"/>
      <c r="AB367"/>
      <c r="AC367"/>
      <c r="AD367"/>
      <c r="AE367"/>
      <c r="AF367"/>
    </row>
    <row r="368" spans="1:33" ht="15"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c r="Y368"/>
      <c r="Z368"/>
      <c r="AA368"/>
      <c r="AB368"/>
      <c r="AC368"/>
      <c r="AD368"/>
      <c r="AE368"/>
      <c r="AF368"/>
    </row>
    <row r="369" spans="1:32" ht="15"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c r="Y369"/>
      <c r="Z369"/>
      <c r="AA369"/>
      <c r="AB369"/>
      <c r="AC369"/>
      <c r="AD369"/>
      <c r="AE369"/>
      <c r="AF369"/>
    </row>
    <row r="370" spans="1:32" ht="15"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c r="Y370"/>
      <c r="Z370"/>
      <c r="AA370"/>
      <c r="AB370"/>
      <c r="AC370"/>
      <c r="AD370"/>
      <c r="AE370"/>
      <c r="AF370"/>
    </row>
    <row r="371" spans="1:32" ht="15"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c r="Y371"/>
      <c r="Z371"/>
      <c r="AA371"/>
      <c r="AB371"/>
      <c r="AC371"/>
      <c r="AD371"/>
      <c r="AE371"/>
      <c r="AF371"/>
    </row>
    <row r="372" spans="1:32" ht="15"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c r="Y372"/>
      <c r="Z372"/>
      <c r="AA372"/>
      <c r="AB372"/>
      <c r="AC372"/>
      <c r="AD372"/>
      <c r="AE372"/>
      <c r="AF372"/>
    </row>
    <row r="373" spans="1:32" ht="15"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c r="Y373"/>
      <c r="Z373"/>
      <c r="AA373"/>
      <c r="AB373"/>
      <c r="AC373"/>
      <c r="AD373"/>
      <c r="AE373"/>
      <c r="AF373"/>
    </row>
    <row r="374" spans="1:32" ht="15"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c r="Y374"/>
      <c r="Z374"/>
      <c r="AA374"/>
      <c r="AB374"/>
      <c r="AC374"/>
      <c r="AD374"/>
      <c r="AE374"/>
      <c r="AF374"/>
    </row>
    <row r="375" spans="1:32" ht="15"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c r="Y375"/>
      <c r="Z375"/>
      <c r="AA375"/>
      <c r="AB375"/>
      <c r="AC375"/>
      <c r="AD375"/>
      <c r="AE375"/>
      <c r="AF375"/>
    </row>
    <row r="376" spans="1:32" ht="15"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c r="Y376"/>
      <c r="Z376"/>
      <c r="AA376"/>
      <c r="AB376"/>
      <c r="AC376"/>
      <c r="AD376"/>
      <c r="AE376"/>
      <c r="AF376"/>
    </row>
    <row r="377" spans="1:32" ht="15"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c r="Y377"/>
      <c r="Z377"/>
      <c r="AA377"/>
      <c r="AB377"/>
      <c r="AC377"/>
      <c r="AD377"/>
      <c r="AE377"/>
      <c r="AF377"/>
    </row>
    <row r="378" spans="1:32" ht="15"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c r="Y378"/>
      <c r="Z378"/>
      <c r="AA378"/>
      <c r="AB378"/>
      <c r="AC378"/>
      <c r="AD378"/>
      <c r="AE378"/>
      <c r="AF378"/>
    </row>
    <row r="379" spans="1:32" ht="15"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c r="Y379"/>
      <c r="Z379"/>
      <c r="AA379"/>
      <c r="AB379"/>
      <c r="AC379"/>
      <c r="AD379"/>
      <c r="AE379"/>
      <c r="AF379"/>
    </row>
    <row r="380" spans="1:32" ht="15"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c r="Y380"/>
      <c r="Z380"/>
      <c r="AA380"/>
      <c r="AB380"/>
      <c r="AC380"/>
      <c r="AD380"/>
      <c r="AE380"/>
      <c r="AF380"/>
    </row>
    <row r="381" spans="1:32" ht="15"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c r="Y381"/>
      <c r="Z381"/>
      <c r="AA381"/>
      <c r="AB381"/>
      <c r="AC381"/>
      <c r="AD381"/>
      <c r="AE381"/>
      <c r="AF381"/>
    </row>
    <row r="382" spans="1:32" ht="15"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c r="Y382"/>
      <c r="Z382"/>
      <c r="AA382"/>
      <c r="AB382"/>
      <c r="AC382"/>
      <c r="AD382"/>
      <c r="AE382"/>
      <c r="AF382"/>
    </row>
    <row r="383" spans="1:32" ht="15"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c r="Y383"/>
      <c r="Z383"/>
      <c r="AA383"/>
      <c r="AB383"/>
      <c r="AC383"/>
      <c r="AD383"/>
      <c r="AE383"/>
      <c r="AF383"/>
    </row>
    <row r="384" spans="1:32" ht="15"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c r="Y384"/>
      <c r="Z384"/>
      <c r="AA384"/>
      <c r="AB384"/>
      <c r="AC384"/>
      <c r="AD384"/>
      <c r="AE384"/>
      <c r="AF384"/>
    </row>
    <row r="385" spans="1:32" ht="15"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c r="Y385"/>
      <c r="Z385"/>
      <c r="AA385"/>
      <c r="AB385"/>
      <c r="AC385"/>
      <c r="AD385"/>
      <c r="AE385"/>
      <c r="AF385"/>
    </row>
    <row r="386" spans="1:32" ht="15"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c r="Y386"/>
      <c r="Z386"/>
      <c r="AA386"/>
      <c r="AB386"/>
      <c r="AC386"/>
      <c r="AD386"/>
      <c r="AE386"/>
      <c r="AF386"/>
    </row>
    <row r="387" spans="1:32" ht="15"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c r="Y387"/>
      <c r="Z387"/>
      <c r="AA387"/>
      <c r="AB387"/>
      <c r="AC387"/>
      <c r="AD387"/>
      <c r="AE387"/>
      <c r="AF387"/>
    </row>
    <row r="388" spans="1:32" ht="15"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c r="Y388"/>
      <c r="Z388"/>
      <c r="AA388"/>
      <c r="AB388"/>
      <c r="AC388"/>
      <c r="AD388"/>
      <c r="AE388"/>
      <c r="AF388"/>
    </row>
    <row r="389" spans="1:32" ht="15"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c r="Y389"/>
      <c r="Z389"/>
      <c r="AA389"/>
      <c r="AB389"/>
      <c r="AC389"/>
      <c r="AD389"/>
      <c r="AE389"/>
      <c r="AF389"/>
    </row>
    <row r="390" spans="1:32" ht="15"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c r="Y390"/>
      <c r="Z390"/>
      <c r="AA390"/>
      <c r="AB390"/>
      <c r="AC390"/>
      <c r="AD390"/>
      <c r="AE390"/>
      <c r="AF390"/>
    </row>
    <row r="391" spans="1:32" ht="15"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c r="Y391"/>
      <c r="Z391"/>
      <c r="AA391"/>
      <c r="AB391"/>
      <c r="AC391"/>
      <c r="AD391"/>
      <c r="AE391"/>
      <c r="AF391"/>
    </row>
    <row r="392" spans="1:32" ht="15"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c r="Y392"/>
      <c r="Z392"/>
      <c r="AA392"/>
      <c r="AB392"/>
      <c r="AC392"/>
      <c r="AD392"/>
      <c r="AE392"/>
      <c r="AF392"/>
    </row>
    <row r="393" spans="1:32" ht="15"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c r="Y393"/>
      <c r="Z393"/>
      <c r="AA393"/>
      <c r="AB393"/>
      <c r="AC393"/>
      <c r="AD393"/>
      <c r="AE393"/>
      <c r="AF393"/>
    </row>
    <row r="394" spans="1:32" ht="15"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c r="Y394"/>
      <c r="Z394"/>
      <c r="AA394"/>
      <c r="AB394"/>
      <c r="AC394"/>
      <c r="AD394"/>
      <c r="AE394"/>
      <c r="AF394"/>
    </row>
    <row r="395" spans="1:32" ht="15"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c r="Y395"/>
      <c r="Z395"/>
      <c r="AA395"/>
      <c r="AB395"/>
      <c r="AC395"/>
      <c r="AD395"/>
      <c r="AE395"/>
      <c r="AF395"/>
    </row>
    <row r="396" spans="1:32" ht="15"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c r="Y396"/>
      <c r="Z396"/>
      <c r="AA396"/>
      <c r="AB396"/>
      <c r="AC396"/>
      <c r="AD396"/>
      <c r="AE396"/>
      <c r="AF396"/>
    </row>
    <row r="397" spans="1:32" ht="15"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c r="Y397"/>
      <c r="Z397"/>
      <c r="AA397"/>
      <c r="AB397"/>
      <c r="AC397"/>
      <c r="AD397"/>
      <c r="AE397"/>
      <c r="AF397"/>
    </row>
    <row r="398" spans="1:32" ht="15"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c r="Y398"/>
      <c r="Z398"/>
      <c r="AA398"/>
      <c r="AB398"/>
      <c r="AC398"/>
      <c r="AD398"/>
      <c r="AE398"/>
      <c r="AF398"/>
    </row>
    <row r="399" spans="1:32" ht="15"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c r="Y399"/>
      <c r="Z399"/>
      <c r="AA399"/>
      <c r="AB399"/>
      <c r="AC399"/>
      <c r="AD399"/>
      <c r="AE399"/>
      <c r="AF399"/>
    </row>
    <row r="400" spans="1:32" ht="15" x14ac:dyDescent="0.25">
      <c r="A400" s="2"/>
      <c r="B400" s="2"/>
      <c r="C400" s="2"/>
      <c r="D400" s="20" t="s">
        <v>1268</v>
      </c>
      <c r="E400" s="2"/>
      <c r="F400" s="2"/>
      <c r="G400" s="2"/>
      <c r="H400" s="2"/>
      <c r="I400" s="2"/>
      <c r="J400" s="2"/>
      <c r="K400" s="2"/>
      <c r="L400" s="2"/>
      <c r="M400" s="2"/>
      <c r="N400" s="2"/>
      <c r="O400" s="2"/>
      <c r="P400" s="2"/>
      <c r="Q400" s="2"/>
      <c r="R400" s="2"/>
      <c r="S400" s="2"/>
      <c r="T400" s="2"/>
      <c r="U400" s="2"/>
      <c r="V400" s="2"/>
      <c r="W400" s="2"/>
      <c r="X400"/>
      <c r="Y400"/>
      <c r="Z400"/>
      <c r="AA400"/>
      <c r="AB400"/>
      <c r="AC400"/>
      <c r="AD400"/>
      <c r="AE400"/>
      <c r="AF400"/>
    </row>
    <row r="401" spans="1:33" x14ac:dyDescent="0.2">
      <c r="A401" s="2"/>
      <c r="B401" s="2"/>
      <c r="C401" s="2"/>
      <c r="D401" s="232" t="s">
        <v>1014</v>
      </c>
      <c r="E401" s="232"/>
      <c r="F401" s="232"/>
      <c r="G401" s="232"/>
      <c r="H401" s="232"/>
      <c r="I401" s="232"/>
      <c r="J401" s="232"/>
      <c r="K401" s="232"/>
      <c r="L401" s="232"/>
      <c r="M401" s="232"/>
      <c r="N401" s="232"/>
      <c r="O401" s="232"/>
      <c r="P401" s="232"/>
      <c r="Q401" s="232"/>
      <c r="R401" s="232"/>
      <c r="S401" s="232"/>
      <c r="T401" s="232"/>
      <c r="U401" s="232"/>
      <c r="V401" s="232"/>
      <c r="W401" s="232"/>
      <c r="X401" s="232"/>
      <c r="Y401" s="232"/>
      <c r="Z401" s="232"/>
      <c r="AA401" s="232"/>
      <c r="AB401" s="232"/>
      <c r="AC401" s="232"/>
      <c r="AD401" s="232"/>
      <c r="AE401" s="232"/>
      <c r="AF401" s="232"/>
      <c r="AG401" s="232"/>
    </row>
    <row r="402" spans="1:33" x14ac:dyDescent="0.2">
      <c r="A402" s="2"/>
      <c r="B402" s="2"/>
      <c r="C402" s="2"/>
      <c r="D402" s="232"/>
      <c r="E402" s="232"/>
      <c r="F402" s="232"/>
      <c r="G402" s="232"/>
      <c r="H402" s="232"/>
      <c r="I402" s="232"/>
      <c r="J402" s="232"/>
      <c r="K402" s="232"/>
      <c r="L402" s="232"/>
      <c r="M402" s="232"/>
      <c r="N402" s="232"/>
      <c r="O402" s="232"/>
      <c r="P402" s="232"/>
      <c r="Q402" s="232"/>
      <c r="R402" s="232"/>
      <c r="S402" s="232"/>
      <c r="T402" s="232"/>
      <c r="U402" s="232"/>
      <c r="V402" s="232"/>
      <c r="W402" s="232"/>
      <c r="X402" s="232"/>
      <c r="Y402" s="232"/>
      <c r="Z402" s="232"/>
      <c r="AA402" s="232"/>
      <c r="AB402" s="232"/>
      <c r="AC402" s="232"/>
      <c r="AD402" s="232"/>
      <c r="AE402" s="232"/>
      <c r="AF402" s="232"/>
      <c r="AG402" s="232"/>
    </row>
    <row r="403" spans="1:33" x14ac:dyDescent="0.2">
      <c r="A403" s="2"/>
      <c r="B403" s="2"/>
      <c r="C403" s="2"/>
      <c r="D403" s="232" t="s">
        <v>445</v>
      </c>
      <c r="E403" s="232"/>
      <c r="F403" s="232"/>
      <c r="G403" s="232"/>
      <c r="H403" s="232"/>
      <c r="I403" s="232"/>
      <c r="J403" s="232"/>
      <c r="K403" s="232"/>
      <c r="L403" s="232"/>
      <c r="M403" s="232"/>
      <c r="N403" s="232"/>
      <c r="O403" s="232"/>
      <c r="P403" s="232"/>
      <c r="Q403" s="232"/>
      <c r="R403" s="232"/>
      <c r="S403" s="232"/>
      <c r="T403" s="232"/>
      <c r="U403" s="232"/>
      <c r="V403" s="232"/>
      <c r="W403" s="232"/>
      <c r="X403" s="232"/>
      <c r="Y403" s="232"/>
      <c r="Z403" s="232"/>
      <c r="AA403" s="232"/>
      <c r="AB403" s="232"/>
      <c r="AC403" s="232"/>
      <c r="AD403" s="232"/>
      <c r="AE403" s="232"/>
      <c r="AF403" s="232"/>
      <c r="AG403" s="232"/>
    </row>
    <row r="404" spans="1:33" x14ac:dyDescent="0.2">
      <c r="A404" s="2"/>
      <c r="B404" s="2"/>
      <c r="C404" s="2"/>
      <c r="D404" s="232"/>
      <c r="E404" s="232"/>
      <c r="F404" s="232"/>
      <c r="G404" s="232"/>
      <c r="H404" s="232"/>
      <c r="I404" s="232"/>
      <c r="J404" s="232"/>
      <c r="K404" s="232"/>
      <c r="L404" s="232"/>
      <c r="M404" s="232"/>
      <c r="N404" s="232"/>
      <c r="O404" s="232"/>
      <c r="P404" s="232"/>
      <c r="Q404" s="232"/>
      <c r="R404" s="232"/>
      <c r="S404" s="232"/>
      <c r="T404" s="232"/>
      <c r="U404" s="232"/>
      <c r="V404" s="232"/>
      <c r="W404" s="232"/>
      <c r="X404" s="232"/>
      <c r="Y404" s="232"/>
      <c r="Z404" s="232"/>
      <c r="AA404" s="232"/>
      <c r="AB404" s="232"/>
      <c r="AC404" s="232"/>
      <c r="AD404" s="232"/>
      <c r="AE404" s="232"/>
      <c r="AF404" s="232"/>
      <c r="AG404" s="232"/>
    </row>
    <row r="405" spans="1:33"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row>
    <row r="406" spans="1:33" ht="15.75" x14ac:dyDescent="0.3">
      <c r="A406" s="2"/>
      <c r="B406" s="2"/>
      <c r="C406" s="2"/>
      <c r="D406" s="2"/>
      <c r="E406" s="2"/>
      <c r="H406"/>
      <c r="I406"/>
      <c r="K406" s="21" t="s">
        <v>437</v>
      </c>
      <c r="L406" s="13" t="s">
        <v>332</v>
      </c>
      <c r="M406" s="342">
        <f>H146</f>
        <v>70.446376817957798</v>
      </c>
      <c r="N406" s="342"/>
      <c r="O406" s="342"/>
      <c r="P406" s="2" t="s">
        <v>335</v>
      </c>
      <c r="Q406" s="2"/>
      <c r="R406" s="2"/>
      <c r="S406" s="2" t="s">
        <v>1266</v>
      </c>
      <c r="T406" s="2"/>
      <c r="U406" s="2"/>
      <c r="V406" s="2"/>
      <c r="W406" s="2"/>
      <c r="X406" s="2"/>
      <c r="Y406" s="2"/>
      <c r="Z406" s="2"/>
      <c r="AA406" s="2"/>
      <c r="AB406" s="2"/>
      <c r="AC406" s="2"/>
      <c r="AD406" s="2"/>
      <c r="AE406" s="2"/>
      <c r="AF406" s="2"/>
      <c r="AG406" s="2"/>
    </row>
    <row r="407" spans="1:33" ht="15.75" x14ac:dyDescent="0.3">
      <c r="A407" s="2"/>
      <c r="B407" s="2"/>
      <c r="C407" s="2"/>
      <c r="D407" s="2"/>
      <c r="E407" s="2"/>
      <c r="H407" s="2"/>
      <c r="I407" s="2"/>
      <c r="J407" s="2"/>
      <c r="K407" s="21" t="s">
        <v>394</v>
      </c>
      <c r="L407" s="13" t="s">
        <v>332</v>
      </c>
      <c r="M407" s="342">
        <f>J250</f>
        <v>429.24868478985309</v>
      </c>
      <c r="N407" s="342"/>
      <c r="O407" s="342"/>
      <c r="P407" s="2" t="s">
        <v>335</v>
      </c>
      <c r="Q407" s="2"/>
      <c r="R407" s="2"/>
      <c r="S407" s="2" t="s">
        <v>848</v>
      </c>
      <c r="T407" s="2"/>
      <c r="U407" s="2"/>
      <c r="V407" s="2"/>
      <c r="W407" s="2"/>
      <c r="X407" s="2"/>
      <c r="Y407" s="2"/>
      <c r="Z407" s="2"/>
      <c r="AA407" s="2"/>
      <c r="AB407" s="2"/>
      <c r="AC407" s="2"/>
      <c r="AD407" s="2"/>
      <c r="AE407" s="2"/>
      <c r="AF407" s="2"/>
      <c r="AG407" s="2"/>
    </row>
    <row r="408" spans="1:33" ht="15.75" x14ac:dyDescent="0.3">
      <c r="A408" s="2"/>
      <c r="B408" s="2"/>
      <c r="C408" s="2"/>
      <c r="D408" s="2"/>
      <c r="E408" s="2"/>
      <c r="H408" s="2"/>
      <c r="I408" s="2"/>
      <c r="J408" s="2"/>
      <c r="K408" s="21" t="s">
        <v>446</v>
      </c>
      <c r="L408" s="13" t="s">
        <v>332</v>
      </c>
      <c r="M408" s="343">
        <f>M406/M407</f>
        <v>0.1641155332891612</v>
      </c>
      <c r="N408" s="343"/>
      <c r="O408" s="343"/>
      <c r="P408" s="2"/>
      <c r="Q408" s="2"/>
      <c r="R408" s="2"/>
      <c r="S408" s="2"/>
      <c r="T408" s="2"/>
      <c r="U408" s="2"/>
      <c r="V408" s="2"/>
      <c r="W408" s="2"/>
      <c r="X408" s="2"/>
      <c r="Y408" s="2"/>
      <c r="Z408" s="2"/>
      <c r="AA408" s="2"/>
      <c r="AB408" s="2"/>
      <c r="AC408" s="2"/>
      <c r="AD408" s="2"/>
      <c r="AE408" s="2"/>
      <c r="AF408" s="2"/>
      <c r="AG408" s="2"/>
    </row>
    <row r="409" spans="1:33"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row>
    <row r="410" spans="1:33"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row>
    <row r="411" spans="1:33" ht="15.75" customHeight="1" x14ac:dyDescent="0.2">
      <c r="A411" s="2"/>
      <c r="B411" s="2"/>
      <c r="C411" s="2"/>
      <c r="D411" s="232" t="s">
        <v>834</v>
      </c>
      <c r="E411" s="232"/>
      <c r="F411" s="232"/>
      <c r="G411" s="232"/>
      <c r="H411" s="232"/>
      <c r="I411" s="232"/>
      <c r="J411" s="232"/>
      <c r="K411" s="232"/>
      <c r="L411" s="232"/>
      <c r="M411" s="232"/>
      <c r="N411" s="232"/>
      <c r="O411" s="232"/>
      <c r="P411" s="232"/>
      <c r="Q411" s="232"/>
      <c r="R411" s="232"/>
      <c r="S411" s="232"/>
      <c r="T411" s="232"/>
      <c r="U411" s="232"/>
      <c r="V411" s="232"/>
      <c r="W411" s="232"/>
      <c r="X411" s="232"/>
      <c r="Y411" s="232"/>
      <c r="Z411" s="232"/>
      <c r="AA411" s="232"/>
      <c r="AB411" s="232"/>
      <c r="AC411" s="232"/>
      <c r="AD411" s="232"/>
      <c r="AE411" s="232"/>
      <c r="AF411" s="232"/>
      <c r="AG411" s="232"/>
    </row>
    <row r="412" spans="1:33"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row>
    <row r="413" spans="1:33" x14ac:dyDescent="0.2">
      <c r="A413" s="2"/>
      <c r="B413" s="2"/>
      <c r="C413" s="2"/>
      <c r="D413" s="2"/>
      <c r="E413" s="2"/>
      <c r="K413" s="21" t="s">
        <v>438</v>
      </c>
      <c r="L413" s="13" t="s">
        <v>332</v>
      </c>
      <c r="M413" s="231">
        <f>4*M408/0.3</f>
        <v>2.1882071105221494</v>
      </c>
      <c r="N413" s="284"/>
      <c r="O413" s="284"/>
      <c r="P413" s="2" t="s">
        <v>337</v>
      </c>
      <c r="Q413" s="2"/>
      <c r="R413" s="2"/>
      <c r="S413" s="2"/>
      <c r="T413" s="2"/>
      <c r="U413" s="2"/>
      <c r="V413" s="2"/>
      <c r="W413" s="2"/>
      <c r="X413" s="2"/>
      <c r="Y413" s="2"/>
      <c r="Z413" s="2"/>
      <c r="AG413" s="2"/>
    </row>
    <row r="414" spans="1:33" x14ac:dyDescent="0.2">
      <c r="A414" s="2"/>
      <c r="B414" s="2"/>
      <c r="C414" s="2"/>
      <c r="D414" s="2"/>
      <c r="E414" s="2"/>
      <c r="K414" s="21"/>
      <c r="L414" s="13"/>
      <c r="M414" s="31"/>
      <c r="N414" s="31"/>
      <c r="O414" s="31"/>
      <c r="P414" s="2"/>
      <c r="Q414" s="2"/>
      <c r="R414" s="2"/>
      <c r="S414" s="2"/>
      <c r="T414" s="2"/>
      <c r="U414" s="2"/>
      <c r="V414" s="2"/>
      <c r="W414" s="2"/>
      <c r="X414" s="2"/>
      <c r="Y414" s="2"/>
      <c r="Z414" s="2"/>
      <c r="AG414" s="2"/>
    </row>
    <row r="415" spans="1:33" x14ac:dyDescent="0.2">
      <c r="A415" s="2"/>
      <c r="B415" s="2"/>
      <c r="C415" s="2"/>
      <c r="D415" s="2"/>
      <c r="E415" s="2"/>
      <c r="K415" s="21" t="s">
        <v>441</v>
      </c>
      <c r="L415" s="13" t="s">
        <v>332</v>
      </c>
      <c r="M415" s="285">
        <v>1.4750000000000001</v>
      </c>
      <c r="N415" s="285"/>
      <c r="O415" s="285"/>
      <c r="P415" s="2"/>
      <c r="Q415" s="2"/>
      <c r="R415" s="2" t="s">
        <v>1267</v>
      </c>
      <c r="S415" s="2"/>
      <c r="T415" s="2"/>
      <c r="U415" s="2"/>
      <c r="V415" s="2"/>
      <c r="W415" s="2"/>
      <c r="X415" s="2"/>
      <c r="Y415" s="2"/>
      <c r="Z415" s="2"/>
      <c r="AG415" s="2"/>
    </row>
    <row r="416" spans="1:33" x14ac:dyDescent="0.2">
      <c r="A416" s="2"/>
      <c r="B416" s="2"/>
      <c r="C416" s="2"/>
      <c r="D416" s="2"/>
      <c r="E416" s="2"/>
      <c r="K416" s="2"/>
      <c r="L416" s="2"/>
      <c r="M416" s="2"/>
      <c r="N416" s="2"/>
      <c r="O416" s="2"/>
      <c r="P416" s="2"/>
      <c r="Q416" s="2"/>
      <c r="R416" s="2"/>
      <c r="S416" s="2"/>
      <c r="T416" s="2"/>
      <c r="U416" s="2"/>
      <c r="V416" s="2"/>
      <c r="W416" s="2"/>
      <c r="X416" s="2"/>
      <c r="Y416" s="2"/>
      <c r="Z416" s="2"/>
      <c r="AG416" s="2"/>
    </row>
    <row r="417" spans="1:33" x14ac:dyDescent="0.2">
      <c r="A417" s="2"/>
      <c r="B417" s="2"/>
      <c r="C417" s="2"/>
      <c r="D417" s="2"/>
      <c r="E417" s="2"/>
      <c r="K417" s="21" t="s">
        <v>442</v>
      </c>
      <c r="L417" s="13" t="s">
        <v>332</v>
      </c>
      <c r="M417" s="231">
        <f>M413*M415</f>
        <v>3.2276054880201706</v>
      </c>
      <c r="N417" s="231"/>
      <c r="O417" s="231"/>
      <c r="P417" s="2" t="s">
        <v>337</v>
      </c>
      <c r="Q417" s="2"/>
      <c r="R417" s="2" t="s">
        <v>443</v>
      </c>
      <c r="S417" s="2"/>
      <c r="T417" s="2"/>
      <c r="U417" s="2"/>
      <c r="V417" s="2"/>
      <c r="W417" s="2"/>
      <c r="X417" s="2"/>
      <c r="Y417" s="2"/>
      <c r="Z417" s="2"/>
      <c r="AG417" s="2"/>
    </row>
    <row r="418" spans="1:33" ht="15" x14ac:dyDescent="0.25">
      <c r="A418" s="2"/>
      <c r="B418" s="2"/>
      <c r="C418" s="2"/>
      <c r="D418" s="2"/>
      <c r="E418" s="2"/>
      <c r="K418" s="21"/>
      <c r="L418" s="13"/>
      <c r="M418" s="31"/>
      <c r="N418" s="31"/>
      <c r="O418" s="31"/>
      <c r="P418" s="2"/>
      <c r="Q418" s="2"/>
      <c r="R418"/>
      <c r="S418"/>
      <c r="T418"/>
      <c r="U418"/>
      <c r="V418"/>
      <c r="W418"/>
      <c r="X418"/>
      <c r="Y418"/>
      <c r="Z418"/>
      <c r="AA418"/>
      <c r="AB418"/>
      <c r="AC418"/>
      <c r="AD418"/>
      <c r="AE418"/>
      <c r="AF418"/>
      <c r="AG418"/>
    </row>
    <row r="419" spans="1:33"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row>
    <row r="420" spans="1:33"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row>
    <row r="421" spans="1:33"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row>
    <row r="422" spans="1:33"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row>
    <row r="423" spans="1:33"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row>
    <row r="424" spans="1:33"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row>
    <row r="425" spans="1:33"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row>
    <row r="426" spans="1:33"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row>
    <row r="427" spans="1:33"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row>
    <row r="428" spans="1:33"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row>
    <row r="429" spans="1:33"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row>
    <row r="430" spans="1:33"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row>
    <row r="431" spans="1:33"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row>
    <row r="432" spans="1:33" ht="15" x14ac:dyDescent="0.25">
      <c r="A432" s="2"/>
      <c r="B432" s="2"/>
      <c r="C432" s="2"/>
      <c r="D432" s="16" t="s">
        <v>444</v>
      </c>
      <c r="E432" s="2"/>
      <c r="F432" s="2"/>
      <c r="G432" s="2"/>
      <c r="H432" s="2"/>
      <c r="I432" s="2"/>
      <c r="J432" s="2"/>
      <c r="K432" s="2"/>
      <c r="L432" s="2"/>
      <c r="M432" s="2"/>
      <c r="N432" s="2"/>
      <c r="O432" s="2"/>
      <c r="P432" s="2"/>
      <c r="Q432" s="2"/>
      <c r="R432" s="2"/>
      <c r="S432" s="2"/>
      <c r="T432" s="2"/>
      <c r="U432" s="2"/>
      <c r="V432" s="2"/>
      <c r="W432" s="2"/>
      <c r="X432"/>
      <c r="Y432"/>
      <c r="Z432"/>
      <c r="AA432"/>
      <c r="AB432"/>
      <c r="AC432"/>
      <c r="AD432"/>
      <c r="AE432"/>
      <c r="AF432"/>
    </row>
    <row r="433" spans="1:33" x14ac:dyDescent="0.2">
      <c r="A433" s="2"/>
      <c r="B433" s="2"/>
      <c r="C433" s="2"/>
      <c r="D433" s="232" t="s">
        <v>1015</v>
      </c>
      <c r="E433" s="232"/>
      <c r="F433" s="232"/>
      <c r="G433" s="232"/>
      <c r="H433" s="232"/>
      <c r="I433" s="232"/>
      <c r="J433" s="232"/>
      <c r="K433" s="232"/>
      <c r="L433" s="232"/>
      <c r="M433" s="232"/>
      <c r="N433" s="232"/>
      <c r="O433" s="232"/>
      <c r="P433" s="232"/>
      <c r="Q433" s="232"/>
      <c r="R433" s="232"/>
      <c r="S433" s="232"/>
      <c r="T433" s="232"/>
      <c r="U433" s="232"/>
      <c r="V433" s="232"/>
      <c r="W433" s="232"/>
      <c r="X433" s="232"/>
      <c r="Y433" s="232"/>
      <c r="Z433" s="232"/>
      <c r="AA433" s="232"/>
      <c r="AB433" s="232"/>
      <c r="AC433" s="232"/>
      <c r="AD433" s="232"/>
      <c r="AE433" s="232"/>
      <c r="AF433" s="232"/>
    </row>
    <row r="434" spans="1:33" x14ac:dyDescent="0.2">
      <c r="A434" s="2"/>
      <c r="B434" s="2"/>
      <c r="C434" s="2"/>
      <c r="D434" s="232"/>
      <c r="E434" s="232"/>
      <c r="F434" s="232"/>
      <c r="G434" s="232"/>
      <c r="H434" s="232"/>
      <c r="I434" s="232"/>
      <c r="J434" s="232"/>
      <c r="K434" s="232"/>
      <c r="L434" s="232"/>
      <c r="M434" s="232"/>
      <c r="N434" s="232"/>
      <c r="O434" s="232"/>
      <c r="P434" s="232"/>
      <c r="Q434" s="232"/>
      <c r="R434" s="232"/>
      <c r="S434" s="232"/>
      <c r="T434" s="232"/>
      <c r="U434" s="232"/>
      <c r="V434" s="232"/>
      <c r="W434" s="232"/>
      <c r="X434" s="232"/>
      <c r="Y434" s="232"/>
      <c r="Z434" s="232"/>
      <c r="AA434" s="232"/>
      <c r="AB434" s="232"/>
      <c r="AC434" s="232"/>
      <c r="AD434" s="232"/>
      <c r="AE434" s="232"/>
      <c r="AF434" s="232"/>
    </row>
    <row r="435" spans="1:33" x14ac:dyDescent="0.2">
      <c r="A435" s="2"/>
      <c r="B435" s="2"/>
      <c r="C435" s="2"/>
      <c r="D435" s="232"/>
      <c r="E435" s="232"/>
      <c r="F435" s="232"/>
      <c r="G435" s="232"/>
      <c r="H435" s="232"/>
      <c r="I435" s="232"/>
      <c r="J435" s="232"/>
      <c r="K435" s="232"/>
      <c r="L435" s="232"/>
      <c r="M435" s="232"/>
      <c r="N435" s="232"/>
      <c r="O435" s="232"/>
      <c r="P435" s="232"/>
      <c r="Q435" s="232"/>
      <c r="R435" s="232"/>
      <c r="S435" s="232"/>
      <c r="T435" s="232"/>
      <c r="U435" s="232"/>
      <c r="V435" s="232"/>
      <c r="W435" s="232"/>
      <c r="X435" s="232"/>
      <c r="Y435" s="232"/>
      <c r="Z435" s="232"/>
      <c r="AA435" s="232"/>
      <c r="AB435" s="232"/>
      <c r="AC435" s="232"/>
      <c r="AD435" s="232"/>
      <c r="AE435" s="232"/>
      <c r="AF435" s="232"/>
    </row>
    <row r="436" spans="1:33" ht="15"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c r="Y436"/>
      <c r="Z436"/>
      <c r="AA436"/>
      <c r="AB436"/>
      <c r="AC436"/>
      <c r="AD436"/>
      <c r="AE436"/>
      <c r="AF436"/>
    </row>
    <row r="437" spans="1:33" ht="15"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c r="Y437"/>
      <c r="Z437"/>
      <c r="AA437"/>
      <c r="AB437"/>
      <c r="AC437"/>
      <c r="AD437"/>
      <c r="AE437"/>
      <c r="AF437"/>
    </row>
    <row r="438" spans="1:33" ht="15"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c r="Y438"/>
      <c r="Z438"/>
      <c r="AA438"/>
      <c r="AB438"/>
      <c r="AC438"/>
      <c r="AD438"/>
      <c r="AE438"/>
      <c r="AF438"/>
    </row>
    <row r="439" spans="1:33" ht="15" x14ac:dyDescent="0.25">
      <c r="A439" s="2"/>
      <c r="B439" s="2"/>
      <c r="C439" s="24" t="s">
        <v>1281</v>
      </c>
      <c r="D439" s="20"/>
      <c r="E439" s="2"/>
      <c r="F439" s="2"/>
      <c r="G439" s="2"/>
      <c r="H439" s="2"/>
      <c r="I439" s="2"/>
      <c r="J439" s="2"/>
      <c r="K439" s="2"/>
      <c r="L439" s="2"/>
      <c r="M439" s="2"/>
      <c r="N439" s="2"/>
      <c r="O439" s="2"/>
      <c r="P439" s="2"/>
      <c r="Q439" s="2"/>
      <c r="R439" s="2"/>
      <c r="S439" s="2"/>
      <c r="T439" s="2"/>
      <c r="U439" s="2"/>
      <c r="V439" s="2"/>
      <c r="W439" s="2"/>
      <c r="X439"/>
      <c r="Y439"/>
      <c r="Z439"/>
      <c r="AA439"/>
      <c r="AB439"/>
      <c r="AC439"/>
      <c r="AD439"/>
      <c r="AE439"/>
      <c r="AF439"/>
    </row>
    <row r="440" spans="1:33" ht="14.25" customHeight="1" x14ac:dyDescent="0.2">
      <c r="A440" s="2"/>
      <c r="B440" s="2"/>
      <c r="C440" s="232" t="s">
        <v>835</v>
      </c>
      <c r="D440" s="232"/>
      <c r="E440" s="232"/>
      <c r="F440" s="232"/>
      <c r="G440" s="232"/>
      <c r="H440" s="232"/>
      <c r="I440" s="232"/>
      <c r="J440" s="232"/>
      <c r="K440" s="232"/>
      <c r="L440" s="232"/>
      <c r="M440" s="232"/>
      <c r="N440" s="232"/>
      <c r="O440" s="232"/>
      <c r="P440" s="232"/>
      <c r="Q440" s="232"/>
      <c r="R440" s="232"/>
      <c r="S440" s="232"/>
      <c r="T440" s="232"/>
      <c r="U440" s="232"/>
      <c r="V440" s="232"/>
      <c r="W440" s="232"/>
      <c r="X440" s="232"/>
      <c r="Y440" s="232"/>
      <c r="Z440" s="232"/>
      <c r="AA440" s="232"/>
      <c r="AB440" s="232"/>
      <c r="AC440" s="232"/>
      <c r="AD440" s="232"/>
      <c r="AE440" s="232"/>
      <c r="AF440" s="232"/>
      <c r="AG440" s="232"/>
    </row>
    <row r="441" spans="1:33" x14ac:dyDescent="0.2">
      <c r="A441" s="2"/>
      <c r="B441" s="2"/>
      <c r="C441" s="232"/>
      <c r="D441" s="232"/>
      <c r="E441" s="232"/>
      <c r="F441" s="232"/>
      <c r="G441" s="232"/>
      <c r="H441" s="232"/>
      <c r="I441" s="232"/>
      <c r="J441" s="232"/>
      <c r="K441" s="232"/>
      <c r="L441" s="232"/>
      <c r="M441" s="232"/>
      <c r="N441" s="232"/>
      <c r="O441" s="232"/>
      <c r="P441" s="232"/>
      <c r="Q441" s="232"/>
      <c r="R441" s="232"/>
      <c r="S441" s="232"/>
      <c r="T441" s="232"/>
      <c r="U441" s="232"/>
      <c r="V441" s="232"/>
      <c r="W441" s="232"/>
      <c r="X441" s="232"/>
      <c r="Y441" s="232"/>
      <c r="Z441" s="232"/>
      <c r="AA441" s="232"/>
      <c r="AB441" s="232"/>
      <c r="AC441" s="232"/>
      <c r="AD441" s="232"/>
      <c r="AE441" s="232"/>
      <c r="AF441" s="232"/>
      <c r="AG441" s="232"/>
    </row>
    <row r="442" spans="1:33" x14ac:dyDescent="0.2">
      <c r="A442" s="2"/>
      <c r="B442" s="2"/>
      <c r="C442" s="232"/>
      <c r="D442" s="232"/>
      <c r="E442" s="232"/>
      <c r="F442" s="232"/>
      <c r="G442" s="232"/>
      <c r="H442" s="232"/>
      <c r="I442" s="232"/>
      <c r="J442" s="232"/>
      <c r="K442" s="232"/>
      <c r="L442" s="232"/>
      <c r="M442" s="232"/>
      <c r="N442" s="232"/>
      <c r="O442" s="232"/>
      <c r="P442" s="232"/>
      <c r="Q442" s="232"/>
      <c r="R442" s="232"/>
      <c r="S442" s="232"/>
      <c r="T442" s="232"/>
      <c r="U442" s="232"/>
      <c r="V442" s="232"/>
      <c r="W442" s="232"/>
      <c r="X442" s="232"/>
      <c r="Y442" s="232"/>
      <c r="Z442" s="232"/>
      <c r="AA442" s="232"/>
      <c r="AB442" s="232"/>
      <c r="AC442" s="232"/>
      <c r="AD442" s="232"/>
      <c r="AE442" s="232"/>
      <c r="AF442" s="232"/>
      <c r="AG442" s="232"/>
    </row>
    <row r="443" spans="1:33" x14ac:dyDescent="0.2">
      <c r="A443" s="2"/>
      <c r="B443" s="2"/>
      <c r="C443" s="232"/>
      <c r="D443" s="232"/>
      <c r="E443" s="232"/>
      <c r="F443" s="232"/>
      <c r="G443" s="232"/>
      <c r="H443" s="232"/>
      <c r="I443" s="232"/>
      <c r="J443" s="232"/>
      <c r="K443" s="232"/>
      <c r="L443" s="232"/>
      <c r="M443" s="232"/>
      <c r="N443" s="232"/>
      <c r="O443" s="232"/>
      <c r="P443" s="232"/>
      <c r="Q443" s="232"/>
      <c r="R443" s="232"/>
      <c r="S443" s="232"/>
      <c r="T443" s="232"/>
      <c r="U443" s="232"/>
      <c r="V443" s="232"/>
      <c r="W443" s="232"/>
      <c r="X443" s="232"/>
      <c r="Y443" s="232"/>
      <c r="Z443" s="232"/>
      <c r="AA443" s="232"/>
      <c r="AB443" s="232"/>
      <c r="AC443" s="232"/>
      <c r="AD443" s="232"/>
      <c r="AE443" s="232"/>
      <c r="AF443" s="232"/>
      <c r="AG443" s="232"/>
    </row>
    <row r="444" spans="1:33" s="2" customFormat="1" ht="12.75" x14ac:dyDescent="0.2"/>
    <row r="445" spans="1:33" s="2" customFormat="1" ht="15.75" x14ac:dyDescent="0.3">
      <c r="F445" s="21" t="s">
        <v>1288</v>
      </c>
      <c r="G445" s="13" t="s">
        <v>332</v>
      </c>
      <c r="H445" s="231">
        <f>H132</f>
        <v>94.563519749129981</v>
      </c>
      <c r="I445" s="231"/>
      <c r="J445" s="231"/>
      <c r="K445" s="2" t="s">
        <v>335</v>
      </c>
      <c r="N445" s="2" t="s">
        <v>1278</v>
      </c>
    </row>
    <row r="446" spans="1:33" s="2" customFormat="1" ht="15.75" x14ac:dyDescent="0.3">
      <c r="F446" s="21" t="s">
        <v>1289</v>
      </c>
      <c r="G446" s="13" t="s">
        <v>332</v>
      </c>
      <c r="H446" s="231">
        <f t="shared" ref="H446:H447" si="2">H133</f>
        <v>-3.9311234084899631</v>
      </c>
      <c r="I446" s="231"/>
      <c r="J446" s="231"/>
      <c r="K446" s="2" t="s">
        <v>335</v>
      </c>
      <c r="N446" s="2" t="s">
        <v>1279</v>
      </c>
    </row>
    <row r="447" spans="1:33" s="2" customFormat="1" ht="15.75" x14ac:dyDescent="0.3">
      <c r="F447" s="21" t="s">
        <v>1290</v>
      </c>
      <c r="G447" s="13" t="s">
        <v>332</v>
      </c>
      <c r="H447" s="231">
        <f t="shared" si="2"/>
        <v>18.978753997080513</v>
      </c>
      <c r="I447" s="231"/>
      <c r="J447" s="231"/>
      <c r="K447" s="2" t="s">
        <v>335</v>
      </c>
      <c r="N447" s="2" t="s">
        <v>1280</v>
      </c>
    </row>
    <row r="448" spans="1:33" s="2" customFormat="1" ht="12.75" x14ac:dyDescent="0.2"/>
    <row r="449" spans="1:33" s="2" customFormat="1" ht="12.75" x14ac:dyDescent="0.2"/>
    <row r="450" spans="1:33" s="2" customFormat="1" ht="12.75" x14ac:dyDescent="0.2"/>
    <row r="451" spans="1:33" s="2" customFormat="1" x14ac:dyDescent="0.2">
      <c r="D451" s="20" t="s">
        <v>892</v>
      </c>
      <c r="AF451" s="1"/>
    </row>
    <row r="452" spans="1:33" s="2" customFormat="1" x14ac:dyDescent="0.2">
      <c r="D452" s="2" t="s">
        <v>565</v>
      </c>
      <c r="AF452" s="1"/>
    </row>
    <row r="453" spans="1:33" s="2" customFormat="1" ht="12.75" customHeight="1" x14ac:dyDescent="0.2">
      <c r="D453" s="232" t="s">
        <v>1421</v>
      </c>
      <c r="E453" s="232"/>
      <c r="F453" s="232"/>
      <c r="G453" s="232"/>
      <c r="H453" s="232"/>
      <c r="I453" s="232"/>
      <c r="J453" s="232"/>
      <c r="K453" s="232"/>
      <c r="L453" s="232"/>
      <c r="M453" s="232"/>
      <c r="N453" s="232"/>
      <c r="O453" s="232"/>
      <c r="P453" s="232"/>
      <c r="Q453" s="232"/>
      <c r="R453" s="232"/>
      <c r="S453" s="232"/>
      <c r="T453" s="232"/>
      <c r="U453" s="232"/>
      <c r="V453" s="232"/>
      <c r="W453" s="232"/>
      <c r="X453" s="232"/>
      <c r="Y453" s="232"/>
      <c r="Z453" s="232"/>
      <c r="AA453" s="232"/>
      <c r="AB453" s="232"/>
      <c r="AC453" s="232"/>
      <c r="AD453" s="232"/>
      <c r="AE453" s="232"/>
      <c r="AF453" s="232"/>
      <c r="AG453" s="232"/>
    </row>
    <row r="454" spans="1:33" s="2" customFormat="1" ht="12.75" x14ac:dyDescent="0.2">
      <c r="D454" s="232"/>
      <c r="E454" s="232"/>
      <c r="F454" s="232"/>
      <c r="G454" s="232"/>
      <c r="H454" s="232"/>
      <c r="I454" s="232"/>
      <c r="J454" s="232"/>
      <c r="K454" s="232"/>
      <c r="L454" s="232"/>
      <c r="M454" s="232"/>
      <c r="N454" s="232"/>
      <c r="O454" s="232"/>
      <c r="P454" s="232"/>
      <c r="Q454" s="232"/>
      <c r="R454" s="232"/>
      <c r="S454" s="232"/>
      <c r="T454" s="232"/>
      <c r="U454" s="232"/>
      <c r="V454" s="232"/>
      <c r="W454" s="232"/>
      <c r="X454" s="232"/>
      <c r="Y454" s="232"/>
      <c r="Z454" s="232"/>
      <c r="AA454" s="232"/>
      <c r="AB454" s="232"/>
      <c r="AC454" s="232"/>
      <c r="AD454" s="232"/>
      <c r="AE454" s="232"/>
      <c r="AF454" s="232"/>
      <c r="AG454" s="232"/>
    </row>
    <row r="455" spans="1:33" s="2" customFormat="1" x14ac:dyDescent="0.2">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3" s="2" customFormat="1" ht="15.75" x14ac:dyDescent="0.3">
      <c r="F456" s="21" t="s">
        <v>562</v>
      </c>
      <c r="G456" s="13" t="s">
        <v>332</v>
      </c>
      <c r="H456" s="231">
        <f>PI()*(H187*1000)</f>
        <v>688.00879113616475</v>
      </c>
      <c r="I456" s="231"/>
      <c r="J456" s="231"/>
      <c r="K456" s="2" t="s">
        <v>337</v>
      </c>
      <c r="M456" s="1"/>
      <c r="N456" s="2" t="s">
        <v>1277</v>
      </c>
      <c r="O456" s="1"/>
      <c r="P456" s="1"/>
      <c r="Q456" s="1"/>
      <c r="R456" s="1"/>
      <c r="S456" s="1"/>
      <c r="T456" s="1"/>
      <c r="U456" s="1"/>
      <c r="V456" s="1"/>
      <c r="W456" s="1"/>
      <c r="X456" s="1"/>
      <c r="Y456" s="1"/>
      <c r="Z456" s="1"/>
      <c r="AA456" s="1"/>
      <c r="AB456" s="1"/>
      <c r="AC456" s="1"/>
      <c r="AD456" s="1"/>
      <c r="AE456" s="1"/>
      <c r="AF456" s="1"/>
    </row>
    <row r="457" spans="1:33" s="2" customFormat="1" ht="15.75" x14ac:dyDescent="0.3">
      <c r="D457" s="1"/>
      <c r="E457" s="1"/>
      <c r="F457" s="21" t="s">
        <v>563</v>
      </c>
      <c r="G457" s="13" t="s">
        <v>332</v>
      </c>
      <c r="H457" s="231">
        <f>H456*1.24</f>
        <v>853.13090100884426</v>
      </c>
      <c r="I457" s="231"/>
      <c r="J457" s="231"/>
      <c r="K457" s="2" t="s">
        <v>335</v>
      </c>
      <c r="L457" s="1"/>
      <c r="M457" s="1"/>
      <c r="N457" s="2" t="s">
        <v>566</v>
      </c>
      <c r="O457" s="1"/>
      <c r="P457" s="1"/>
      <c r="Q457" s="1"/>
      <c r="R457" s="1"/>
      <c r="S457" s="1"/>
      <c r="T457" s="1"/>
      <c r="U457" s="1"/>
      <c r="V457" s="1"/>
      <c r="W457" s="1"/>
      <c r="X457" s="1"/>
      <c r="Y457" s="1"/>
      <c r="Z457" s="1"/>
      <c r="AA457" s="1"/>
      <c r="AB457" s="1"/>
      <c r="AC457" s="1"/>
      <c r="AD457" s="1"/>
      <c r="AE457" s="1"/>
      <c r="AF457" s="1"/>
    </row>
    <row r="458" spans="1:33" s="2" customFormat="1" ht="15.75" x14ac:dyDescent="0.3">
      <c r="D458" s="1"/>
      <c r="F458" s="21" t="s">
        <v>564</v>
      </c>
      <c r="G458" s="13" t="s">
        <v>332</v>
      </c>
      <c r="H458" s="231">
        <f>SQRT(H447^2+H446^2)</f>
        <v>19.381610731166727</v>
      </c>
      <c r="I458" s="231"/>
      <c r="J458" s="231"/>
      <c r="K458" s="2" t="s">
        <v>335</v>
      </c>
      <c r="T458" s="1"/>
      <c r="U458" s="1"/>
      <c r="V458" s="1"/>
      <c r="W458" s="1"/>
      <c r="X458" s="1"/>
      <c r="Y458" s="1"/>
      <c r="Z458" s="1"/>
      <c r="AA458" s="1"/>
      <c r="AB458" s="1"/>
      <c r="AC458" s="1"/>
      <c r="AD458" s="1"/>
      <c r="AE458" s="1"/>
      <c r="AF458" s="1"/>
    </row>
    <row r="459" spans="1:33" s="2" customFormat="1" x14ac:dyDescent="0.2">
      <c r="D459" s="1"/>
      <c r="F459" s="21"/>
      <c r="G459" s="13"/>
      <c r="H459" s="28"/>
      <c r="I459" s="28"/>
      <c r="J459" s="28"/>
      <c r="T459" s="1"/>
      <c r="U459" s="1"/>
      <c r="V459" s="1"/>
      <c r="W459" s="1"/>
      <c r="X459" s="1"/>
      <c r="Y459" s="1"/>
      <c r="Z459" s="1"/>
      <c r="AA459" s="1"/>
      <c r="AB459" s="1"/>
      <c r="AC459" s="1"/>
      <c r="AD459" s="1"/>
      <c r="AE459" s="1"/>
      <c r="AF459" s="1"/>
    </row>
    <row r="460" spans="1:33" s="2" customFormat="1" x14ac:dyDescent="0.2">
      <c r="D460" s="1"/>
      <c r="F460" s="21" t="s">
        <v>421</v>
      </c>
      <c r="G460" s="13" t="s">
        <v>332</v>
      </c>
      <c r="H460" s="285">
        <f>H458/H457</f>
        <v>2.2718214412638889E-2</v>
      </c>
      <c r="I460" s="285"/>
      <c r="J460" s="285"/>
      <c r="K460" s="2" t="s">
        <v>561</v>
      </c>
      <c r="L460" s="1"/>
      <c r="T460" s="1"/>
      <c r="U460" s="1"/>
      <c r="V460" s="1"/>
      <c r="W460" s="1"/>
      <c r="X460" s="1"/>
      <c r="Y460" s="1"/>
      <c r="Z460" s="1"/>
      <c r="AA460" s="1"/>
      <c r="AB460" s="1"/>
      <c r="AC460" s="1"/>
      <c r="AD460" s="1"/>
      <c r="AE460" s="1"/>
      <c r="AF460" s="1"/>
    </row>
    <row r="461" spans="1:33" s="2" customFormat="1" ht="12.75" x14ac:dyDescent="0.2"/>
    <row r="462" spans="1:33" x14ac:dyDescent="0.2">
      <c r="A462" s="2"/>
      <c r="B462" s="2"/>
      <c r="C462" s="2"/>
      <c r="D462" s="2"/>
    </row>
    <row r="463" spans="1:33" x14ac:dyDescent="0.2">
      <c r="A463" s="2"/>
      <c r="B463" s="2"/>
      <c r="C463" s="2"/>
      <c r="D463" s="20" t="s">
        <v>1291</v>
      </c>
      <c r="AG463" s="2"/>
    </row>
    <row r="464" spans="1:33" x14ac:dyDescent="0.2">
      <c r="A464" s="2"/>
      <c r="B464" s="2"/>
      <c r="C464" s="2"/>
      <c r="D464" s="232" t="s">
        <v>1292</v>
      </c>
      <c r="E464" s="232"/>
      <c r="F464" s="232"/>
      <c r="G464" s="232"/>
      <c r="H464" s="232"/>
      <c r="I464" s="232"/>
      <c r="J464" s="232"/>
      <c r="K464" s="232"/>
      <c r="L464" s="232"/>
      <c r="M464" s="232"/>
      <c r="N464" s="232"/>
      <c r="O464" s="232"/>
      <c r="P464" s="232"/>
      <c r="Q464" s="232"/>
      <c r="R464" s="232"/>
      <c r="S464" s="232"/>
      <c r="T464" s="232"/>
      <c r="U464" s="232"/>
      <c r="V464" s="232"/>
      <c r="W464" s="232"/>
      <c r="X464" s="232"/>
      <c r="Y464" s="232"/>
      <c r="Z464" s="232"/>
      <c r="AA464" s="232"/>
      <c r="AB464" s="232"/>
      <c r="AC464" s="232"/>
      <c r="AD464" s="232"/>
      <c r="AE464" s="232"/>
      <c r="AF464" s="232"/>
      <c r="AG464" s="2"/>
    </row>
    <row r="465" spans="1:33" x14ac:dyDescent="0.2">
      <c r="A465" s="2"/>
      <c r="B465" s="2"/>
      <c r="C465" s="2"/>
      <c r="D465" s="232"/>
      <c r="E465" s="232"/>
      <c r="F465" s="232"/>
      <c r="G465" s="232"/>
      <c r="H465" s="232"/>
      <c r="I465" s="232"/>
      <c r="J465" s="232"/>
      <c r="K465" s="232"/>
      <c r="L465" s="232"/>
      <c r="M465" s="232"/>
      <c r="N465" s="232"/>
      <c r="O465" s="232"/>
      <c r="P465" s="232"/>
      <c r="Q465" s="232"/>
      <c r="R465" s="232"/>
      <c r="S465" s="232"/>
      <c r="T465" s="232"/>
      <c r="U465" s="232"/>
      <c r="V465" s="232"/>
      <c r="W465" s="232"/>
      <c r="X465" s="232"/>
      <c r="Y465" s="232"/>
      <c r="Z465" s="232"/>
      <c r="AA465" s="232"/>
      <c r="AB465" s="232"/>
      <c r="AC465" s="232"/>
      <c r="AD465" s="232"/>
      <c r="AE465" s="232"/>
      <c r="AF465" s="232"/>
      <c r="AG465" s="2"/>
    </row>
    <row r="466" spans="1:33" x14ac:dyDescent="0.2">
      <c r="A466" s="2"/>
      <c r="B466" s="2"/>
      <c r="C466" s="2"/>
      <c r="D466" s="14"/>
      <c r="E466" s="14"/>
      <c r="F466" s="14"/>
      <c r="G466" s="14"/>
      <c r="H466" s="14"/>
      <c r="I466" s="14"/>
      <c r="J466" s="14"/>
      <c r="K466" s="14"/>
      <c r="L466" s="14"/>
      <c r="M466" s="14"/>
      <c r="N466" s="14"/>
      <c r="O466" s="14"/>
      <c r="P466" s="14"/>
      <c r="Q466" s="14"/>
      <c r="R466" s="14"/>
      <c r="S466" s="14"/>
      <c r="T466" s="14"/>
      <c r="U466" s="14"/>
      <c r="V466" s="14"/>
      <c r="W466" s="14"/>
      <c r="X466" s="14"/>
      <c r="Y466" s="14"/>
      <c r="Z466" s="14"/>
      <c r="AA466" s="14"/>
      <c r="AB466" s="14"/>
      <c r="AC466" s="14"/>
      <c r="AD466" s="14"/>
      <c r="AE466" s="14"/>
      <c r="AF466" s="14"/>
      <c r="AG466" s="2"/>
    </row>
    <row r="467" spans="1:33"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row>
    <row r="468" spans="1:33"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row>
    <row r="469" spans="1:33"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row>
    <row r="470" spans="1:33"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row>
    <row r="471" spans="1:33"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row>
    <row r="472" spans="1:33"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row>
    <row r="473" spans="1:33"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row>
    <row r="474" spans="1:33"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row>
    <row r="475" spans="1:33"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row>
    <row r="476" spans="1:33"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row>
    <row r="477" spans="1:33"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row>
    <row r="478" spans="1:33"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row>
    <row r="479" spans="1:33" x14ac:dyDescent="0.2">
      <c r="A479" s="2"/>
      <c r="B479" s="2"/>
      <c r="C479" s="2"/>
      <c r="D479" s="2"/>
      <c r="E479" s="2"/>
      <c r="F479" s="21" t="s">
        <v>148</v>
      </c>
      <c r="G479" s="13" t="s">
        <v>332</v>
      </c>
      <c r="H479" s="283">
        <v>4</v>
      </c>
      <c r="I479" s="283"/>
      <c r="J479" s="283"/>
      <c r="K479" s="2"/>
      <c r="L479" s="2"/>
      <c r="N479" s="2" t="s">
        <v>567</v>
      </c>
      <c r="O479" s="2"/>
      <c r="P479" s="2"/>
      <c r="Q479" s="2"/>
      <c r="R479" s="2"/>
      <c r="S479" s="2"/>
      <c r="T479" s="2"/>
      <c r="U479" s="2"/>
      <c r="V479" s="2"/>
      <c r="W479" s="2"/>
      <c r="X479" s="2"/>
      <c r="Y479" s="2"/>
      <c r="Z479" s="2"/>
      <c r="AA479" s="2"/>
      <c r="AB479" s="2"/>
      <c r="AC479" s="2"/>
      <c r="AD479" s="2"/>
      <c r="AE479" s="2"/>
      <c r="AF479" s="2"/>
      <c r="AG479" s="2"/>
    </row>
    <row r="480" spans="1:33" x14ac:dyDescent="0.2">
      <c r="A480" s="2"/>
      <c r="B480" s="2"/>
      <c r="C480" s="2"/>
      <c r="D480" s="2"/>
      <c r="E480" s="2"/>
      <c r="F480" s="21" t="s">
        <v>569</v>
      </c>
      <c r="G480" s="13" t="s">
        <v>332</v>
      </c>
      <c r="H480" s="288">
        <f>H187</f>
        <v>0.219</v>
      </c>
      <c r="I480" s="288"/>
      <c r="J480" s="288"/>
      <c r="K480" s="2" t="s">
        <v>340</v>
      </c>
      <c r="L480" s="2"/>
      <c r="N480" s="2" t="s">
        <v>568</v>
      </c>
      <c r="O480" s="2"/>
      <c r="P480" s="2"/>
      <c r="Q480" s="2"/>
      <c r="R480" s="2"/>
      <c r="S480" s="2"/>
      <c r="T480" s="2"/>
      <c r="U480" s="2"/>
      <c r="V480" s="2"/>
      <c r="W480" s="2"/>
      <c r="X480" s="2"/>
      <c r="Y480" s="2"/>
      <c r="Z480" s="2"/>
      <c r="AA480" s="2"/>
      <c r="AB480" s="2"/>
      <c r="AC480" s="2"/>
      <c r="AD480" s="2"/>
      <c r="AE480" s="2"/>
      <c r="AF480" s="2"/>
      <c r="AG480" s="2"/>
    </row>
    <row r="481" spans="1:33"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row>
    <row r="482" spans="1:33"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row>
    <row r="483" spans="1:33" x14ac:dyDescent="0.2">
      <c r="A483" s="2"/>
      <c r="B483" s="2"/>
      <c r="C483" s="2"/>
      <c r="D483" s="2" t="s">
        <v>893</v>
      </c>
      <c r="E483" s="2"/>
      <c r="F483" s="21"/>
      <c r="G483" s="13"/>
      <c r="H483" s="79"/>
      <c r="I483" s="79"/>
      <c r="J483" s="79"/>
      <c r="K483" s="2"/>
      <c r="L483" s="2"/>
      <c r="N483" s="2"/>
      <c r="O483" s="2"/>
      <c r="P483" s="2"/>
      <c r="Q483" s="2"/>
      <c r="R483" s="2"/>
      <c r="S483" s="2"/>
      <c r="T483" s="2"/>
      <c r="U483" s="2"/>
      <c r="V483" s="2"/>
      <c r="W483" s="2"/>
      <c r="X483" s="2"/>
      <c r="Y483" s="2"/>
      <c r="Z483" s="2"/>
      <c r="AA483" s="2"/>
      <c r="AB483" s="2"/>
      <c r="AC483" s="2"/>
      <c r="AD483" s="2"/>
      <c r="AE483" s="2"/>
      <c r="AF483" s="2"/>
      <c r="AG483" s="2"/>
    </row>
    <row r="484" spans="1:33" x14ac:dyDescent="0.2">
      <c r="A484" s="2"/>
      <c r="B484" s="2"/>
      <c r="C484" s="2"/>
      <c r="D484" s="2"/>
      <c r="E484" s="2"/>
      <c r="F484" s="21"/>
      <c r="G484" s="13"/>
      <c r="H484" s="79"/>
      <c r="I484" s="79"/>
      <c r="J484" s="79"/>
      <c r="K484" s="2"/>
      <c r="L484" s="2"/>
      <c r="N484" s="2"/>
      <c r="O484" s="2"/>
      <c r="P484" s="2"/>
      <c r="Q484" s="2"/>
      <c r="R484" s="2"/>
      <c r="S484" s="2"/>
      <c r="T484" s="2"/>
      <c r="U484" s="2"/>
      <c r="V484" s="2"/>
      <c r="W484" s="2"/>
      <c r="X484" s="2"/>
      <c r="Y484" s="2"/>
      <c r="Z484" s="2"/>
      <c r="AA484" s="2"/>
      <c r="AB484" s="2"/>
      <c r="AC484" s="2"/>
      <c r="AD484" s="2"/>
      <c r="AE484" s="2"/>
      <c r="AF484" s="2"/>
      <c r="AG484" s="2"/>
    </row>
    <row r="485" spans="1:33" ht="15.75" x14ac:dyDescent="0.3">
      <c r="A485" s="2"/>
      <c r="B485" s="2"/>
      <c r="C485" s="2"/>
      <c r="D485" s="2"/>
      <c r="E485" s="2"/>
      <c r="F485" s="21" t="s">
        <v>571</v>
      </c>
      <c r="G485" s="13" t="s">
        <v>332</v>
      </c>
      <c r="H485" s="283">
        <v>19.05</v>
      </c>
      <c r="I485" s="283"/>
      <c r="J485" s="283"/>
      <c r="K485" s="2" t="s">
        <v>337</v>
      </c>
      <c r="L485" s="2"/>
      <c r="M485" s="67" t="s">
        <v>332</v>
      </c>
      <c r="N485" s="284">
        <f>H485/25.4</f>
        <v>0.75000000000000011</v>
      </c>
      <c r="O485" s="284"/>
      <c r="P485" s="284"/>
      <c r="Q485" s="2" t="s">
        <v>895</v>
      </c>
      <c r="R485" s="2"/>
      <c r="S485" s="2"/>
      <c r="T485" s="2"/>
      <c r="U485" s="2"/>
      <c r="V485" s="2"/>
      <c r="W485" s="2"/>
      <c r="X485" s="2"/>
      <c r="Y485" s="2"/>
      <c r="Z485" s="2"/>
      <c r="AA485" s="2"/>
      <c r="AB485" s="2"/>
      <c r="AC485" s="2"/>
      <c r="AD485" s="2"/>
      <c r="AE485" s="2"/>
      <c r="AF485" s="2"/>
      <c r="AG485" s="2"/>
    </row>
    <row r="486" spans="1:33" ht="15.75" x14ac:dyDescent="0.3">
      <c r="A486" s="2"/>
      <c r="B486" s="2"/>
      <c r="C486" s="2"/>
      <c r="D486" s="2"/>
      <c r="E486" s="2"/>
      <c r="F486" s="21" t="s">
        <v>894</v>
      </c>
      <c r="G486" s="13" t="s">
        <v>332</v>
      </c>
      <c r="H486" s="283">
        <v>30</v>
      </c>
      <c r="I486" s="283"/>
      <c r="J486" s="283"/>
      <c r="K486" s="2" t="s">
        <v>557</v>
      </c>
      <c r="L486" s="2"/>
      <c r="M486" s="67" t="s">
        <v>332</v>
      </c>
      <c r="N486" s="283">
        <f>H486*1000/6.894</f>
        <v>4351.610095735422</v>
      </c>
      <c r="O486" s="283"/>
      <c r="P486" s="283"/>
      <c r="Q486" s="2" t="s">
        <v>350</v>
      </c>
      <c r="R486" s="2"/>
      <c r="S486" s="2"/>
      <c r="T486" s="2"/>
      <c r="U486" s="2"/>
      <c r="V486" s="2"/>
      <c r="W486" s="2"/>
      <c r="X486" s="2"/>
      <c r="Y486" s="2"/>
      <c r="Z486" s="2"/>
      <c r="AA486" s="2"/>
      <c r="AB486" s="2"/>
      <c r="AC486" s="2"/>
      <c r="AD486" s="2"/>
      <c r="AE486" s="2"/>
      <c r="AF486" s="2"/>
      <c r="AG486" s="2"/>
    </row>
    <row r="487" spans="1:33"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row>
    <row r="488" spans="1:33" x14ac:dyDescent="0.2">
      <c r="A488" s="2"/>
      <c r="B488" s="2"/>
      <c r="C488" s="2"/>
      <c r="D488" s="2"/>
      <c r="E488" s="2"/>
      <c r="F488" s="2"/>
      <c r="G488" s="21"/>
      <c r="H488" s="13"/>
      <c r="I488" s="79"/>
      <c r="J488" s="79"/>
      <c r="K488" s="79"/>
      <c r="L488" s="2"/>
      <c r="M488" s="2"/>
      <c r="O488" s="2"/>
      <c r="P488" s="2"/>
      <c r="Q488" s="2"/>
      <c r="R488" s="2"/>
      <c r="S488" s="2"/>
      <c r="T488" s="2"/>
      <c r="U488" s="2"/>
      <c r="V488" s="2"/>
      <c r="W488" s="2"/>
      <c r="X488" s="2"/>
      <c r="Y488" s="2"/>
      <c r="Z488" s="2"/>
      <c r="AA488" s="2"/>
      <c r="AB488" s="2"/>
      <c r="AC488" s="2"/>
      <c r="AD488" s="2"/>
      <c r="AE488" s="2"/>
      <c r="AF488" s="2"/>
      <c r="AG488" s="2"/>
    </row>
    <row r="489" spans="1:33" x14ac:dyDescent="0.2">
      <c r="A489" s="2"/>
      <c r="B489" s="2"/>
      <c r="C489" s="2"/>
      <c r="D489" s="2"/>
      <c r="E489" s="2"/>
      <c r="F489" s="2"/>
      <c r="G489" s="21"/>
      <c r="H489" s="13"/>
      <c r="I489" s="79"/>
      <c r="J489" s="79"/>
      <c r="K489" s="79"/>
      <c r="L489" s="2"/>
      <c r="M489" s="2"/>
      <c r="O489" s="2"/>
      <c r="P489" s="2"/>
      <c r="Q489" s="2"/>
      <c r="R489" s="2"/>
      <c r="S489" s="2"/>
      <c r="T489" s="2"/>
      <c r="U489" s="2"/>
      <c r="V489" s="2"/>
      <c r="W489" s="2"/>
      <c r="X489" s="2"/>
      <c r="Y489" s="2"/>
      <c r="Z489" s="2"/>
      <c r="AA489" s="2"/>
      <c r="AB489" s="2"/>
      <c r="AC489" s="2"/>
      <c r="AD489" s="2"/>
      <c r="AE489" s="2"/>
      <c r="AF489" s="2"/>
      <c r="AG489" s="2"/>
    </row>
    <row r="490" spans="1:33" x14ac:dyDescent="0.2">
      <c r="A490" s="2"/>
      <c r="B490" s="2"/>
      <c r="C490" s="2"/>
      <c r="D490" s="2"/>
      <c r="E490" s="2"/>
      <c r="F490" s="2"/>
      <c r="G490" s="21"/>
      <c r="H490" s="13"/>
      <c r="I490" s="79"/>
      <c r="J490" s="79"/>
      <c r="K490" s="79"/>
      <c r="L490" s="2"/>
      <c r="M490" s="2"/>
      <c r="O490" s="2"/>
      <c r="P490" s="2"/>
      <c r="Q490" s="2"/>
      <c r="R490" s="2"/>
      <c r="S490" s="2"/>
      <c r="T490" s="2"/>
      <c r="U490" s="2"/>
      <c r="V490" s="2"/>
      <c r="W490" s="2"/>
      <c r="X490" s="2"/>
      <c r="Y490" s="2"/>
      <c r="Z490" s="2"/>
      <c r="AA490" s="2"/>
      <c r="AB490" s="2"/>
      <c r="AC490" s="2"/>
      <c r="AD490" s="2"/>
      <c r="AE490" s="2"/>
      <c r="AF490" s="2"/>
      <c r="AG490" s="2"/>
    </row>
    <row r="491" spans="1:33" x14ac:dyDescent="0.2">
      <c r="A491" s="2"/>
      <c r="B491" s="2"/>
      <c r="C491" s="2"/>
      <c r="D491" s="2"/>
      <c r="E491" s="2"/>
      <c r="F491" s="2"/>
      <c r="G491" s="21"/>
      <c r="H491" s="13"/>
      <c r="I491" s="79"/>
      <c r="J491" s="79"/>
      <c r="K491" s="79"/>
      <c r="L491" s="2"/>
      <c r="M491" s="2"/>
      <c r="O491" s="2"/>
      <c r="P491" s="2"/>
      <c r="Q491" s="2"/>
      <c r="R491" s="2"/>
      <c r="S491" s="2"/>
      <c r="T491" s="2"/>
      <c r="U491" s="2"/>
      <c r="V491" s="2"/>
      <c r="W491" s="2"/>
      <c r="X491" s="2"/>
      <c r="Y491" s="2"/>
      <c r="Z491" s="2"/>
      <c r="AA491" s="2"/>
      <c r="AB491" s="2"/>
      <c r="AC491" s="2"/>
      <c r="AD491" s="2"/>
      <c r="AE491" s="2"/>
      <c r="AF491" s="2"/>
      <c r="AG491" s="2"/>
    </row>
    <row r="492" spans="1:33" x14ac:dyDescent="0.2">
      <c r="A492" s="2"/>
      <c r="B492" s="2"/>
      <c r="C492" s="2"/>
      <c r="D492" s="2"/>
      <c r="E492" s="2"/>
      <c r="F492" s="2"/>
      <c r="G492" s="21"/>
      <c r="H492" s="13"/>
      <c r="I492" s="79"/>
      <c r="J492" s="79"/>
      <c r="K492" s="79"/>
      <c r="L492" s="2"/>
      <c r="M492" s="2"/>
      <c r="O492" s="2"/>
      <c r="P492" s="2"/>
      <c r="Q492" s="2"/>
      <c r="R492" s="2"/>
      <c r="S492" s="2"/>
      <c r="T492" s="2"/>
      <c r="U492" s="2"/>
      <c r="V492" s="2"/>
      <c r="W492" s="2"/>
      <c r="X492" s="2"/>
      <c r="Y492" s="2"/>
      <c r="Z492" s="2"/>
      <c r="AA492" s="2"/>
      <c r="AB492" s="2"/>
      <c r="AC492" s="2"/>
      <c r="AD492" s="2"/>
      <c r="AE492" s="2"/>
      <c r="AF492" s="2"/>
      <c r="AG492" s="2"/>
    </row>
    <row r="493" spans="1:33" x14ac:dyDescent="0.2">
      <c r="A493" s="2"/>
      <c r="B493" s="2"/>
      <c r="C493" s="2"/>
      <c r="D493" s="2"/>
      <c r="E493" s="16" t="s">
        <v>896</v>
      </c>
      <c r="F493" s="2"/>
      <c r="G493" s="21"/>
      <c r="H493" s="13"/>
      <c r="I493" s="79"/>
      <c r="J493" s="79"/>
      <c r="K493" s="79"/>
      <c r="L493" s="2"/>
      <c r="M493" s="2"/>
      <c r="O493" s="2"/>
      <c r="P493" s="2"/>
      <c r="Q493" s="2"/>
      <c r="R493" s="2"/>
      <c r="S493" s="2"/>
      <c r="T493" s="2"/>
      <c r="U493" s="2"/>
      <c r="V493" s="2"/>
      <c r="W493" s="2"/>
      <c r="X493" s="2"/>
      <c r="Y493" s="2"/>
      <c r="Z493" s="2"/>
      <c r="AA493" s="2"/>
      <c r="AB493" s="2"/>
      <c r="AC493" s="2"/>
      <c r="AD493" s="2"/>
      <c r="AE493" s="2"/>
      <c r="AF493" s="2"/>
      <c r="AG493" s="2"/>
    </row>
    <row r="494" spans="1:33" x14ac:dyDescent="0.2">
      <c r="A494" s="2"/>
      <c r="B494" s="2"/>
      <c r="C494" s="2"/>
      <c r="D494" s="2"/>
      <c r="E494" s="2"/>
      <c r="F494" s="2"/>
      <c r="G494" s="21"/>
      <c r="H494" s="13"/>
      <c r="I494" s="79"/>
      <c r="J494" s="79"/>
      <c r="K494" s="79"/>
      <c r="L494" s="2"/>
      <c r="M494" s="2"/>
      <c r="O494" s="2"/>
      <c r="P494" s="2"/>
      <c r="Q494" s="2"/>
      <c r="R494" s="2"/>
      <c r="S494" s="2"/>
      <c r="T494" s="2"/>
      <c r="U494" s="2"/>
      <c r="V494" s="2"/>
      <c r="W494" s="2"/>
      <c r="X494" s="2"/>
      <c r="Y494" s="2"/>
      <c r="Z494" s="2"/>
      <c r="AA494" s="2"/>
      <c r="AB494" s="2"/>
      <c r="AC494" s="2"/>
      <c r="AD494" s="2"/>
      <c r="AE494" s="2"/>
      <c r="AF494" s="2"/>
      <c r="AG494" s="2"/>
    </row>
    <row r="495" spans="1:33" x14ac:dyDescent="0.2">
      <c r="A495" s="2"/>
      <c r="B495" s="2"/>
      <c r="C495" s="2"/>
      <c r="D495" s="2"/>
      <c r="E495" s="2"/>
      <c r="F495" s="2"/>
      <c r="G495" s="21"/>
      <c r="H495" s="13"/>
      <c r="I495" s="79"/>
      <c r="J495" s="79"/>
      <c r="K495" s="79"/>
      <c r="L495" s="2"/>
      <c r="M495" s="2"/>
      <c r="O495" s="2"/>
      <c r="P495" s="2"/>
      <c r="Q495" s="2"/>
      <c r="R495" s="2"/>
      <c r="S495" s="2"/>
      <c r="T495" s="2"/>
      <c r="U495" s="2"/>
      <c r="V495" s="2"/>
      <c r="W495" s="2"/>
      <c r="X495" s="2"/>
      <c r="Y495" s="2"/>
      <c r="Z495" s="2"/>
      <c r="AA495" s="2"/>
      <c r="AB495" s="2"/>
      <c r="AC495" s="2"/>
      <c r="AD495" s="2"/>
      <c r="AE495" s="2"/>
      <c r="AF495" s="2"/>
      <c r="AG495" s="2"/>
    </row>
    <row r="496" spans="1:33" x14ac:dyDescent="0.2">
      <c r="A496" s="2"/>
      <c r="B496" s="2"/>
      <c r="C496" s="2"/>
      <c r="D496" s="2"/>
      <c r="E496" s="2"/>
      <c r="F496" s="2"/>
      <c r="G496" s="21"/>
      <c r="H496" s="13"/>
      <c r="I496" s="79"/>
      <c r="J496" s="79"/>
      <c r="K496" s="79"/>
      <c r="L496" s="2"/>
      <c r="M496" s="2"/>
      <c r="O496" s="2"/>
      <c r="P496" s="2"/>
      <c r="Q496" s="2"/>
      <c r="R496" s="2"/>
      <c r="S496" s="2"/>
      <c r="T496" s="2"/>
      <c r="U496" s="2"/>
      <c r="V496" s="2"/>
      <c r="W496" s="2"/>
      <c r="X496" s="2"/>
      <c r="Y496" s="2"/>
      <c r="Z496" s="2"/>
      <c r="AA496" s="2"/>
      <c r="AB496" s="2"/>
      <c r="AC496" s="2"/>
      <c r="AD496" s="2"/>
      <c r="AE496" s="2"/>
      <c r="AF496" s="2"/>
      <c r="AG496" s="2"/>
    </row>
    <row r="497" spans="1:33" x14ac:dyDescent="0.2">
      <c r="A497" s="2"/>
      <c r="B497" s="2"/>
      <c r="C497" s="2"/>
      <c r="D497" s="2"/>
      <c r="E497" s="2"/>
      <c r="F497" s="2"/>
      <c r="G497" s="21"/>
      <c r="H497" s="13"/>
      <c r="I497" s="79"/>
      <c r="J497" s="79"/>
      <c r="K497" s="79"/>
      <c r="L497" s="2"/>
      <c r="M497" s="2"/>
      <c r="O497" s="2"/>
      <c r="P497" s="2"/>
      <c r="Q497" s="2"/>
      <c r="R497" s="2"/>
      <c r="S497" s="2"/>
      <c r="T497" s="2"/>
      <c r="U497" s="2"/>
      <c r="V497" s="2"/>
      <c r="W497" s="2"/>
      <c r="X497" s="2"/>
      <c r="Y497" s="2"/>
      <c r="Z497" s="2"/>
      <c r="AA497" s="2"/>
      <c r="AB497" s="2"/>
      <c r="AC497" s="2"/>
      <c r="AD497" s="2"/>
      <c r="AE497" s="2"/>
      <c r="AF497" s="2"/>
      <c r="AG497" s="2"/>
    </row>
    <row r="498" spans="1:33" x14ac:dyDescent="0.2">
      <c r="A498" s="2"/>
      <c r="B498" s="2"/>
      <c r="C498" s="2"/>
      <c r="D498" s="2"/>
      <c r="E498" s="2"/>
      <c r="F498" s="2"/>
      <c r="G498" s="21"/>
      <c r="H498" s="13"/>
      <c r="I498" s="79"/>
      <c r="J498" s="79"/>
      <c r="K498" s="79"/>
      <c r="L498" s="2"/>
      <c r="M498" s="2"/>
      <c r="O498" s="2"/>
      <c r="P498" s="2"/>
      <c r="Q498" s="2"/>
      <c r="R498" s="2"/>
      <c r="S498" s="2"/>
      <c r="T498" s="2"/>
      <c r="U498" s="2"/>
      <c r="V498" s="2"/>
      <c r="W498" s="2"/>
      <c r="X498" s="2"/>
      <c r="Y498" s="2"/>
      <c r="Z498" s="2"/>
      <c r="AA498" s="2"/>
      <c r="AB498" s="2"/>
      <c r="AC498" s="2"/>
      <c r="AD498" s="2"/>
      <c r="AE498" s="2"/>
      <c r="AF498" s="2"/>
      <c r="AG498" s="2"/>
    </row>
    <row r="499" spans="1:33" x14ac:dyDescent="0.2">
      <c r="A499" s="2"/>
      <c r="B499" s="2"/>
      <c r="C499" s="2"/>
      <c r="D499" s="2"/>
      <c r="E499" s="2"/>
      <c r="F499" s="2"/>
      <c r="G499" s="21"/>
      <c r="H499" s="13"/>
      <c r="I499" s="79"/>
      <c r="J499" s="79"/>
      <c r="K499" s="79"/>
      <c r="L499" s="2"/>
      <c r="M499" s="2"/>
      <c r="O499" s="2"/>
      <c r="P499" s="2"/>
      <c r="Q499" s="2"/>
      <c r="R499" s="2"/>
      <c r="S499" s="2"/>
      <c r="T499" s="2"/>
      <c r="U499" s="2"/>
      <c r="V499" s="2"/>
      <c r="W499" s="2"/>
      <c r="X499" s="2"/>
      <c r="Y499" s="2"/>
      <c r="Z499" s="2"/>
      <c r="AA499" s="2"/>
      <c r="AB499" s="2"/>
      <c r="AC499" s="2"/>
      <c r="AD499" s="2"/>
      <c r="AE499" s="2"/>
      <c r="AF499" s="2"/>
      <c r="AG499" s="2"/>
    </row>
    <row r="500" spans="1:33" x14ac:dyDescent="0.2">
      <c r="A500" s="2"/>
      <c r="B500" s="2"/>
      <c r="C500" s="2"/>
      <c r="D500" s="2"/>
      <c r="E500" s="2"/>
      <c r="F500" s="2"/>
      <c r="G500" s="21"/>
      <c r="H500" s="13"/>
      <c r="I500" s="79"/>
      <c r="J500" s="79"/>
      <c r="K500" s="79"/>
      <c r="L500" s="2"/>
      <c r="M500" s="2"/>
      <c r="O500" s="2"/>
      <c r="P500" s="2"/>
      <c r="Q500" s="2"/>
      <c r="R500" s="2"/>
      <c r="S500" s="2"/>
      <c r="T500" s="2"/>
      <c r="U500" s="2"/>
      <c r="V500" s="2"/>
      <c r="W500" s="2"/>
      <c r="X500" s="2"/>
      <c r="Y500" s="2"/>
      <c r="Z500" s="2"/>
      <c r="AA500" s="2"/>
      <c r="AB500" s="2"/>
      <c r="AC500" s="2"/>
      <c r="AD500" s="2"/>
      <c r="AE500" s="2"/>
      <c r="AF500" s="2"/>
      <c r="AG500" s="2"/>
    </row>
    <row r="501" spans="1:33" x14ac:dyDescent="0.2">
      <c r="A501" s="2"/>
      <c r="B501" s="2"/>
      <c r="C501" s="2"/>
      <c r="D501" s="2"/>
      <c r="E501" s="2"/>
      <c r="F501" s="2"/>
      <c r="G501" s="21"/>
      <c r="H501" s="13"/>
      <c r="I501" s="79"/>
      <c r="J501" s="79"/>
      <c r="K501" s="79"/>
      <c r="L501" s="2"/>
      <c r="M501" s="2"/>
      <c r="O501" s="2"/>
      <c r="P501" s="2"/>
      <c r="Q501" s="2"/>
      <c r="R501" s="2"/>
      <c r="S501" s="2"/>
      <c r="T501" s="2"/>
      <c r="U501" s="2"/>
      <c r="V501" s="2"/>
      <c r="W501" s="2"/>
      <c r="X501" s="2"/>
      <c r="Y501" s="2"/>
      <c r="Z501" s="2"/>
      <c r="AA501" s="2"/>
      <c r="AB501" s="2"/>
      <c r="AC501" s="2"/>
      <c r="AD501" s="2"/>
      <c r="AE501" s="2"/>
      <c r="AF501" s="2"/>
      <c r="AG501" s="2"/>
    </row>
    <row r="502" spans="1:33" x14ac:dyDescent="0.2">
      <c r="A502" s="2"/>
      <c r="B502" s="2"/>
      <c r="C502" s="2"/>
      <c r="D502" s="2"/>
      <c r="E502" s="2"/>
      <c r="F502" s="2"/>
      <c r="G502" s="21"/>
      <c r="H502" s="13"/>
      <c r="I502" s="79"/>
      <c r="J502" s="79"/>
      <c r="K502" s="79"/>
      <c r="L502" s="2"/>
      <c r="M502" s="2"/>
      <c r="O502" s="2"/>
      <c r="P502" s="2"/>
      <c r="Q502" s="2"/>
      <c r="R502" s="2"/>
      <c r="S502" s="2"/>
      <c r="T502" s="2"/>
      <c r="U502" s="2"/>
      <c r="V502" s="2"/>
      <c r="W502" s="2"/>
      <c r="X502" s="2"/>
      <c r="Y502" s="2"/>
      <c r="Z502" s="2"/>
      <c r="AA502" s="2"/>
      <c r="AB502" s="2"/>
      <c r="AC502" s="2"/>
      <c r="AD502" s="2"/>
      <c r="AE502" s="2"/>
      <c r="AF502" s="2"/>
      <c r="AG502" s="2"/>
    </row>
    <row r="503" spans="1:33" x14ac:dyDescent="0.2">
      <c r="A503" s="2"/>
      <c r="B503" s="2"/>
      <c r="C503" s="2"/>
      <c r="D503" s="2"/>
      <c r="E503" s="2"/>
      <c r="F503" s="2"/>
      <c r="G503" s="21"/>
      <c r="H503" s="13"/>
      <c r="I503" s="79"/>
      <c r="J503" s="79"/>
      <c r="K503" s="79"/>
      <c r="L503" s="2"/>
      <c r="M503" s="2"/>
      <c r="O503" s="2"/>
      <c r="P503" s="2"/>
      <c r="Q503" s="2"/>
      <c r="R503" s="2"/>
      <c r="S503" s="2"/>
      <c r="T503" s="2"/>
      <c r="U503" s="2"/>
      <c r="V503" s="2"/>
      <c r="W503" s="2"/>
      <c r="X503" s="2"/>
      <c r="Y503" s="2"/>
      <c r="Z503" s="2"/>
      <c r="AA503" s="2"/>
      <c r="AB503" s="2"/>
      <c r="AC503" s="2"/>
      <c r="AD503" s="2"/>
      <c r="AE503" s="2"/>
      <c r="AF503" s="2"/>
      <c r="AG503" s="2"/>
    </row>
    <row r="504" spans="1:33" x14ac:dyDescent="0.2">
      <c r="A504" s="2"/>
      <c r="B504" s="2"/>
      <c r="C504" s="2"/>
      <c r="D504" s="2"/>
      <c r="E504" s="2"/>
      <c r="F504" s="2"/>
      <c r="G504" s="21"/>
      <c r="H504" s="13"/>
      <c r="I504" s="79"/>
      <c r="J504" s="79"/>
      <c r="K504" s="79"/>
      <c r="L504" s="2"/>
      <c r="M504" s="2"/>
      <c r="O504" s="2"/>
      <c r="P504" s="2"/>
      <c r="Q504" s="2"/>
      <c r="R504" s="2"/>
      <c r="S504" s="2"/>
      <c r="T504" s="2"/>
      <c r="U504" s="2"/>
      <c r="V504" s="2"/>
      <c r="W504" s="2"/>
      <c r="X504" s="2"/>
      <c r="Y504" s="2"/>
      <c r="Z504" s="2"/>
      <c r="AA504" s="2"/>
      <c r="AB504" s="2"/>
      <c r="AC504" s="2"/>
      <c r="AD504" s="2"/>
      <c r="AE504" s="2"/>
      <c r="AF504" s="2"/>
      <c r="AG504" s="2"/>
    </row>
    <row r="505" spans="1:33" x14ac:dyDescent="0.2">
      <c r="A505" s="2"/>
      <c r="B505" s="2"/>
      <c r="C505" s="2"/>
      <c r="D505" s="2"/>
      <c r="E505" s="2"/>
      <c r="F505" s="2"/>
      <c r="G505" s="21"/>
      <c r="H505" s="13"/>
      <c r="I505" s="79"/>
      <c r="J505" s="79"/>
      <c r="K505" s="79"/>
      <c r="L505" s="2"/>
      <c r="M505" s="2"/>
      <c r="O505" s="2"/>
      <c r="P505" s="2"/>
      <c r="Q505" s="2"/>
      <c r="R505" s="2"/>
      <c r="S505" s="2"/>
      <c r="T505" s="2"/>
      <c r="U505" s="2"/>
      <c r="V505" s="2"/>
      <c r="W505" s="2"/>
      <c r="X505" s="2"/>
      <c r="Y505" s="2"/>
      <c r="Z505" s="2"/>
      <c r="AA505" s="2"/>
      <c r="AB505" s="2"/>
      <c r="AC505" s="2"/>
      <c r="AD505" s="2"/>
      <c r="AE505" s="2"/>
      <c r="AF505" s="2"/>
      <c r="AG505" s="2"/>
    </row>
    <row r="506" spans="1:33" x14ac:dyDescent="0.2">
      <c r="A506" s="2"/>
      <c r="B506" s="2"/>
      <c r="C506" s="2"/>
      <c r="D506" s="2"/>
      <c r="E506" s="2"/>
      <c r="F506" s="2"/>
      <c r="G506" s="21"/>
      <c r="H506" s="13"/>
      <c r="I506" s="79"/>
      <c r="J506" s="79"/>
      <c r="K506" s="79"/>
      <c r="L506" s="2"/>
      <c r="M506" s="2"/>
      <c r="O506" s="2"/>
      <c r="P506" s="2"/>
      <c r="Q506" s="2"/>
      <c r="R506" s="2"/>
      <c r="S506" s="2"/>
      <c r="T506" s="2"/>
      <c r="U506" s="2"/>
      <c r="V506" s="2"/>
      <c r="W506" s="2"/>
      <c r="X506" s="2"/>
      <c r="Y506" s="2"/>
      <c r="Z506" s="2"/>
      <c r="AA506" s="2"/>
      <c r="AB506" s="2"/>
      <c r="AC506" s="2"/>
      <c r="AD506" s="2"/>
      <c r="AE506" s="2"/>
      <c r="AF506" s="2"/>
      <c r="AG506" s="2"/>
    </row>
    <row r="507" spans="1:33" ht="15.75" x14ac:dyDescent="0.3">
      <c r="A507" s="2"/>
      <c r="B507" s="2"/>
      <c r="C507" s="2"/>
      <c r="D507" s="2"/>
      <c r="E507" s="2"/>
      <c r="F507" s="2"/>
      <c r="G507" s="21" t="s">
        <v>898</v>
      </c>
      <c r="H507" s="13" t="s">
        <v>332</v>
      </c>
      <c r="I507" s="283">
        <v>26</v>
      </c>
      <c r="J507" s="283"/>
      <c r="K507" s="283"/>
      <c r="L507" s="2" t="s">
        <v>895</v>
      </c>
      <c r="M507" s="2"/>
      <c r="N507" s="67" t="s">
        <v>332</v>
      </c>
      <c r="O507" s="283">
        <f>I507*25.4</f>
        <v>660.4</v>
      </c>
      <c r="P507" s="283"/>
      <c r="Q507" s="283"/>
      <c r="R507" s="2" t="s">
        <v>337</v>
      </c>
      <c r="S507" s="2"/>
      <c r="T507" s="2"/>
      <c r="U507" s="2"/>
      <c r="V507" s="2"/>
      <c r="W507" s="2"/>
      <c r="X507" s="2"/>
      <c r="Y507" s="2"/>
      <c r="Z507" s="2"/>
      <c r="AA507" s="2"/>
      <c r="AB507" s="2"/>
      <c r="AC507" s="2"/>
      <c r="AD507" s="2"/>
      <c r="AE507" s="2"/>
      <c r="AF507" s="2"/>
      <c r="AG507" s="2"/>
    </row>
    <row r="508" spans="1:33" x14ac:dyDescent="0.2">
      <c r="A508" s="2"/>
      <c r="B508" s="2"/>
      <c r="C508" s="2"/>
      <c r="D508" s="2"/>
      <c r="E508" s="2"/>
      <c r="F508" s="2"/>
      <c r="G508" s="21"/>
      <c r="H508" s="13"/>
      <c r="I508" s="78"/>
      <c r="J508" s="78"/>
      <c r="K508" s="78"/>
      <c r="L508" s="2"/>
      <c r="M508" s="2"/>
      <c r="N508" s="67"/>
      <c r="O508" s="78"/>
      <c r="P508" s="78"/>
      <c r="Q508" s="78"/>
      <c r="R508" s="2"/>
      <c r="S508" s="2"/>
      <c r="T508" s="2"/>
      <c r="U508" s="2"/>
      <c r="V508" s="2"/>
      <c r="W508" s="2"/>
      <c r="X508" s="2"/>
      <c r="Y508" s="2"/>
      <c r="Z508" s="2"/>
      <c r="AA508" s="2"/>
      <c r="AB508" s="2"/>
      <c r="AC508" s="2"/>
      <c r="AD508" s="2"/>
      <c r="AE508" s="2"/>
      <c r="AF508" s="2"/>
      <c r="AG508" s="2"/>
    </row>
    <row r="509" spans="1:33" ht="15.75" x14ac:dyDescent="0.3">
      <c r="A509" s="2"/>
      <c r="B509" s="2"/>
      <c r="C509" s="2"/>
      <c r="D509" s="2"/>
      <c r="E509" s="2"/>
      <c r="F509" s="2"/>
      <c r="G509" s="21" t="s">
        <v>899</v>
      </c>
      <c r="H509" s="13" t="s">
        <v>332</v>
      </c>
      <c r="I509" s="283">
        <v>650</v>
      </c>
      <c r="J509" s="283"/>
      <c r="K509" s="283"/>
      <c r="L509" s="2" t="s">
        <v>337</v>
      </c>
      <c r="M509" s="2"/>
      <c r="N509" s="67"/>
      <c r="O509" s="78"/>
      <c r="P509" s="78"/>
      <c r="Q509" s="78"/>
      <c r="R509" s="2"/>
      <c r="S509" s="2"/>
      <c r="T509" s="2"/>
      <c r="U509" s="2"/>
      <c r="V509" s="2"/>
      <c r="W509" s="2"/>
      <c r="X509" s="2"/>
      <c r="Y509" s="2"/>
      <c r="Z509" s="2"/>
      <c r="AA509" s="2"/>
      <c r="AB509" s="2"/>
      <c r="AC509" s="2"/>
      <c r="AD509" s="2"/>
      <c r="AE509" s="2"/>
      <c r="AF509" s="2"/>
      <c r="AG509" s="2"/>
    </row>
    <row r="510" spans="1:33" x14ac:dyDescent="0.2">
      <c r="A510" s="2"/>
      <c r="B510" s="2"/>
      <c r="C510" s="2"/>
      <c r="D510" s="2"/>
      <c r="E510" s="2"/>
      <c r="F510" s="2"/>
      <c r="G510" s="21"/>
      <c r="H510" s="13"/>
      <c r="I510" s="78"/>
      <c r="J510" s="78"/>
      <c r="K510" s="78"/>
      <c r="L510" s="2"/>
      <c r="M510" s="2"/>
      <c r="N510" s="67"/>
      <c r="O510" s="78"/>
      <c r="P510" s="78"/>
      <c r="Q510" s="78"/>
      <c r="R510" s="2"/>
      <c r="S510" s="2"/>
      <c r="T510" s="2"/>
      <c r="U510" s="2"/>
      <c r="V510" s="2"/>
      <c r="W510" s="2"/>
      <c r="X510" s="2"/>
      <c r="Y510" s="2"/>
      <c r="Z510" s="2"/>
      <c r="AA510" s="2"/>
      <c r="AB510" s="2"/>
      <c r="AC510" s="2"/>
      <c r="AD510" s="2"/>
      <c r="AE510" s="2"/>
      <c r="AF510" s="2"/>
      <c r="AG510" s="2"/>
    </row>
    <row r="511" spans="1:33" ht="15.75" x14ac:dyDescent="0.3">
      <c r="A511" s="2"/>
      <c r="B511" s="2"/>
      <c r="C511" s="2"/>
      <c r="D511" s="2"/>
      <c r="E511" s="2" t="s">
        <v>897</v>
      </c>
      <c r="F511" s="2"/>
      <c r="G511" s="21"/>
      <c r="H511" s="13"/>
      <c r="I511" s="79"/>
      <c r="J511" s="79"/>
      <c r="K511" s="79"/>
      <c r="L511" s="2"/>
      <c r="M511" s="2"/>
      <c r="O511" s="2"/>
      <c r="P511" s="2"/>
      <c r="Q511" s="2"/>
      <c r="R511" s="2"/>
      <c r="S511" s="2"/>
      <c r="T511" s="2"/>
      <c r="U511" s="2"/>
      <c r="V511" s="2"/>
      <c r="W511" s="2"/>
      <c r="X511" s="2"/>
      <c r="Y511" s="2"/>
      <c r="Z511" s="2"/>
      <c r="AA511" s="2"/>
      <c r="AB511" s="2"/>
      <c r="AC511" s="2"/>
      <c r="AD511" s="2"/>
      <c r="AE511" s="2"/>
      <c r="AF511" s="2"/>
      <c r="AG511" s="2"/>
    </row>
    <row r="512" spans="1:33" x14ac:dyDescent="0.2">
      <c r="A512" s="2"/>
      <c r="B512" s="2"/>
      <c r="C512" s="2"/>
      <c r="D512" s="2"/>
      <c r="E512" s="2"/>
      <c r="F512" s="2"/>
      <c r="G512" s="21"/>
      <c r="H512" s="13"/>
      <c r="I512" s="79"/>
      <c r="J512" s="79"/>
      <c r="K512" s="79"/>
      <c r="L512" s="2"/>
      <c r="M512" s="2"/>
      <c r="O512" s="2"/>
      <c r="P512" s="2"/>
      <c r="Q512" s="2"/>
      <c r="R512" s="2"/>
      <c r="S512" s="2"/>
      <c r="T512" s="2"/>
      <c r="U512" s="2"/>
      <c r="V512" s="2"/>
      <c r="W512" s="2"/>
      <c r="X512" s="2"/>
      <c r="Y512" s="2"/>
      <c r="Z512" s="2"/>
      <c r="AA512" s="2"/>
      <c r="AB512" s="2"/>
      <c r="AC512" s="2"/>
      <c r="AD512" s="2"/>
      <c r="AE512" s="2"/>
      <c r="AF512" s="2"/>
      <c r="AG512" s="2"/>
    </row>
    <row r="513" spans="1:33" x14ac:dyDescent="0.2">
      <c r="A513" s="2"/>
      <c r="B513" s="2"/>
      <c r="C513" s="2"/>
      <c r="D513" s="2"/>
      <c r="E513" s="2"/>
      <c r="F513" s="2"/>
      <c r="G513" s="21"/>
      <c r="H513" s="13"/>
      <c r="I513" s="79"/>
      <c r="J513" s="79"/>
      <c r="K513" s="79"/>
      <c r="L513" s="2"/>
      <c r="M513" s="2"/>
      <c r="O513" s="2"/>
      <c r="P513" s="2"/>
      <c r="Q513" s="2"/>
      <c r="R513" s="2"/>
      <c r="S513" s="2"/>
      <c r="T513" s="2"/>
      <c r="U513" s="2"/>
      <c r="V513" s="2"/>
      <c r="W513" s="2"/>
      <c r="X513" s="2"/>
      <c r="Y513" s="2"/>
      <c r="Z513" s="2"/>
      <c r="AA513" s="2"/>
      <c r="AB513" s="2"/>
      <c r="AC513" s="2"/>
      <c r="AD513" s="2"/>
      <c r="AE513" s="2"/>
      <c r="AF513" s="2"/>
      <c r="AG513" s="2"/>
    </row>
    <row r="514" spans="1:33" x14ac:dyDescent="0.2">
      <c r="A514" s="2"/>
      <c r="B514" s="2"/>
      <c r="C514" s="2"/>
      <c r="D514" s="2"/>
      <c r="E514" s="2"/>
      <c r="F514" s="2"/>
      <c r="G514" s="21"/>
      <c r="H514" s="13"/>
      <c r="I514" s="79"/>
      <c r="J514" s="79"/>
      <c r="K514" s="79"/>
      <c r="L514" s="2"/>
      <c r="M514" s="2"/>
      <c r="O514" s="2"/>
      <c r="P514" s="2"/>
      <c r="Q514" s="2"/>
      <c r="R514" s="2"/>
      <c r="S514" s="2"/>
      <c r="T514" s="2"/>
      <c r="U514" s="2"/>
      <c r="V514" s="2"/>
      <c r="W514" s="2"/>
      <c r="X514" s="2"/>
      <c r="Y514" s="2"/>
      <c r="Z514" s="2"/>
      <c r="AA514" s="2"/>
      <c r="AB514" s="2"/>
      <c r="AC514" s="2"/>
      <c r="AD514" s="2"/>
      <c r="AE514" s="2"/>
      <c r="AF514" s="2"/>
      <c r="AG514" s="2"/>
    </row>
    <row r="515" spans="1:33" x14ac:dyDescent="0.2">
      <c r="A515" s="2"/>
      <c r="B515" s="2"/>
      <c r="C515" s="2"/>
      <c r="D515" s="2"/>
      <c r="E515" s="16" t="s">
        <v>900</v>
      </c>
      <c r="F515" s="2"/>
      <c r="G515" s="21"/>
      <c r="H515" s="13"/>
      <c r="I515" s="79"/>
      <c r="J515" s="79"/>
      <c r="K515" s="79"/>
      <c r="L515" s="2"/>
      <c r="M515" s="2"/>
      <c r="O515" s="2"/>
      <c r="P515" s="2"/>
      <c r="Q515" s="2"/>
      <c r="R515" s="2"/>
      <c r="S515" s="2"/>
      <c r="T515" s="2"/>
      <c r="U515" s="2"/>
      <c r="V515" s="2"/>
      <c r="W515" s="2"/>
      <c r="X515" s="2"/>
      <c r="Y515" s="2"/>
      <c r="Z515" s="2"/>
      <c r="AA515" s="2"/>
      <c r="AB515" s="2"/>
      <c r="AC515" s="2"/>
      <c r="AD515" s="2"/>
      <c r="AE515" s="2"/>
      <c r="AF515" s="2"/>
      <c r="AG515" s="2"/>
    </row>
    <row r="516" spans="1:33" x14ac:dyDescent="0.2">
      <c r="A516" s="2"/>
      <c r="B516" s="2"/>
      <c r="C516" s="2"/>
      <c r="D516" s="2"/>
      <c r="E516" s="2" t="s">
        <v>901</v>
      </c>
      <c r="F516" s="2"/>
      <c r="G516" s="21"/>
      <c r="H516" s="13"/>
      <c r="I516" s="79"/>
      <c r="J516" s="79"/>
      <c r="K516" s="79"/>
      <c r="L516" s="2"/>
      <c r="M516" s="2"/>
      <c r="O516" s="2"/>
      <c r="P516" s="2"/>
      <c r="Q516" s="2"/>
      <c r="R516" s="2"/>
      <c r="S516" s="2"/>
      <c r="T516" s="2"/>
      <c r="U516" s="2"/>
      <c r="V516" s="2"/>
      <c r="W516" s="2"/>
      <c r="X516" s="2"/>
      <c r="Y516" s="2"/>
      <c r="Z516" s="2"/>
      <c r="AA516" s="2"/>
      <c r="AB516" s="2"/>
      <c r="AC516" s="2"/>
      <c r="AD516" s="2"/>
      <c r="AE516" s="2"/>
      <c r="AF516" s="2"/>
      <c r="AG516" s="2"/>
    </row>
    <row r="517" spans="1:33" x14ac:dyDescent="0.2">
      <c r="A517" s="2"/>
      <c r="B517" s="2"/>
      <c r="C517" s="2"/>
      <c r="D517" s="2"/>
      <c r="E517" s="2"/>
      <c r="F517" s="2"/>
      <c r="G517" s="21"/>
      <c r="H517" s="13"/>
      <c r="I517" s="79"/>
      <c r="J517" s="79"/>
      <c r="K517" s="79"/>
      <c r="L517" s="2"/>
      <c r="M517" s="2"/>
      <c r="O517" s="2"/>
      <c r="P517" s="2"/>
      <c r="Q517" s="2"/>
      <c r="R517" s="2"/>
      <c r="S517" s="2"/>
      <c r="T517" s="2"/>
      <c r="U517" s="2"/>
      <c r="V517" s="2"/>
      <c r="W517" s="2"/>
      <c r="X517" s="2"/>
      <c r="Y517" s="2"/>
      <c r="Z517" s="2"/>
      <c r="AA517" s="2"/>
      <c r="AB517" s="2"/>
      <c r="AC517" s="2"/>
      <c r="AD517" s="2"/>
      <c r="AE517" s="2"/>
      <c r="AF517" s="2"/>
      <c r="AG517" s="2"/>
    </row>
    <row r="518" spans="1:33" x14ac:dyDescent="0.2">
      <c r="A518" s="2"/>
      <c r="B518" s="2"/>
      <c r="C518" s="2"/>
      <c r="D518" s="2"/>
      <c r="E518" s="2"/>
      <c r="F518" s="2"/>
      <c r="G518" s="21"/>
      <c r="H518" s="13"/>
      <c r="I518" s="79"/>
      <c r="J518" s="79"/>
      <c r="K518" s="79"/>
      <c r="L518" s="2"/>
      <c r="M518" s="2"/>
      <c r="O518" s="2"/>
      <c r="P518" s="2"/>
      <c r="Q518" s="2"/>
      <c r="R518" s="2"/>
      <c r="S518" s="2"/>
      <c r="T518" s="2"/>
      <c r="U518" s="2"/>
      <c r="V518" s="2"/>
      <c r="W518" s="2"/>
      <c r="X518" s="2"/>
      <c r="Y518" s="2"/>
      <c r="Z518" s="2"/>
      <c r="AA518" s="2"/>
      <c r="AB518" s="2"/>
      <c r="AC518" s="2"/>
      <c r="AD518" s="2"/>
      <c r="AE518" s="2"/>
      <c r="AF518" s="2"/>
      <c r="AG518" s="2"/>
    </row>
    <row r="519" spans="1:33" x14ac:dyDescent="0.2">
      <c r="A519" s="2"/>
      <c r="B519" s="2"/>
      <c r="C519" s="2"/>
      <c r="D519" s="2"/>
      <c r="E519" s="2"/>
      <c r="F519" s="2"/>
      <c r="G519" s="21"/>
      <c r="H519" s="13"/>
      <c r="I519" s="79"/>
      <c r="J519" s="79"/>
      <c r="K519" s="79"/>
      <c r="L519" s="2"/>
      <c r="M519" s="2"/>
      <c r="O519" s="2"/>
      <c r="P519" s="2"/>
      <c r="Q519" s="2"/>
      <c r="R519" s="2"/>
      <c r="S519" s="2"/>
      <c r="T519" s="2"/>
      <c r="U519" s="2"/>
      <c r="V519" s="2"/>
      <c r="W519" s="2"/>
      <c r="X519" s="2"/>
      <c r="Y519" s="2"/>
      <c r="Z519" s="2"/>
      <c r="AA519" s="2"/>
      <c r="AB519" s="2"/>
      <c r="AC519" s="2"/>
      <c r="AD519" s="2"/>
      <c r="AE519" s="2"/>
      <c r="AF519" s="2"/>
      <c r="AG519" s="2"/>
    </row>
    <row r="520" spans="1:33" x14ac:dyDescent="0.2">
      <c r="A520" s="2"/>
      <c r="B520" s="2"/>
      <c r="C520" s="2"/>
      <c r="D520" s="2"/>
      <c r="E520" s="2"/>
      <c r="F520" s="2"/>
      <c r="G520" s="21"/>
      <c r="H520" s="13"/>
      <c r="I520" s="79"/>
      <c r="J520" s="79"/>
      <c r="K520" s="79"/>
      <c r="L520" s="2"/>
      <c r="M520" s="2"/>
      <c r="O520" s="2"/>
      <c r="P520" s="2"/>
      <c r="Q520" s="2"/>
      <c r="R520" s="2"/>
      <c r="S520" s="2"/>
      <c r="T520" s="2"/>
      <c r="U520" s="2"/>
      <c r="V520" s="2"/>
      <c r="W520" s="2"/>
      <c r="X520" s="2"/>
      <c r="Y520" s="2"/>
      <c r="Z520" s="2"/>
      <c r="AA520" s="2"/>
      <c r="AB520" s="2"/>
      <c r="AC520" s="2"/>
      <c r="AD520" s="2"/>
      <c r="AE520" s="2"/>
      <c r="AF520" s="2"/>
      <c r="AG520" s="2"/>
    </row>
    <row r="521" spans="1:33" x14ac:dyDescent="0.2">
      <c r="A521" s="2"/>
      <c r="B521" s="2"/>
      <c r="C521" s="2"/>
      <c r="D521" s="2"/>
      <c r="E521" s="2"/>
      <c r="F521" s="2"/>
      <c r="G521" s="21"/>
      <c r="H521" s="13"/>
      <c r="I521" s="79"/>
      <c r="J521" s="79"/>
      <c r="K521" s="79"/>
      <c r="L521" s="2"/>
      <c r="M521" s="2"/>
      <c r="O521" s="2"/>
      <c r="P521" s="2"/>
      <c r="Q521" s="2"/>
      <c r="R521" s="2"/>
      <c r="S521" s="2"/>
      <c r="T521" s="2"/>
      <c r="U521" s="2"/>
      <c r="V521" s="2"/>
      <c r="W521" s="2"/>
      <c r="X521" s="2"/>
      <c r="Y521" s="2"/>
      <c r="Z521" s="2"/>
      <c r="AA521" s="2"/>
      <c r="AB521" s="2"/>
      <c r="AC521" s="2"/>
      <c r="AD521" s="2"/>
      <c r="AE521" s="2"/>
      <c r="AF521" s="2"/>
      <c r="AG521" s="2"/>
    </row>
    <row r="522" spans="1:33" x14ac:dyDescent="0.2">
      <c r="A522" s="2"/>
      <c r="B522" s="2"/>
      <c r="C522" s="2"/>
      <c r="D522" s="2"/>
      <c r="E522" s="2"/>
      <c r="F522" s="2"/>
      <c r="G522" s="21"/>
      <c r="H522" s="13"/>
      <c r="I522" s="79"/>
      <c r="J522" s="79"/>
      <c r="K522" s="79"/>
      <c r="L522" s="2"/>
      <c r="M522" s="2"/>
      <c r="O522" s="2"/>
      <c r="P522" s="2"/>
      <c r="Q522" s="2"/>
      <c r="R522" s="2"/>
      <c r="S522" s="2"/>
      <c r="T522" s="2"/>
      <c r="U522" s="2"/>
      <c r="V522" s="2"/>
      <c r="W522" s="2"/>
      <c r="X522" s="2"/>
      <c r="Y522" s="2"/>
      <c r="Z522" s="2"/>
      <c r="AA522" s="2"/>
      <c r="AB522" s="2"/>
      <c r="AC522" s="2"/>
      <c r="AD522" s="2"/>
      <c r="AE522" s="2"/>
      <c r="AF522" s="2"/>
      <c r="AG522" s="2"/>
    </row>
    <row r="523" spans="1:33" x14ac:dyDescent="0.2">
      <c r="A523" s="2"/>
      <c r="B523" s="2"/>
      <c r="C523" s="2"/>
      <c r="D523" s="2"/>
      <c r="E523" s="2"/>
      <c r="F523" s="2"/>
      <c r="G523" s="21"/>
      <c r="H523" s="13"/>
      <c r="I523" s="79"/>
      <c r="J523" s="79"/>
      <c r="K523" s="79"/>
      <c r="L523" s="2"/>
      <c r="M523" s="2"/>
      <c r="O523" s="2"/>
      <c r="P523" s="2"/>
      <c r="Q523" s="2"/>
      <c r="R523" s="2"/>
      <c r="S523" s="2"/>
      <c r="T523" s="2"/>
      <c r="U523" s="2"/>
      <c r="V523" s="2"/>
      <c r="W523" s="2"/>
      <c r="X523" s="2"/>
      <c r="Y523" s="2"/>
      <c r="Z523" s="2"/>
      <c r="AA523" s="2"/>
      <c r="AB523" s="2"/>
      <c r="AC523" s="2"/>
      <c r="AD523" s="2"/>
      <c r="AE523" s="2"/>
      <c r="AF523" s="2"/>
      <c r="AG523" s="2"/>
    </row>
    <row r="524" spans="1:33" x14ac:dyDescent="0.2">
      <c r="A524" s="2"/>
      <c r="B524" s="2"/>
      <c r="C524" s="2"/>
      <c r="D524" s="2"/>
      <c r="E524" s="2"/>
      <c r="F524" s="2"/>
      <c r="G524" s="21"/>
      <c r="H524" s="13"/>
      <c r="I524" s="79"/>
      <c r="J524" s="79"/>
      <c r="K524" s="79"/>
      <c r="L524" s="2"/>
      <c r="M524" s="2"/>
      <c r="O524" s="2"/>
      <c r="P524" s="2"/>
      <c r="Q524" s="2"/>
      <c r="R524" s="2"/>
      <c r="S524" s="2"/>
      <c r="T524" s="2"/>
      <c r="U524" s="2"/>
      <c r="V524" s="2"/>
      <c r="W524" s="2"/>
      <c r="X524" s="2"/>
      <c r="Y524" s="2"/>
      <c r="Z524" s="2"/>
      <c r="AA524" s="2"/>
      <c r="AB524" s="2"/>
      <c r="AC524" s="2"/>
      <c r="AD524" s="2"/>
      <c r="AE524" s="2"/>
      <c r="AF524" s="2"/>
      <c r="AG524" s="2"/>
    </row>
    <row r="525" spans="1:33" ht="15.75" x14ac:dyDescent="0.3">
      <c r="A525" s="2"/>
      <c r="B525" s="2"/>
      <c r="C525" s="2"/>
      <c r="D525" s="2"/>
      <c r="E525" s="2"/>
      <c r="F525" s="2"/>
      <c r="G525" s="21" t="s">
        <v>906</v>
      </c>
      <c r="H525" s="13" t="s">
        <v>332</v>
      </c>
      <c r="I525" s="283">
        <f>G619</f>
        <v>400</v>
      </c>
      <c r="J525" s="283"/>
      <c r="K525" s="283"/>
      <c r="L525" s="2" t="s">
        <v>337</v>
      </c>
      <c r="O525" s="2" t="s">
        <v>903</v>
      </c>
      <c r="P525" s="2"/>
      <c r="Q525" s="2"/>
      <c r="R525" s="2"/>
      <c r="S525" s="2"/>
      <c r="T525" s="2"/>
      <c r="U525" s="2"/>
      <c r="V525" s="2"/>
      <c r="W525" s="2"/>
      <c r="X525" s="2"/>
      <c r="Y525" s="2"/>
      <c r="Z525" s="2"/>
      <c r="AA525" s="2"/>
      <c r="AB525" s="2"/>
      <c r="AC525" s="2"/>
      <c r="AD525" s="2"/>
      <c r="AE525" s="2"/>
      <c r="AF525" s="2"/>
      <c r="AG525" s="2"/>
    </row>
    <row r="526" spans="1:33" ht="15.75" x14ac:dyDescent="0.3">
      <c r="A526" s="2"/>
      <c r="B526" s="2"/>
      <c r="C526" s="2"/>
      <c r="D526" s="2"/>
      <c r="E526" s="2"/>
      <c r="F526" s="2"/>
      <c r="G526" s="21" t="s">
        <v>553</v>
      </c>
      <c r="H526" s="13" t="s">
        <v>332</v>
      </c>
      <c r="I526" s="283">
        <f>H187*1000</f>
        <v>219</v>
      </c>
      <c r="J526" s="283"/>
      <c r="K526" s="283"/>
      <c r="L526" s="2" t="s">
        <v>337</v>
      </c>
      <c r="M526" s="2"/>
      <c r="O526" s="2" t="s">
        <v>641</v>
      </c>
      <c r="P526" s="2"/>
      <c r="Q526" s="2"/>
      <c r="R526" s="2"/>
      <c r="S526" s="2"/>
      <c r="T526" s="2"/>
      <c r="U526" s="2"/>
      <c r="V526" s="2"/>
      <c r="W526" s="2"/>
      <c r="X526" s="2"/>
      <c r="Y526" s="2"/>
      <c r="Z526" s="2"/>
      <c r="AA526" s="2"/>
      <c r="AB526" s="2"/>
      <c r="AC526" s="2"/>
      <c r="AD526" s="2"/>
      <c r="AE526" s="2"/>
      <c r="AF526" s="2"/>
      <c r="AG526" s="2"/>
    </row>
    <row r="527" spans="1:33" x14ac:dyDescent="0.2">
      <c r="A527" s="2"/>
      <c r="B527" s="2"/>
      <c r="C527" s="2"/>
      <c r="D527" s="2"/>
      <c r="E527" s="2"/>
      <c r="F527" s="2"/>
      <c r="G527" s="21" t="s">
        <v>904</v>
      </c>
      <c r="H527" s="13" t="s">
        <v>332</v>
      </c>
      <c r="I527" s="283">
        <v>75</v>
      </c>
      <c r="J527" s="283"/>
      <c r="K527" s="283"/>
      <c r="L527" s="2" t="s">
        <v>337</v>
      </c>
      <c r="M527" s="2"/>
      <c r="O527" s="2" t="s">
        <v>905</v>
      </c>
      <c r="P527" s="2"/>
      <c r="Q527" s="2"/>
      <c r="R527" s="2"/>
      <c r="S527" s="2"/>
      <c r="T527" s="2"/>
      <c r="U527" s="2"/>
      <c r="V527" s="2"/>
      <c r="W527" s="2"/>
      <c r="X527" s="2"/>
      <c r="Y527" s="2"/>
      <c r="Z527" s="2"/>
      <c r="AA527" s="2"/>
      <c r="AB527" s="2"/>
      <c r="AC527" s="2"/>
      <c r="AD527" s="2"/>
      <c r="AE527" s="2"/>
      <c r="AF527" s="2"/>
      <c r="AG527" s="2"/>
    </row>
    <row r="528" spans="1:33" x14ac:dyDescent="0.2">
      <c r="A528" s="2"/>
      <c r="B528" s="2"/>
      <c r="C528" s="2"/>
      <c r="D528" s="2"/>
      <c r="E528" s="2"/>
      <c r="F528" s="2"/>
      <c r="G528" s="21"/>
      <c r="H528" s="13"/>
      <c r="I528" s="79"/>
      <c r="J528" s="79"/>
      <c r="K528" s="79"/>
      <c r="L528" s="2"/>
      <c r="M528" s="2"/>
      <c r="O528" s="2"/>
      <c r="P528" s="2"/>
      <c r="Q528" s="2"/>
      <c r="R528" s="2"/>
      <c r="S528" s="2"/>
      <c r="T528" s="2"/>
      <c r="U528" s="2"/>
      <c r="V528" s="2"/>
      <c r="W528" s="2"/>
      <c r="X528" s="2"/>
      <c r="Y528" s="2"/>
      <c r="Z528" s="2"/>
      <c r="AA528" s="2"/>
      <c r="AB528" s="2"/>
      <c r="AC528" s="2"/>
      <c r="AD528" s="2"/>
      <c r="AE528" s="2"/>
      <c r="AF528" s="2"/>
      <c r="AG528" s="2"/>
    </row>
    <row r="529" spans="1:33" ht="15.75" x14ac:dyDescent="0.3">
      <c r="A529" s="2"/>
      <c r="B529" s="2"/>
      <c r="C529" s="2"/>
      <c r="D529" s="2"/>
      <c r="E529" s="2"/>
      <c r="F529" s="2"/>
      <c r="G529" s="21" t="s">
        <v>902</v>
      </c>
      <c r="H529" s="13" t="s">
        <v>332</v>
      </c>
      <c r="I529" s="283">
        <f>I525-I526/2-I527</f>
        <v>215.5</v>
      </c>
      <c r="J529" s="283"/>
      <c r="K529" s="283"/>
      <c r="L529" s="2" t="s">
        <v>337</v>
      </c>
      <c r="M529" s="2"/>
      <c r="O529" s="2" t="s">
        <v>907</v>
      </c>
      <c r="P529" s="2"/>
      <c r="Q529" s="2"/>
      <c r="R529" s="2"/>
      <c r="S529" s="2"/>
      <c r="T529" s="2"/>
      <c r="U529" s="2"/>
      <c r="V529" s="2"/>
      <c r="W529" s="2"/>
      <c r="X529" s="2"/>
      <c r="Y529" s="2"/>
      <c r="Z529" s="2"/>
      <c r="AA529" s="2"/>
      <c r="AB529" s="2"/>
      <c r="AC529" s="2"/>
      <c r="AD529" s="2"/>
      <c r="AE529" s="2"/>
      <c r="AF529" s="2"/>
      <c r="AG529" s="2"/>
    </row>
    <row r="530" spans="1:33" ht="15.75" x14ac:dyDescent="0.3">
      <c r="A530" s="2"/>
      <c r="B530" s="2"/>
      <c r="C530" s="2"/>
      <c r="D530" s="2"/>
      <c r="E530" s="2"/>
      <c r="F530" s="2"/>
      <c r="G530" s="21" t="s">
        <v>908</v>
      </c>
      <c r="H530" s="13" t="s">
        <v>332</v>
      </c>
      <c r="I530" s="283">
        <f>10*H485</f>
        <v>190.5</v>
      </c>
      <c r="J530" s="283"/>
      <c r="K530" s="283"/>
      <c r="L530" s="2" t="s">
        <v>337</v>
      </c>
      <c r="M530" s="2"/>
      <c r="O530" s="2"/>
      <c r="P530" s="2"/>
      <c r="Q530" s="2"/>
      <c r="R530" s="2"/>
      <c r="S530" s="2"/>
      <c r="T530" s="2"/>
      <c r="U530" s="2"/>
      <c r="V530" s="2"/>
      <c r="W530" s="2"/>
      <c r="X530" s="2"/>
      <c r="Y530" s="2"/>
      <c r="Z530" s="2"/>
      <c r="AA530" s="2"/>
      <c r="AB530" s="2"/>
      <c r="AC530" s="2"/>
      <c r="AD530" s="2"/>
      <c r="AE530" s="2"/>
      <c r="AF530" s="2"/>
      <c r="AG530" s="2"/>
    </row>
    <row r="531" spans="1:33" x14ac:dyDescent="0.2">
      <c r="A531" s="2"/>
      <c r="B531" s="2"/>
      <c r="C531" s="2"/>
      <c r="D531" s="2"/>
      <c r="E531" s="2"/>
      <c r="F531" s="2"/>
      <c r="G531" s="21"/>
      <c r="H531" s="13"/>
      <c r="I531" s="79"/>
      <c r="J531" s="79"/>
      <c r="K531" s="79"/>
      <c r="L531" s="2"/>
      <c r="M531" s="2"/>
      <c r="O531" s="2"/>
      <c r="P531" s="2"/>
      <c r="Q531" s="2"/>
      <c r="R531" s="2"/>
      <c r="S531" s="2"/>
      <c r="T531" s="2"/>
      <c r="U531" s="2"/>
      <c r="V531" s="2"/>
      <c r="W531" s="2"/>
      <c r="X531" s="2"/>
      <c r="Y531" s="2"/>
      <c r="Z531" s="2"/>
      <c r="AA531" s="2"/>
      <c r="AB531" s="2"/>
      <c r="AC531" s="2"/>
      <c r="AD531" s="2"/>
      <c r="AE531" s="2"/>
      <c r="AF531" s="2"/>
      <c r="AG531" s="2"/>
    </row>
    <row r="532" spans="1:33" ht="15.75" x14ac:dyDescent="0.3">
      <c r="A532" s="2"/>
      <c r="B532" s="2"/>
      <c r="C532" s="2"/>
      <c r="D532" s="2"/>
      <c r="E532" s="2" t="s">
        <v>1295</v>
      </c>
      <c r="F532" s="2"/>
      <c r="G532" s="21"/>
      <c r="H532" s="13"/>
      <c r="I532" s="79"/>
      <c r="J532" s="79"/>
      <c r="K532" s="79"/>
      <c r="L532" s="2"/>
      <c r="M532" s="2"/>
      <c r="O532" s="2"/>
      <c r="P532" s="2"/>
      <c r="Q532" s="2"/>
      <c r="R532" s="2"/>
      <c r="S532" s="2"/>
      <c r="T532" s="2"/>
      <c r="U532" s="2"/>
      <c r="V532" s="2"/>
      <c r="W532" s="2"/>
      <c r="X532" s="2"/>
      <c r="Y532" s="2"/>
      <c r="Z532" s="2"/>
      <c r="AA532" s="2"/>
      <c r="AB532" s="2"/>
      <c r="AC532" s="2"/>
      <c r="AD532" s="2"/>
      <c r="AE532" s="2"/>
      <c r="AF532" s="2"/>
      <c r="AG532" s="2"/>
    </row>
    <row r="533" spans="1:33" x14ac:dyDescent="0.2">
      <c r="A533" s="2"/>
      <c r="B533" s="2"/>
      <c r="C533" s="2"/>
      <c r="D533" s="2"/>
      <c r="E533" s="2"/>
      <c r="F533" s="2"/>
      <c r="G533" s="21"/>
      <c r="H533" s="13"/>
      <c r="I533" s="79"/>
      <c r="J533" s="79"/>
      <c r="K533" s="79"/>
      <c r="L533" s="2"/>
      <c r="M533" s="2"/>
      <c r="O533" s="2"/>
      <c r="P533" s="2"/>
      <c r="Q533" s="2"/>
      <c r="R533" s="2"/>
      <c r="S533" s="2"/>
      <c r="T533" s="2"/>
      <c r="U533" s="2"/>
      <c r="V533" s="2"/>
      <c r="W533" s="2"/>
      <c r="X533" s="2"/>
      <c r="Y533" s="2"/>
      <c r="Z533" s="2"/>
      <c r="AA533" s="2"/>
      <c r="AB533" s="2"/>
      <c r="AC533" s="2"/>
      <c r="AD533" s="2"/>
      <c r="AE533" s="2"/>
      <c r="AF533" s="2"/>
      <c r="AG533" s="2"/>
    </row>
    <row r="534" spans="1:33" x14ac:dyDescent="0.2">
      <c r="A534" s="2"/>
      <c r="B534" s="2"/>
      <c r="C534" s="2"/>
      <c r="D534" s="2"/>
      <c r="E534" s="2"/>
      <c r="F534" s="2"/>
      <c r="G534" s="21"/>
      <c r="H534" s="13"/>
      <c r="I534" s="79"/>
      <c r="J534" s="79"/>
      <c r="K534" s="79"/>
      <c r="L534" s="2"/>
      <c r="M534" s="2"/>
      <c r="O534" s="2"/>
      <c r="P534" s="2"/>
      <c r="Q534" s="2"/>
      <c r="R534" s="2"/>
      <c r="S534" s="2"/>
      <c r="T534" s="2"/>
      <c r="U534" s="2"/>
      <c r="V534" s="2"/>
      <c r="W534" s="2"/>
      <c r="X534" s="2"/>
      <c r="Y534" s="2"/>
      <c r="Z534" s="2"/>
      <c r="AA534" s="2"/>
      <c r="AB534" s="2"/>
      <c r="AC534" s="2"/>
      <c r="AD534" s="2"/>
      <c r="AE534" s="2"/>
      <c r="AF534" s="2"/>
      <c r="AG534" s="2"/>
    </row>
    <row r="535" spans="1:33" ht="15.75" x14ac:dyDescent="0.3">
      <c r="A535" s="2"/>
      <c r="B535" s="2"/>
      <c r="C535" s="2"/>
      <c r="D535" s="2"/>
      <c r="E535" s="2"/>
      <c r="F535" s="2"/>
      <c r="G535" s="21" t="s">
        <v>909</v>
      </c>
      <c r="H535" s="13" t="s">
        <v>332</v>
      </c>
      <c r="I535" s="283">
        <f>PI()*I526/H479</f>
        <v>172.00219778404119</v>
      </c>
      <c r="J535" s="283"/>
      <c r="K535" s="283"/>
      <c r="L535" s="2" t="s">
        <v>337</v>
      </c>
      <c r="M535" s="2"/>
      <c r="O535" s="2" t="s">
        <v>910</v>
      </c>
      <c r="P535" s="2"/>
      <c r="Q535" s="2"/>
      <c r="R535" s="2"/>
      <c r="S535" s="2"/>
      <c r="T535" s="2"/>
      <c r="U535" s="2"/>
      <c r="V535" s="2"/>
      <c r="W535" s="2"/>
      <c r="X535" s="2"/>
      <c r="Y535" s="2"/>
      <c r="Z535" s="2"/>
      <c r="AA535" s="2"/>
      <c r="AB535" s="2"/>
      <c r="AC535" s="2"/>
      <c r="AD535" s="2"/>
      <c r="AE535" s="2"/>
      <c r="AF535" s="2"/>
      <c r="AG535" s="2"/>
    </row>
    <row r="536" spans="1:33" ht="15.75" x14ac:dyDescent="0.3">
      <c r="A536" s="2"/>
      <c r="B536" s="2"/>
      <c r="C536" s="2"/>
      <c r="D536" s="2"/>
      <c r="E536" s="2"/>
      <c r="F536" s="2"/>
      <c r="G536" s="21" t="s">
        <v>911</v>
      </c>
      <c r="H536" s="13" t="s">
        <v>332</v>
      </c>
      <c r="I536" s="283">
        <f>7.5*H485</f>
        <v>142.875</v>
      </c>
      <c r="J536" s="283"/>
      <c r="K536" s="283"/>
      <c r="L536" s="2" t="s">
        <v>337</v>
      </c>
      <c r="M536" s="2"/>
      <c r="O536" s="2"/>
      <c r="P536" s="2"/>
      <c r="Q536" s="2"/>
      <c r="R536" s="2"/>
      <c r="S536" s="2"/>
      <c r="T536" s="2"/>
      <c r="U536" s="2"/>
      <c r="V536" s="2"/>
      <c r="W536" s="2"/>
      <c r="X536" s="2"/>
      <c r="Y536" s="2"/>
      <c r="Z536" s="2"/>
      <c r="AA536" s="2"/>
      <c r="AB536" s="2"/>
      <c r="AC536" s="2"/>
      <c r="AD536" s="2"/>
      <c r="AE536" s="2"/>
      <c r="AF536" s="2"/>
      <c r="AG536" s="2"/>
    </row>
    <row r="537" spans="1:33" x14ac:dyDescent="0.2">
      <c r="A537" s="2"/>
      <c r="B537" s="2"/>
      <c r="C537" s="2"/>
      <c r="D537" s="2"/>
      <c r="E537" s="2"/>
      <c r="F537" s="2"/>
      <c r="G537" s="21"/>
      <c r="H537" s="13"/>
      <c r="I537" s="79"/>
      <c r="J537" s="79"/>
      <c r="K537" s="79"/>
      <c r="L537" s="2"/>
      <c r="M537" s="2"/>
      <c r="O537" s="2"/>
      <c r="P537" s="2"/>
      <c r="Q537" s="2"/>
      <c r="R537" s="2"/>
      <c r="S537" s="2"/>
      <c r="T537" s="2"/>
      <c r="U537" s="2"/>
      <c r="V537" s="2"/>
      <c r="W537" s="2"/>
      <c r="X537" s="2"/>
      <c r="Y537" s="2"/>
      <c r="Z537" s="2"/>
      <c r="AA537" s="2"/>
      <c r="AB537" s="2"/>
      <c r="AC537" s="2"/>
      <c r="AD537" s="2"/>
      <c r="AE537" s="2"/>
      <c r="AF537" s="2"/>
      <c r="AG537" s="2"/>
    </row>
    <row r="538" spans="1:33" ht="15.75" x14ac:dyDescent="0.3">
      <c r="A538" s="2"/>
      <c r="B538" s="2"/>
      <c r="C538" s="2"/>
      <c r="D538" s="2"/>
      <c r="E538" s="2" t="s">
        <v>1018</v>
      </c>
      <c r="F538" s="2"/>
      <c r="G538" s="21"/>
      <c r="H538" s="13"/>
      <c r="I538" s="79"/>
      <c r="J538" s="79"/>
      <c r="K538" s="79"/>
      <c r="L538" s="2"/>
      <c r="M538" s="2"/>
      <c r="O538" s="2"/>
      <c r="P538" s="2"/>
      <c r="Q538" s="2"/>
      <c r="R538" s="2"/>
      <c r="S538" s="2"/>
      <c r="T538" s="2"/>
      <c r="U538" s="2"/>
      <c r="V538" s="2"/>
      <c r="W538" s="2"/>
      <c r="X538" s="2"/>
      <c r="Y538" s="2"/>
      <c r="Z538" s="2"/>
      <c r="AA538" s="2"/>
      <c r="AB538" s="2"/>
      <c r="AC538" s="2"/>
      <c r="AD538" s="2"/>
      <c r="AE538" s="2"/>
      <c r="AF538" s="2"/>
      <c r="AG538" s="2"/>
    </row>
    <row r="539" spans="1:33" x14ac:dyDescent="0.2">
      <c r="A539" s="2"/>
      <c r="B539" s="2"/>
      <c r="C539" s="2"/>
      <c r="D539" s="2"/>
      <c r="E539" s="2"/>
      <c r="F539" s="2"/>
      <c r="G539" s="21"/>
      <c r="H539" s="13"/>
      <c r="I539" s="79"/>
      <c r="J539" s="79"/>
      <c r="K539" s="79"/>
      <c r="L539" s="2"/>
      <c r="M539" s="2"/>
      <c r="O539" s="2"/>
      <c r="P539" s="2"/>
      <c r="Q539" s="2"/>
      <c r="R539" s="2"/>
      <c r="S539" s="2"/>
      <c r="T539" s="2"/>
      <c r="U539" s="2"/>
      <c r="V539" s="2"/>
      <c r="W539" s="2"/>
      <c r="X539" s="2"/>
      <c r="Y539" s="2"/>
      <c r="Z539" s="2"/>
      <c r="AA539" s="2"/>
      <c r="AB539" s="2"/>
      <c r="AC539" s="2"/>
      <c r="AD539" s="2"/>
      <c r="AE539" s="2"/>
      <c r="AF539" s="2"/>
      <c r="AG539" s="2"/>
    </row>
    <row r="540" spans="1:33" x14ac:dyDescent="0.2">
      <c r="A540" s="2"/>
      <c r="B540" s="2"/>
      <c r="C540" s="2"/>
      <c r="D540" s="2"/>
      <c r="E540" s="2"/>
      <c r="F540" s="2"/>
      <c r="G540" s="21"/>
      <c r="H540" s="13"/>
      <c r="I540" s="79"/>
      <c r="J540" s="79"/>
      <c r="K540" s="79"/>
      <c r="L540" s="2"/>
      <c r="M540" s="2"/>
      <c r="O540" s="2"/>
      <c r="P540" s="2"/>
      <c r="Q540" s="2"/>
      <c r="R540" s="2"/>
      <c r="S540" s="2"/>
      <c r="T540" s="2"/>
      <c r="U540" s="2"/>
      <c r="V540" s="2"/>
      <c r="W540" s="2"/>
      <c r="X540" s="2"/>
      <c r="Y540" s="2"/>
      <c r="Z540" s="2"/>
      <c r="AA540" s="2"/>
      <c r="AB540" s="2"/>
      <c r="AC540" s="2"/>
      <c r="AD540" s="2"/>
      <c r="AE540" s="2"/>
      <c r="AF540" s="2"/>
      <c r="AG540" s="2"/>
    </row>
    <row r="541" spans="1:33" x14ac:dyDescent="0.2">
      <c r="A541" s="2"/>
      <c r="B541" s="2"/>
      <c r="C541" s="2"/>
      <c r="D541" s="2"/>
      <c r="E541" s="2"/>
      <c r="F541" s="2"/>
      <c r="G541" s="21"/>
      <c r="H541" s="13"/>
      <c r="I541" s="79"/>
      <c r="J541" s="79"/>
      <c r="K541" s="79"/>
      <c r="L541" s="2"/>
      <c r="M541" s="2"/>
      <c r="O541" s="2"/>
      <c r="P541" s="2"/>
      <c r="Q541" s="2"/>
      <c r="R541" s="2"/>
      <c r="S541" s="2"/>
      <c r="T541" s="2"/>
      <c r="U541" s="2"/>
      <c r="V541" s="2"/>
      <c r="W541" s="2"/>
      <c r="X541" s="2"/>
      <c r="Y541" s="2"/>
      <c r="Z541" s="2"/>
      <c r="AA541" s="2"/>
      <c r="AB541" s="2"/>
      <c r="AC541" s="2"/>
      <c r="AD541" s="2"/>
      <c r="AE541" s="2"/>
      <c r="AF541" s="2"/>
      <c r="AG541" s="2"/>
    </row>
    <row r="542" spans="1:33" x14ac:dyDescent="0.2">
      <c r="A542" s="2"/>
      <c r="B542" s="2"/>
      <c r="C542" s="2"/>
      <c r="D542" s="2"/>
      <c r="E542" s="2"/>
      <c r="F542" s="2"/>
      <c r="G542" s="21"/>
      <c r="H542" s="13"/>
      <c r="I542" s="79"/>
      <c r="J542" s="79"/>
      <c r="K542" s="79"/>
      <c r="L542" s="2"/>
      <c r="M542" s="2"/>
      <c r="O542" s="2"/>
      <c r="P542" s="2"/>
      <c r="Q542" s="2"/>
      <c r="R542" s="2"/>
      <c r="S542" s="2"/>
      <c r="T542" s="2"/>
      <c r="U542" s="2"/>
      <c r="V542" s="2"/>
      <c r="W542" s="2"/>
      <c r="X542" s="2"/>
      <c r="Y542" s="2"/>
      <c r="Z542" s="2"/>
      <c r="AA542" s="2"/>
      <c r="AB542" s="2"/>
      <c r="AC542" s="2"/>
      <c r="AD542" s="2"/>
      <c r="AE542" s="2"/>
      <c r="AF542" s="2"/>
      <c r="AG542" s="2"/>
    </row>
    <row r="543" spans="1:33" x14ac:dyDescent="0.2">
      <c r="A543" s="2"/>
      <c r="B543" s="2"/>
      <c r="C543" s="2"/>
      <c r="D543" s="2"/>
      <c r="E543" s="2"/>
      <c r="F543" s="2"/>
      <c r="G543" s="21"/>
      <c r="H543" s="13"/>
      <c r="I543" s="79"/>
      <c r="J543" s="79"/>
      <c r="K543" s="79"/>
      <c r="L543" s="2"/>
      <c r="M543" s="2"/>
      <c r="O543" s="2"/>
      <c r="P543" s="2"/>
      <c r="Q543" s="2"/>
      <c r="R543" s="2"/>
      <c r="S543" s="2"/>
      <c r="T543" s="2"/>
      <c r="U543" s="2"/>
      <c r="V543" s="2"/>
      <c r="W543" s="2"/>
      <c r="X543" s="2"/>
      <c r="Y543" s="2"/>
      <c r="Z543" s="2"/>
      <c r="AA543" s="2"/>
      <c r="AB543" s="2"/>
      <c r="AC543" s="2"/>
      <c r="AD543" s="2"/>
      <c r="AE543" s="2"/>
      <c r="AF543" s="2"/>
      <c r="AG543" s="2"/>
    </row>
    <row r="544" spans="1:33" x14ac:dyDescent="0.2">
      <c r="A544" s="2"/>
      <c r="B544" s="2"/>
      <c r="C544" s="2"/>
      <c r="D544" s="2"/>
      <c r="E544" s="2"/>
      <c r="F544" s="2"/>
      <c r="G544" s="21"/>
      <c r="H544" s="13"/>
      <c r="I544" s="79"/>
      <c r="J544" s="79"/>
      <c r="K544" s="79"/>
      <c r="L544" s="2"/>
      <c r="M544" s="2"/>
      <c r="O544" s="2"/>
      <c r="P544" s="2"/>
      <c r="Q544" s="2"/>
      <c r="R544" s="2"/>
      <c r="S544" s="2"/>
      <c r="T544" s="2"/>
      <c r="U544" s="2"/>
      <c r="V544" s="2"/>
      <c r="W544" s="2"/>
      <c r="X544" s="2"/>
      <c r="Y544" s="2"/>
      <c r="Z544" s="2"/>
      <c r="AA544" s="2"/>
      <c r="AB544" s="2"/>
      <c r="AC544" s="2"/>
      <c r="AD544" s="2"/>
      <c r="AE544" s="2"/>
      <c r="AF544" s="2"/>
      <c r="AG544" s="2"/>
    </row>
    <row r="545" spans="1:33" x14ac:dyDescent="0.2">
      <c r="A545" s="2"/>
      <c r="B545" s="2"/>
      <c r="C545" s="2"/>
      <c r="D545" s="2"/>
      <c r="E545" s="2"/>
      <c r="F545" s="2"/>
      <c r="G545" s="21"/>
      <c r="H545" s="13"/>
      <c r="I545" s="79"/>
      <c r="J545" s="79"/>
      <c r="K545" s="79"/>
      <c r="L545" s="2"/>
      <c r="M545" s="2"/>
      <c r="O545" s="2"/>
      <c r="P545" s="2"/>
      <c r="Q545" s="2"/>
      <c r="R545" s="2"/>
      <c r="S545" s="2"/>
      <c r="T545" s="2"/>
      <c r="U545" s="2"/>
      <c r="V545" s="2"/>
      <c r="W545" s="2"/>
      <c r="X545" s="2"/>
      <c r="Y545" s="2"/>
      <c r="Z545" s="2"/>
      <c r="AA545" s="2"/>
      <c r="AB545" s="2"/>
      <c r="AC545" s="2"/>
      <c r="AD545" s="2"/>
      <c r="AE545" s="2"/>
      <c r="AF545" s="2"/>
      <c r="AG545" s="2"/>
    </row>
    <row r="546" spans="1:33" x14ac:dyDescent="0.2">
      <c r="A546" s="2"/>
      <c r="B546" s="2"/>
      <c r="C546" s="2"/>
      <c r="D546" s="2"/>
      <c r="E546" s="16" t="s">
        <v>912</v>
      </c>
      <c r="F546" s="2"/>
      <c r="G546" s="21"/>
      <c r="H546" s="13"/>
      <c r="I546" s="79"/>
      <c r="J546" s="79"/>
      <c r="K546" s="79"/>
      <c r="L546" s="2"/>
      <c r="M546" s="2"/>
      <c r="O546" s="2"/>
      <c r="P546" s="2"/>
      <c r="Q546" s="2"/>
      <c r="R546" s="2"/>
      <c r="S546" s="2"/>
      <c r="T546" s="2"/>
      <c r="U546" s="2"/>
      <c r="V546" s="2"/>
      <c r="W546" s="2"/>
      <c r="X546" s="2"/>
      <c r="Y546" s="2"/>
      <c r="Z546" s="2"/>
      <c r="AA546" s="2"/>
      <c r="AB546" s="2"/>
      <c r="AC546" s="2"/>
      <c r="AD546" s="2"/>
      <c r="AE546" s="2"/>
      <c r="AF546" s="2"/>
      <c r="AG546" s="2"/>
    </row>
    <row r="547" spans="1:33" x14ac:dyDescent="0.2">
      <c r="A547" s="2"/>
      <c r="B547" s="2"/>
      <c r="C547" s="2"/>
      <c r="D547" s="2"/>
      <c r="E547" s="2" t="s">
        <v>913</v>
      </c>
      <c r="F547" s="2"/>
      <c r="G547" s="21"/>
      <c r="H547" s="13"/>
      <c r="I547" s="79"/>
      <c r="J547" s="79"/>
      <c r="K547" s="79"/>
      <c r="L547" s="2"/>
      <c r="M547" s="2"/>
      <c r="O547" s="2"/>
      <c r="P547" s="2"/>
      <c r="Q547" s="2"/>
      <c r="R547" s="2"/>
      <c r="S547" s="2"/>
      <c r="T547" s="2"/>
      <c r="U547" s="2"/>
      <c r="V547" s="2"/>
      <c r="W547" s="2"/>
      <c r="X547" s="2"/>
      <c r="Y547" s="2"/>
      <c r="Z547" s="2"/>
      <c r="AA547" s="2"/>
      <c r="AB547" s="2"/>
      <c r="AC547" s="2"/>
      <c r="AD547" s="2"/>
      <c r="AE547" s="2"/>
      <c r="AF547" s="2"/>
      <c r="AG547" s="2"/>
    </row>
    <row r="548" spans="1:33" x14ac:dyDescent="0.2">
      <c r="A548" s="2"/>
      <c r="B548" s="2"/>
      <c r="C548" s="2"/>
      <c r="D548" s="2"/>
      <c r="E548" s="2"/>
      <c r="F548" s="2"/>
      <c r="G548" s="21"/>
      <c r="H548" s="13"/>
      <c r="I548" s="79"/>
      <c r="J548" s="79"/>
      <c r="K548" s="79"/>
      <c r="L548" s="2"/>
      <c r="M548" s="2"/>
      <c r="O548" s="2"/>
      <c r="P548" s="2"/>
      <c r="Q548" s="2"/>
      <c r="R548" s="2"/>
      <c r="S548" s="2"/>
      <c r="T548" s="2"/>
      <c r="U548" s="2"/>
      <c r="V548" s="2"/>
      <c r="W548" s="2"/>
      <c r="X548" s="2"/>
      <c r="Y548" s="2"/>
      <c r="Z548" s="2"/>
      <c r="AA548" s="2"/>
      <c r="AB548" s="2"/>
      <c r="AC548" s="2"/>
      <c r="AD548" s="2"/>
      <c r="AE548" s="2"/>
      <c r="AF548" s="2"/>
      <c r="AG548" s="2"/>
    </row>
    <row r="549" spans="1:33" x14ac:dyDescent="0.2">
      <c r="A549" s="2"/>
      <c r="B549" s="2"/>
      <c r="C549" s="2"/>
      <c r="D549" s="2"/>
      <c r="E549" s="2"/>
      <c r="F549" s="2"/>
      <c r="G549" s="21"/>
      <c r="H549" s="13"/>
      <c r="I549" s="79"/>
      <c r="J549" s="79"/>
      <c r="K549" s="79"/>
      <c r="L549" s="2"/>
      <c r="M549" s="2"/>
      <c r="O549" s="2"/>
      <c r="P549" s="2"/>
      <c r="Q549" s="2"/>
      <c r="R549" s="2"/>
      <c r="S549" s="2"/>
      <c r="T549" s="2"/>
      <c r="U549" s="2"/>
      <c r="V549" s="2"/>
      <c r="W549" s="2"/>
      <c r="X549" s="2"/>
      <c r="Y549" s="2"/>
      <c r="Z549" s="2"/>
      <c r="AA549" s="2"/>
      <c r="AB549" s="2"/>
      <c r="AC549" s="2"/>
      <c r="AD549" s="2"/>
      <c r="AE549" s="2"/>
      <c r="AF549" s="2"/>
      <c r="AG549" s="2"/>
    </row>
    <row r="550" spans="1:33" x14ac:dyDescent="0.2">
      <c r="A550" s="2"/>
      <c r="B550" s="2"/>
      <c r="C550" s="2"/>
      <c r="D550" s="2"/>
      <c r="E550" s="2"/>
      <c r="F550" s="2"/>
      <c r="G550" s="21"/>
      <c r="H550" s="13"/>
      <c r="I550" s="79"/>
      <c r="J550" s="79"/>
      <c r="K550" s="79"/>
      <c r="L550" s="2"/>
      <c r="M550" s="2"/>
      <c r="O550" s="2"/>
      <c r="P550" s="2"/>
      <c r="Q550" s="2"/>
      <c r="R550" s="2"/>
      <c r="S550" s="2"/>
      <c r="T550" s="2"/>
      <c r="U550" s="2"/>
      <c r="V550" s="2"/>
      <c r="W550" s="2"/>
      <c r="X550" s="2"/>
      <c r="Y550" s="2"/>
      <c r="Z550" s="2"/>
      <c r="AA550" s="2"/>
      <c r="AB550" s="2"/>
      <c r="AC550" s="2"/>
      <c r="AD550" s="2"/>
      <c r="AE550" s="2"/>
      <c r="AF550" s="2"/>
      <c r="AG550" s="2"/>
    </row>
    <row r="551" spans="1:33" x14ac:dyDescent="0.2">
      <c r="A551" s="2"/>
      <c r="B551" s="2"/>
      <c r="C551" s="2"/>
      <c r="D551" s="2"/>
      <c r="E551" s="2"/>
      <c r="F551" s="2"/>
      <c r="G551" s="21"/>
      <c r="H551" s="13"/>
      <c r="I551" s="79"/>
      <c r="J551" s="79"/>
      <c r="K551" s="79"/>
      <c r="L551" s="2"/>
      <c r="M551" s="2"/>
      <c r="O551" s="2"/>
      <c r="P551" s="2"/>
      <c r="Q551" s="2"/>
      <c r="R551" s="2"/>
      <c r="S551" s="2"/>
      <c r="T551" s="2"/>
      <c r="U551" s="2"/>
      <c r="V551" s="2"/>
      <c r="W551" s="2"/>
      <c r="X551" s="2"/>
      <c r="Y551" s="2"/>
      <c r="Z551" s="2"/>
      <c r="AA551" s="2"/>
      <c r="AB551" s="2"/>
      <c r="AC551" s="2"/>
      <c r="AD551" s="2"/>
      <c r="AE551" s="2"/>
      <c r="AF551" s="2"/>
      <c r="AG551" s="2"/>
    </row>
    <row r="552" spans="1:33" x14ac:dyDescent="0.2">
      <c r="A552" s="2"/>
      <c r="B552" s="2"/>
      <c r="C552" s="2"/>
      <c r="D552" s="2"/>
      <c r="E552" s="2"/>
      <c r="F552" s="2"/>
      <c r="G552" s="21"/>
      <c r="H552" s="13"/>
      <c r="I552" s="79"/>
      <c r="J552" s="79"/>
      <c r="K552" s="79"/>
      <c r="L552" s="2"/>
      <c r="M552" s="2"/>
      <c r="O552" s="2"/>
      <c r="P552" s="2"/>
      <c r="Q552" s="2"/>
      <c r="R552" s="2"/>
      <c r="S552" s="2"/>
      <c r="T552" s="2"/>
      <c r="U552" s="2"/>
      <c r="V552" s="2"/>
      <c r="W552" s="2"/>
      <c r="X552" s="2"/>
      <c r="Y552" s="2"/>
      <c r="Z552" s="2"/>
      <c r="AA552" s="2"/>
      <c r="AB552" s="2"/>
      <c r="AC552" s="2"/>
      <c r="AD552" s="2"/>
      <c r="AE552" s="2"/>
      <c r="AF552" s="2"/>
      <c r="AG552" s="2"/>
    </row>
    <row r="553" spans="1:33" x14ac:dyDescent="0.2">
      <c r="A553" s="2"/>
      <c r="B553" s="2"/>
      <c r="C553" s="2"/>
      <c r="D553" s="2"/>
      <c r="E553" s="2"/>
      <c r="F553" s="2"/>
      <c r="G553" s="21"/>
      <c r="H553" s="13"/>
      <c r="I553" s="79"/>
      <c r="J553" s="79"/>
      <c r="K553" s="79"/>
      <c r="L553" s="2"/>
      <c r="M553" s="2"/>
      <c r="O553" s="2"/>
      <c r="P553" s="2"/>
      <c r="Q553" s="2"/>
      <c r="R553" s="2"/>
      <c r="S553" s="2"/>
      <c r="T553" s="2"/>
      <c r="U553" s="2"/>
      <c r="V553" s="2"/>
      <c r="W553" s="2"/>
      <c r="X553" s="2"/>
      <c r="Y553" s="2"/>
      <c r="Z553" s="2"/>
      <c r="AA553" s="2"/>
      <c r="AB553" s="2"/>
      <c r="AC553" s="2"/>
      <c r="AD553" s="2"/>
      <c r="AE553" s="2"/>
      <c r="AF553" s="2"/>
      <c r="AG553" s="2"/>
    </row>
    <row r="554" spans="1:33" x14ac:dyDescent="0.2">
      <c r="A554" s="2"/>
      <c r="B554" s="2"/>
      <c r="C554" s="2"/>
      <c r="D554" s="2"/>
      <c r="E554" s="2"/>
      <c r="F554" s="2"/>
      <c r="G554" s="21"/>
      <c r="H554" s="13"/>
      <c r="I554" s="79"/>
      <c r="J554" s="79"/>
      <c r="K554" s="79"/>
      <c r="L554" s="2"/>
      <c r="M554" s="2"/>
      <c r="O554" s="2"/>
      <c r="P554" s="2"/>
      <c r="Q554" s="2"/>
      <c r="R554" s="2"/>
      <c r="S554" s="2"/>
      <c r="T554" s="2"/>
      <c r="U554" s="2"/>
      <c r="V554" s="2"/>
      <c r="W554" s="2"/>
      <c r="X554" s="2"/>
      <c r="Y554" s="2"/>
      <c r="Z554" s="2"/>
      <c r="AA554" s="2"/>
      <c r="AB554" s="2"/>
      <c r="AC554" s="2"/>
      <c r="AD554" s="2"/>
      <c r="AE554" s="2"/>
      <c r="AF554" s="2"/>
      <c r="AG554" s="2"/>
    </row>
    <row r="555" spans="1:33" x14ac:dyDescent="0.2">
      <c r="A555" s="2"/>
      <c r="B555" s="2"/>
      <c r="C555" s="2"/>
      <c r="D555" s="2"/>
      <c r="E555" s="2"/>
      <c r="F555" s="2"/>
      <c r="G555" s="21"/>
      <c r="H555" s="13"/>
      <c r="I555" s="79"/>
      <c r="J555" s="79"/>
      <c r="K555" s="79"/>
      <c r="L555" s="2"/>
      <c r="M555" s="2"/>
      <c r="O555" s="2"/>
      <c r="P555" s="2"/>
      <c r="Q555" s="2"/>
      <c r="R555" s="2"/>
      <c r="S555" s="2"/>
      <c r="T555" s="2"/>
      <c r="U555" s="2"/>
      <c r="V555" s="2"/>
      <c r="W555" s="2"/>
      <c r="X555" s="2"/>
      <c r="Y555" s="2"/>
      <c r="Z555" s="2"/>
      <c r="AA555" s="2"/>
      <c r="AB555" s="2"/>
      <c r="AC555" s="2"/>
      <c r="AD555" s="2"/>
      <c r="AE555" s="2"/>
      <c r="AF555" s="2"/>
      <c r="AG555" s="2"/>
    </row>
    <row r="556" spans="1:33" ht="15.75" x14ac:dyDescent="0.3">
      <c r="A556" s="2"/>
      <c r="B556" s="2"/>
      <c r="C556" s="2"/>
      <c r="D556" s="2"/>
      <c r="E556" s="2"/>
      <c r="F556" s="2"/>
      <c r="G556" s="21" t="s">
        <v>914</v>
      </c>
      <c r="H556" s="13" t="s">
        <v>332</v>
      </c>
      <c r="I556" s="283">
        <v>8200</v>
      </c>
      <c r="J556" s="283"/>
      <c r="K556" s="283"/>
      <c r="L556" s="2" t="s">
        <v>915</v>
      </c>
      <c r="M556" s="2"/>
      <c r="N556" s="1" t="s">
        <v>332</v>
      </c>
      <c r="O556" s="231">
        <f>I556*4.44822/1000</f>
        <v>36.475404000000005</v>
      </c>
      <c r="P556" s="231"/>
      <c r="Q556" s="231"/>
      <c r="R556" s="2" t="s">
        <v>335</v>
      </c>
      <c r="S556" s="2"/>
      <c r="T556" s="2"/>
      <c r="U556" s="2"/>
      <c r="V556" s="2"/>
      <c r="W556" s="2"/>
      <c r="X556" s="2"/>
      <c r="Y556" s="2"/>
      <c r="Z556" s="2"/>
      <c r="AA556" s="2"/>
      <c r="AB556" s="2"/>
      <c r="AC556" s="2"/>
      <c r="AD556" s="2"/>
      <c r="AE556" s="2"/>
      <c r="AF556" s="2"/>
      <c r="AG556" s="2"/>
    </row>
    <row r="557" spans="1:33" x14ac:dyDescent="0.2">
      <c r="A557" s="2"/>
      <c r="B557" s="2"/>
      <c r="C557" s="2"/>
      <c r="D557" s="2"/>
      <c r="E557" s="2"/>
      <c r="F557" s="2"/>
      <c r="G557" s="21"/>
      <c r="H557" s="13"/>
      <c r="I557" s="79"/>
      <c r="J557" s="79"/>
      <c r="K557" s="79"/>
      <c r="L557" s="2"/>
      <c r="M557" s="2"/>
      <c r="O557" s="2"/>
      <c r="P557" s="2"/>
      <c r="Q557" s="2"/>
      <c r="R557" s="2"/>
      <c r="S557" s="2"/>
      <c r="T557" s="2"/>
      <c r="U557" s="2"/>
      <c r="V557" s="2"/>
      <c r="W557" s="2"/>
      <c r="X557" s="2"/>
      <c r="Y557" s="2"/>
      <c r="Z557" s="2"/>
      <c r="AA557" s="2"/>
      <c r="AB557" s="2"/>
      <c r="AC557" s="2"/>
      <c r="AD557" s="2"/>
      <c r="AE557" s="2"/>
      <c r="AF557" s="2"/>
      <c r="AG557" s="2"/>
    </row>
    <row r="558" spans="1:33" ht="15.75" x14ac:dyDescent="0.3">
      <c r="A558" s="2"/>
      <c r="B558" s="2"/>
      <c r="C558" s="2"/>
      <c r="D558" s="2"/>
      <c r="E558" s="2"/>
      <c r="F558" s="2"/>
      <c r="G558" s="21" t="s">
        <v>888</v>
      </c>
      <c r="H558" s="13" t="s">
        <v>332</v>
      </c>
      <c r="I558" s="231">
        <f>ABS(H130)</f>
        <v>3.9311234084899631</v>
      </c>
      <c r="J558" s="231"/>
      <c r="K558" s="231"/>
      <c r="L558" s="2" t="s">
        <v>335</v>
      </c>
      <c r="M558" s="2"/>
      <c r="O558" s="2" t="s">
        <v>1422</v>
      </c>
      <c r="P558" s="2"/>
      <c r="Q558" s="2"/>
      <c r="R558" s="2"/>
      <c r="S558" s="2"/>
      <c r="T558" s="2"/>
      <c r="U558" s="2"/>
      <c r="V558" s="2"/>
      <c r="W558" s="2"/>
      <c r="X558" s="2"/>
      <c r="Y558" s="2"/>
      <c r="Z558" s="2"/>
      <c r="AA558" s="2"/>
      <c r="AB558" s="2"/>
      <c r="AC558" s="2"/>
      <c r="AD558" s="2"/>
      <c r="AE558" s="2"/>
      <c r="AF558" s="2"/>
      <c r="AG558" s="2"/>
    </row>
    <row r="559" spans="1:33" x14ac:dyDescent="0.2">
      <c r="A559" s="2"/>
      <c r="B559" s="2"/>
      <c r="C559" s="2"/>
      <c r="D559" s="2"/>
      <c r="E559" s="2"/>
      <c r="F559" s="2"/>
      <c r="G559" s="21"/>
      <c r="H559" s="13"/>
      <c r="I559" s="28"/>
      <c r="J559" s="28"/>
      <c r="K559" s="28"/>
      <c r="L559" s="2"/>
      <c r="M559" s="2"/>
      <c r="N559" s="2"/>
      <c r="O559" s="2"/>
      <c r="P559" s="2"/>
      <c r="Q559" s="2"/>
      <c r="R559" s="2"/>
      <c r="S559" s="2"/>
      <c r="T559" s="2"/>
      <c r="U559" s="2"/>
      <c r="V559" s="2"/>
      <c r="W559" s="2"/>
      <c r="X559" s="2"/>
      <c r="Y559" s="2"/>
      <c r="Z559" s="2"/>
      <c r="AA559" s="2"/>
      <c r="AB559" s="2"/>
      <c r="AC559" s="2"/>
      <c r="AD559" s="2"/>
      <c r="AE559" s="2"/>
      <c r="AF559" s="2"/>
      <c r="AG559" s="2"/>
    </row>
    <row r="560" spans="1:33" x14ac:dyDescent="0.2">
      <c r="A560" s="2"/>
      <c r="B560" s="2"/>
      <c r="C560" s="2"/>
      <c r="D560" s="2"/>
      <c r="E560" s="2" t="s">
        <v>1293</v>
      </c>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row>
    <row r="561" spans="1:33" x14ac:dyDescent="0.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row>
    <row r="562" spans="1:33" x14ac:dyDescent="0.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row>
    <row r="563" spans="1:33" x14ac:dyDescent="0.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row>
    <row r="564" spans="1:33" x14ac:dyDescent="0.2">
      <c r="A564" s="2"/>
      <c r="B564" s="2"/>
      <c r="C564" s="2"/>
      <c r="D564" s="2"/>
      <c r="E564" s="16" t="s">
        <v>916</v>
      </c>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row>
    <row r="565" spans="1:33" x14ac:dyDescent="0.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row>
    <row r="566" spans="1:33" x14ac:dyDescent="0.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row>
    <row r="567" spans="1:33" x14ac:dyDescent="0.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row>
    <row r="568" spans="1:33" x14ac:dyDescent="0.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row>
    <row r="569" spans="1:33" x14ac:dyDescent="0.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row>
    <row r="570" spans="1:33" x14ac:dyDescent="0.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row>
    <row r="571" spans="1:33" x14ac:dyDescent="0.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row>
    <row r="572" spans="1:33" x14ac:dyDescent="0.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row>
    <row r="573" spans="1:33" x14ac:dyDescent="0.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row>
    <row r="574" spans="1:33" x14ac:dyDescent="0.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row>
    <row r="575" spans="1:33" x14ac:dyDescent="0.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row>
    <row r="576" spans="1:33" ht="15.75" x14ac:dyDescent="0.3">
      <c r="A576" s="2"/>
      <c r="B576" s="2"/>
      <c r="C576" s="2"/>
      <c r="D576" s="2"/>
      <c r="E576" s="2"/>
      <c r="F576" s="2"/>
      <c r="G576" s="21" t="s">
        <v>917</v>
      </c>
      <c r="H576" s="13" t="s">
        <v>332</v>
      </c>
      <c r="I576" s="283">
        <v>6500</v>
      </c>
      <c r="J576" s="283"/>
      <c r="K576" s="283"/>
      <c r="L576" s="2" t="s">
        <v>915</v>
      </c>
      <c r="M576" s="2"/>
      <c r="N576" s="1" t="s">
        <v>332</v>
      </c>
      <c r="O576" s="231">
        <f>I576*4.44822/1000</f>
        <v>28.913430000000002</v>
      </c>
      <c r="P576" s="231"/>
      <c r="Q576" s="231"/>
      <c r="R576" s="2" t="s">
        <v>335</v>
      </c>
      <c r="S576" s="2"/>
      <c r="T576" s="2"/>
      <c r="U576" s="2"/>
      <c r="V576" s="2"/>
      <c r="W576" s="2"/>
      <c r="X576" s="2"/>
      <c r="Y576" s="2"/>
      <c r="Z576" s="2"/>
      <c r="AA576" s="2"/>
      <c r="AB576" s="2"/>
      <c r="AC576" s="2"/>
      <c r="AD576" s="2"/>
      <c r="AE576" s="2"/>
      <c r="AF576" s="2"/>
      <c r="AG576" s="2"/>
    </row>
    <row r="577" spans="1:33" x14ac:dyDescent="0.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row>
    <row r="578" spans="1:33" x14ac:dyDescent="0.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row>
    <row r="579" spans="1:33" ht="15.75" customHeight="1" x14ac:dyDescent="0.2">
      <c r="A579" s="2"/>
      <c r="B579" s="2"/>
      <c r="C579" s="2"/>
      <c r="D579" s="2"/>
      <c r="E579" s="232" t="s">
        <v>921</v>
      </c>
      <c r="F579" s="232"/>
      <c r="G579" s="232"/>
      <c r="H579" s="232"/>
      <c r="I579" s="232"/>
      <c r="J579" s="232"/>
      <c r="K579" s="232"/>
      <c r="L579" s="232"/>
      <c r="M579" s="232"/>
      <c r="N579" s="232"/>
      <c r="O579" s="232"/>
      <c r="P579" s="232"/>
      <c r="Q579" s="232"/>
      <c r="R579" s="232"/>
      <c r="S579" s="232"/>
      <c r="T579" s="232"/>
      <c r="U579" s="232"/>
      <c r="V579" s="232"/>
      <c r="W579" s="232"/>
      <c r="X579" s="232"/>
      <c r="Y579" s="232"/>
      <c r="Z579" s="232"/>
      <c r="AA579" s="232"/>
      <c r="AB579" s="232"/>
      <c r="AC579" s="232"/>
      <c r="AD579" s="232"/>
      <c r="AE579" s="232"/>
      <c r="AF579" s="232"/>
      <c r="AG579" s="232"/>
    </row>
    <row r="580" spans="1:33" x14ac:dyDescent="0.2">
      <c r="A580" s="2"/>
      <c r="B580" s="2"/>
      <c r="C580" s="2"/>
      <c r="D580" s="2"/>
      <c r="E580" s="232"/>
      <c r="F580" s="232"/>
      <c r="G580" s="232"/>
      <c r="H580" s="232"/>
      <c r="I580" s="232"/>
      <c r="J580" s="232"/>
      <c r="K580" s="232"/>
      <c r="L580" s="232"/>
      <c r="M580" s="232"/>
      <c r="N580" s="232"/>
      <c r="O580" s="232"/>
      <c r="P580" s="232"/>
      <c r="Q580" s="232"/>
      <c r="R580" s="232"/>
      <c r="S580" s="232"/>
      <c r="T580" s="232"/>
      <c r="U580" s="232"/>
      <c r="V580" s="232"/>
      <c r="W580" s="232"/>
      <c r="X580" s="232"/>
      <c r="Y580" s="232"/>
      <c r="Z580" s="232"/>
      <c r="AA580" s="232"/>
      <c r="AB580" s="232"/>
      <c r="AC580" s="232"/>
      <c r="AD580" s="232"/>
      <c r="AE580" s="232"/>
      <c r="AF580" s="232"/>
      <c r="AG580" s="232"/>
    </row>
    <row r="581" spans="1:33" x14ac:dyDescent="0.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row>
    <row r="582" spans="1:33" x14ac:dyDescent="0.2">
      <c r="A582" s="2"/>
      <c r="B582" s="2"/>
      <c r="C582" s="2"/>
      <c r="D582" s="2"/>
      <c r="E582" s="2"/>
      <c r="F582" s="81" t="s">
        <v>918</v>
      </c>
      <c r="G582" s="2" t="s">
        <v>1019</v>
      </c>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row>
    <row r="583" spans="1:33" x14ac:dyDescent="0.2">
      <c r="A583" s="2"/>
      <c r="B583" s="2"/>
      <c r="C583" s="2"/>
      <c r="D583" s="2"/>
      <c r="E583" s="2"/>
      <c r="F583" s="81" t="s">
        <v>919</v>
      </c>
      <c r="G583" s="232" t="s">
        <v>1296</v>
      </c>
      <c r="H583" s="232"/>
      <c r="I583" s="232"/>
      <c r="J583" s="232"/>
      <c r="K583" s="232"/>
      <c r="L583" s="232"/>
      <c r="M583" s="232"/>
      <c r="N583" s="232"/>
      <c r="O583" s="232"/>
      <c r="P583" s="232"/>
      <c r="Q583" s="232"/>
      <c r="R583" s="232"/>
      <c r="S583" s="232"/>
      <c r="T583" s="232"/>
      <c r="U583" s="232"/>
      <c r="V583" s="232"/>
      <c r="W583" s="232"/>
      <c r="X583" s="232"/>
      <c r="Y583" s="232"/>
      <c r="Z583" s="232"/>
      <c r="AA583" s="232"/>
      <c r="AB583" s="232"/>
      <c r="AC583" s="232"/>
      <c r="AD583" s="232"/>
      <c r="AE583" s="232"/>
      <c r="AF583" s="232"/>
      <c r="AG583" s="232"/>
    </row>
    <row r="584" spans="1:33" x14ac:dyDescent="0.2">
      <c r="A584" s="2"/>
      <c r="B584" s="2"/>
      <c r="C584" s="2"/>
      <c r="D584" s="2"/>
      <c r="E584" s="2"/>
      <c r="F584" s="81" t="s">
        <v>920</v>
      </c>
      <c r="G584" s="232" t="s">
        <v>1297</v>
      </c>
      <c r="H584" s="232"/>
      <c r="I584" s="232"/>
      <c r="J584" s="232"/>
      <c r="K584" s="232"/>
      <c r="L584" s="232"/>
      <c r="M584" s="232"/>
      <c r="N584" s="232"/>
      <c r="O584" s="232"/>
      <c r="P584" s="232"/>
      <c r="Q584" s="232"/>
      <c r="R584" s="232"/>
      <c r="S584" s="232"/>
      <c r="T584" s="232"/>
      <c r="U584" s="232"/>
      <c r="V584" s="232"/>
      <c r="W584" s="232"/>
      <c r="X584" s="232"/>
      <c r="Y584" s="232"/>
      <c r="Z584" s="232"/>
      <c r="AA584" s="232"/>
      <c r="AB584" s="232"/>
      <c r="AC584" s="232"/>
      <c r="AD584" s="232"/>
      <c r="AE584" s="232"/>
      <c r="AF584" s="232"/>
      <c r="AG584" s="232"/>
    </row>
    <row r="585" spans="1:33" x14ac:dyDescent="0.2">
      <c r="A585" s="2"/>
      <c r="B585" s="2"/>
      <c r="C585" s="2"/>
      <c r="D585" s="2"/>
      <c r="E585" s="2"/>
      <c r="F585" s="2"/>
      <c r="G585" s="232"/>
      <c r="H585" s="232"/>
      <c r="I585" s="232"/>
      <c r="J585" s="232"/>
      <c r="K585" s="232"/>
      <c r="L585" s="232"/>
      <c r="M585" s="232"/>
      <c r="N585" s="232"/>
      <c r="O585" s="232"/>
      <c r="P585" s="232"/>
      <c r="Q585" s="232"/>
      <c r="R585" s="232"/>
      <c r="S585" s="232"/>
      <c r="T585" s="232"/>
      <c r="U585" s="232"/>
      <c r="V585" s="232"/>
      <c r="W585" s="232"/>
      <c r="X585" s="232"/>
      <c r="Y585" s="232"/>
      <c r="Z585" s="232"/>
      <c r="AA585" s="232"/>
      <c r="AB585" s="232"/>
      <c r="AC585" s="232"/>
      <c r="AD585" s="232"/>
      <c r="AE585" s="232"/>
      <c r="AF585" s="232"/>
      <c r="AG585" s="232"/>
    </row>
    <row r="586" spans="1:33" x14ac:dyDescent="0.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row>
    <row r="587" spans="1:33" x14ac:dyDescent="0.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row>
    <row r="588" spans="1:33" x14ac:dyDescent="0.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row>
    <row r="589" spans="1:33" x14ac:dyDescent="0.2">
      <c r="A589" s="2"/>
      <c r="B589" s="2"/>
      <c r="D589" s="16" t="s">
        <v>575</v>
      </c>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row>
    <row r="590" spans="1:33" x14ac:dyDescent="0.2">
      <c r="A590" s="2"/>
      <c r="B590" s="2"/>
      <c r="D590" s="2" t="s">
        <v>574</v>
      </c>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row>
    <row r="591" spans="1:33" x14ac:dyDescent="0.2">
      <c r="A591" s="2"/>
      <c r="B591" s="2"/>
      <c r="D591" s="2" t="s">
        <v>1298</v>
      </c>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row>
    <row r="592" spans="1:33" x14ac:dyDescent="0.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row>
    <row r="593" spans="1:33" x14ac:dyDescent="0.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row>
    <row r="594" spans="1:33" x14ac:dyDescent="0.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row>
    <row r="595" spans="1:33" x14ac:dyDescent="0.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row>
    <row r="596" spans="1:33" x14ac:dyDescent="0.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row>
    <row r="597" spans="1:33" x14ac:dyDescent="0.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row>
    <row r="598" spans="1:33" x14ac:dyDescent="0.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row>
    <row r="599" spans="1:33" x14ac:dyDescent="0.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row>
    <row r="600" spans="1:33" s="2" customFormat="1" ht="12.75" x14ac:dyDescent="0.2">
      <c r="C600" s="48" t="s">
        <v>1001</v>
      </c>
    </row>
    <row r="601" spans="1:33" x14ac:dyDescent="0.2">
      <c r="A601" s="2"/>
      <c r="B601" s="2"/>
      <c r="C601" s="2" t="s">
        <v>998</v>
      </c>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row>
    <row r="602" spans="1:33" x14ac:dyDescent="0.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row>
    <row r="603" spans="1:33" x14ac:dyDescent="0.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row>
    <row r="604" spans="1:33" x14ac:dyDescent="0.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row>
    <row r="605" spans="1:33" x14ac:dyDescent="0.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row>
    <row r="606" spans="1:33" x14ac:dyDescent="0.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row>
    <row r="607" spans="1:33" x14ac:dyDescent="0.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row>
    <row r="608" spans="1:33" ht="15.75" x14ac:dyDescent="0.3">
      <c r="A608" s="2"/>
      <c r="B608" s="2"/>
      <c r="C608" s="2"/>
      <c r="D608" s="21" t="s">
        <v>553</v>
      </c>
      <c r="E608" s="13" t="s">
        <v>332</v>
      </c>
      <c r="F608" s="283">
        <f>H187*1000</f>
        <v>219</v>
      </c>
      <c r="G608" s="283"/>
      <c r="H608" s="283"/>
      <c r="I608" s="2" t="s">
        <v>337</v>
      </c>
      <c r="J608" s="2"/>
      <c r="K608" s="2"/>
      <c r="L608" s="2" t="s">
        <v>641</v>
      </c>
      <c r="M608" s="2"/>
      <c r="N608" s="2"/>
      <c r="O608" s="2"/>
      <c r="P608" s="2"/>
      <c r="Q608" s="2"/>
      <c r="R608" s="2"/>
      <c r="S608" s="2"/>
      <c r="T608" s="2"/>
      <c r="U608" s="2"/>
      <c r="V608" s="2"/>
      <c r="W608" s="2"/>
      <c r="X608" s="2"/>
      <c r="Y608" s="2"/>
      <c r="Z608" s="2"/>
      <c r="AA608" s="2"/>
      <c r="AB608" s="2"/>
      <c r="AC608" s="2"/>
      <c r="AD608" s="2"/>
      <c r="AE608" s="2"/>
      <c r="AF608" s="2"/>
      <c r="AG608" s="2"/>
    </row>
    <row r="609" spans="1:33" x14ac:dyDescent="0.2">
      <c r="A609" s="2"/>
      <c r="B609" s="2"/>
      <c r="C609" s="2"/>
      <c r="D609" s="21" t="s">
        <v>513</v>
      </c>
      <c r="E609" s="13" t="s">
        <v>332</v>
      </c>
      <c r="F609" s="283">
        <f>G72*1000</f>
        <v>1000</v>
      </c>
      <c r="G609" s="283"/>
      <c r="H609" s="283"/>
      <c r="I609" s="2" t="s">
        <v>337</v>
      </c>
      <c r="J609" s="2"/>
      <c r="K609" s="2"/>
      <c r="L609" s="2" t="s">
        <v>849</v>
      </c>
      <c r="M609" s="2"/>
      <c r="N609" s="2"/>
      <c r="O609" s="2"/>
      <c r="P609" s="2"/>
      <c r="Q609" s="2"/>
      <c r="R609" s="2"/>
      <c r="S609" s="2"/>
      <c r="T609" s="2"/>
      <c r="U609" s="2"/>
      <c r="V609" s="2"/>
      <c r="W609" s="2"/>
      <c r="X609" s="2"/>
      <c r="Y609" s="2"/>
      <c r="Z609" s="2"/>
      <c r="AA609" s="2"/>
      <c r="AB609" s="2"/>
      <c r="AC609" s="2"/>
      <c r="AD609" s="2"/>
      <c r="AE609" s="2"/>
      <c r="AF609" s="2"/>
      <c r="AG609" s="2"/>
    </row>
    <row r="610" spans="1:33" ht="15.75" x14ac:dyDescent="0.3">
      <c r="A610" s="2"/>
      <c r="B610" s="2"/>
      <c r="C610" s="2"/>
      <c r="D610" s="21" t="s">
        <v>1004</v>
      </c>
      <c r="E610" s="13" t="s">
        <v>332</v>
      </c>
      <c r="F610" s="231">
        <f>F609/F608</f>
        <v>4.5662100456621006</v>
      </c>
      <c r="G610" s="284"/>
      <c r="H610" s="284"/>
      <c r="I610" s="2" t="s">
        <v>1020</v>
      </c>
      <c r="J610" s="2"/>
      <c r="K610" s="2"/>
      <c r="L610" s="2" t="s">
        <v>999</v>
      </c>
      <c r="M610" s="2"/>
      <c r="N610" s="2"/>
      <c r="O610" s="2"/>
      <c r="P610" s="2"/>
      <c r="Q610" s="2"/>
      <c r="R610" s="2"/>
      <c r="S610" s="2"/>
      <c r="T610" s="2"/>
      <c r="U610" s="2"/>
      <c r="V610" s="2"/>
      <c r="W610" s="2"/>
      <c r="X610" s="2"/>
      <c r="Y610" s="2"/>
      <c r="Z610" s="2"/>
      <c r="AA610" s="2"/>
      <c r="AB610" s="2"/>
      <c r="AC610" s="2"/>
      <c r="AD610" s="2"/>
      <c r="AE610" s="2"/>
      <c r="AF610" s="2"/>
      <c r="AG610" s="2"/>
    </row>
    <row r="611" spans="1:33" x14ac:dyDescent="0.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row>
    <row r="612" spans="1:33" x14ac:dyDescent="0.2">
      <c r="A612" s="2"/>
      <c r="B612" s="2"/>
      <c r="C612" s="2" t="s">
        <v>1000</v>
      </c>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row>
    <row r="613" spans="1:33" x14ac:dyDescent="0.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row>
    <row r="614" spans="1:33" x14ac:dyDescent="0.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row>
    <row r="615" spans="1:33" x14ac:dyDescent="0.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row>
    <row r="616" spans="1:33" x14ac:dyDescent="0.2">
      <c r="A616" s="2"/>
      <c r="B616" s="2"/>
      <c r="C616" s="2" t="s">
        <v>1002</v>
      </c>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row>
    <row r="617" spans="1:33" x14ac:dyDescent="0.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row>
    <row r="618" spans="1:33" ht="15.75" x14ac:dyDescent="0.3">
      <c r="A618" s="2"/>
      <c r="B618" s="2"/>
      <c r="C618" s="2"/>
      <c r="D618" s="2"/>
      <c r="E618" s="21" t="s">
        <v>1005</v>
      </c>
      <c r="F618" s="13" t="s">
        <v>332</v>
      </c>
      <c r="G618" s="283">
        <f>1.25*F608</f>
        <v>273.75</v>
      </c>
      <c r="H618" s="283"/>
      <c r="I618" s="283"/>
      <c r="J618" s="2" t="s">
        <v>337</v>
      </c>
      <c r="K618" s="2"/>
      <c r="L618" s="2"/>
      <c r="M618" s="2" t="s">
        <v>641</v>
      </c>
      <c r="N618" s="2"/>
      <c r="O618" s="2"/>
      <c r="P618" s="2"/>
      <c r="Q618" s="2"/>
      <c r="R618" s="2"/>
      <c r="S618" s="2"/>
      <c r="T618" s="2"/>
      <c r="U618" s="2"/>
      <c r="V618" s="2"/>
      <c r="W618" s="2"/>
      <c r="X618" s="2"/>
      <c r="Y618" s="2"/>
      <c r="Z618" s="2"/>
      <c r="AA618" s="2"/>
      <c r="AB618" s="2"/>
      <c r="AC618" s="2"/>
      <c r="AD618" s="2"/>
      <c r="AE618" s="2"/>
      <c r="AF618" s="2"/>
      <c r="AG618" s="2"/>
    </row>
    <row r="619" spans="1:33" ht="15.75" x14ac:dyDescent="0.3">
      <c r="A619" s="2"/>
      <c r="B619" s="2"/>
      <c r="C619" s="2"/>
      <c r="D619" s="2"/>
      <c r="E619" s="21" t="s">
        <v>902</v>
      </c>
      <c r="F619" s="13" t="s">
        <v>332</v>
      </c>
      <c r="G619" s="283">
        <f>('7. Load Development'!L65*1000-'8. Pile Design'!F609)/2</f>
        <v>400</v>
      </c>
      <c r="H619" s="283"/>
      <c r="I619" s="283"/>
      <c r="J619" s="2" t="s">
        <v>337</v>
      </c>
      <c r="K619" s="2"/>
      <c r="L619" s="2"/>
      <c r="M619" s="2" t="s">
        <v>1003</v>
      </c>
      <c r="N619" s="2"/>
      <c r="O619" s="2"/>
      <c r="P619" s="2"/>
      <c r="Q619" s="2"/>
      <c r="R619" s="2"/>
      <c r="S619" s="2"/>
      <c r="T619" s="2"/>
      <c r="U619" s="2"/>
      <c r="V619" s="2"/>
      <c r="W619" s="2"/>
      <c r="X619" s="2"/>
      <c r="Y619" s="2"/>
      <c r="Z619" s="2"/>
      <c r="AA619" s="2"/>
      <c r="AB619" s="2"/>
      <c r="AC619" s="2"/>
      <c r="AD619" s="2"/>
      <c r="AE619" s="2"/>
      <c r="AF619" s="2"/>
      <c r="AG619" s="2"/>
    </row>
    <row r="620" spans="1:33" ht="15.75" x14ac:dyDescent="0.3">
      <c r="A620" s="2"/>
      <c r="B620" s="2"/>
      <c r="C620" s="2"/>
      <c r="D620" s="2"/>
      <c r="E620" s="21" t="s">
        <v>1006</v>
      </c>
      <c r="F620" s="13" t="s">
        <v>332</v>
      </c>
      <c r="G620" s="285">
        <f>G619/F608</f>
        <v>1.8264840182648401</v>
      </c>
      <c r="H620" s="285"/>
      <c r="I620" s="285"/>
      <c r="J620" s="2" t="s">
        <v>1294</v>
      </c>
      <c r="K620" s="2"/>
      <c r="L620" s="2"/>
      <c r="M620" s="2"/>
      <c r="N620" s="2"/>
      <c r="O620" s="2"/>
      <c r="P620" s="2"/>
      <c r="Q620" s="2"/>
      <c r="R620" s="2"/>
      <c r="S620" s="2"/>
      <c r="T620" s="2"/>
      <c r="U620" s="2"/>
      <c r="V620" s="2"/>
      <c r="W620" s="2"/>
      <c r="X620" s="2"/>
      <c r="Y620" s="2"/>
      <c r="Z620" s="2"/>
      <c r="AA620" s="2"/>
      <c r="AB620" s="2"/>
      <c r="AC620" s="2"/>
      <c r="AD620" s="2"/>
      <c r="AE620" s="2"/>
      <c r="AF620" s="2"/>
      <c r="AG620" s="2"/>
    </row>
    <row r="621" spans="1:33" x14ac:dyDescent="0.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row>
    <row r="622" spans="1:33" x14ac:dyDescent="0.2">
      <c r="A622" s="2"/>
      <c r="B622" s="2"/>
      <c r="C622" s="14"/>
      <c r="D622" s="14"/>
      <c r="E622" s="14"/>
      <c r="F622" s="14"/>
      <c r="G622" s="14"/>
      <c r="H622" s="14"/>
      <c r="I622" s="14"/>
      <c r="J622" s="14"/>
      <c r="K622" s="14"/>
      <c r="L622" s="14"/>
      <c r="M622" s="14"/>
      <c r="N622" s="14"/>
      <c r="O622" s="14"/>
      <c r="P622" s="14"/>
      <c r="Q622" s="14"/>
      <c r="R622" s="14"/>
      <c r="S622" s="14"/>
      <c r="T622" s="14"/>
      <c r="U622" s="14"/>
      <c r="V622" s="14"/>
      <c r="W622" s="14"/>
      <c r="X622" s="14"/>
      <c r="Y622" s="14"/>
      <c r="Z622" s="14"/>
      <c r="AA622" s="14"/>
      <c r="AB622" s="14"/>
      <c r="AC622" s="14"/>
      <c r="AD622" s="14"/>
      <c r="AE622" s="14"/>
      <c r="AF622" s="14"/>
      <c r="AG622" s="2"/>
    </row>
    <row r="623" spans="1:33" x14ac:dyDescent="0.2">
      <c r="A623" s="2"/>
      <c r="B623" s="2"/>
      <c r="C623" s="14"/>
      <c r="D623" s="14"/>
      <c r="E623" s="14"/>
      <c r="F623" s="14"/>
      <c r="G623" s="14"/>
      <c r="H623" s="14"/>
      <c r="I623" s="14"/>
      <c r="J623" s="14"/>
      <c r="K623" s="14"/>
      <c r="L623" s="14"/>
      <c r="M623" s="14"/>
      <c r="N623" s="14"/>
      <c r="O623" s="14"/>
      <c r="P623" s="14"/>
      <c r="Q623" s="14"/>
      <c r="R623" s="14"/>
      <c r="S623" s="14"/>
      <c r="T623" s="14"/>
      <c r="U623" s="14"/>
      <c r="V623" s="14"/>
      <c r="W623" s="14"/>
      <c r="X623" s="14"/>
      <c r="Y623" s="14"/>
      <c r="Z623" s="14"/>
      <c r="AA623" s="14"/>
      <c r="AB623" s="14"/>
      <c r="AC623" s="14"/>
      <c r="AD623" s="14"/>
      <c r="AE623" s="14"/>
      <c r="AF623" s="14"/>
      <c r="AG623" s="2"/>
    </row>
    <row r="624" spans="1:33" x14ac:dyDescent="0.2">
      <c r="A624" s="2"/>
      <c r="B624" s="2"/>
      <c r="C624" s="14"/>
      <c r="D624" s="14"/>
      <c r="E624" s="14"/>
      <c r="F624" s="14"/>
      <c r="G624" s="14"/>
      <c r="H624" s="14"/>
      <c r="I624" s="14"/>
      <c r="J624" s="14"/>
      <c r="K624" s="14"/>
      <c r="L624" s="14"/>
      <c r="M624" s="14"/>
      <c r="N624" s="14"/>
      <c r="O624" s="14"/>
      <c r="P624" s="14"/>
      <c r="Q624" s="14"/>
      <c r="R624" s="14"/>
      <c r="S624" s="14"/>
      <c r="T624" s="14"/>
      <c r="U624" s="14"/>
      <c r="V624" s="14"/>
      <c r="W624" s="14"/>
      <c r="X624" s="14"/>
      <c r="Y624" s="14"/>
      <c r="Z624" s="14"/>
      <c r="AA624" s="14"/>
      <c r="AB624" s="14"/>
      <c r="AC624" s="14"/>
      <c r="AD624" s="14"/>
      <c r="AE624" s="14"/>
      <c r="AF624" s="14"/>
      <c r="AG624" s="2"/>
    </row>
    <row r="625" spans="1:33" x14ac:dyDescent="0.2">
      <c r="A625" s="2"/>
      <c r="B625" s="2"/>
      <c r="C625" s="14"/>
      <c r="D625" s="14"/>
      <c r="E625" s="14"/>
      <c r="F625" s="14"/>
      <c r="G625" s="14"/>
      <c r="H625" s="14"/>
      <c r="I625" s="14"/>
      <c r="J625" s="14"/>
      <c r="K625" s="14"/>
      <c r="L625" s="14"/>
      <c r="M625" s="14"/>
      <c r="N625" s="14"/>
      <c r="O625" s="14"/>
      <c r="P625" s="14"/>
      <c r="Q625" s="14"/>
      <c r="R625" s="14"/>
      <c r="S625" s="14"/>
      <c r="T625" s="14"/>
      <c r="U625" s="14"/>
      <c r="V625" s="14"/>
      <c r="W625" s="14"/>
      <c r="X625" s="14"/>
      <c r="Y625" s="14"/>
      <c r="Z625" s="14"/>
      <c r="AA625" s="14"/>
      <c r="AB625" s="14"/>
      <c r="AC625" s="14"/>
      <c r="AD625" s="14"/>
      <c r="AE625" s="14"/>
      <c r="AF625" s="14"/>
      <c r="AG625" s="2"/>
    </row>
    <row r="626" spans="1:33" x14ac:dyDescent="0.2">
      <c r="A626" s="2"/>
      <c r="B626" s="2"/>
      <c r="C626" s="14"/>
      <c r="D626" s="14"/>
      <c r="E626" s="14"/>
      <c r="F626" s="14"/>
      <c r="G626" s="14"/>
      <c r="H626" s="14"/>
      <c r="I626" s="14"/>
      <c r="J626" s="14"/>
      <c r="K626" s="14"/>
      <c r="L626" s="14"/>
      <c r="M626" s="14"/>
      <c r="N626" s="14"/>
      <c r="O626" s="14"/>
      <c r="P626" s="14"/>
      <c r="Q626" s="14"/>
      <c r="R626" s="14"/>
      <c r="S626" s="14"/>
      <c r="T626" s="14"/>
      <c r="U626" s="14"/>
      <c r="V626" s="14"/>
      <c r="W626" s="14"/>
      <c r="X626" s="14"/>
      <c r="Y626" s="14"/>
      <c r="Z626" s="14"/>
      <c r="AA626" s="14"/>
      <c r="AB626" s="14"/>
      <c r="AC626" s="14"/>
      <c r="AD626" s="14"/>
      <c r="AE626" s="14"/>
      <c r="AF626" s="14"/>
      <c r="AG626" s="2"/>
    </row>
    <row r="627" spans="1:33" x14ac:dyDescent="0.2">
      <c r="A627" s="2"/>
      <c r="B627" s="2"/>
      <c r="C627" s="14"/>
      <c r="D627" s="14"/>
      <c r="E627" s="14"/>
      <c r="F627" s="14"/>
      <c r="G627" s="14"/>
      <c r="H627" s="14"/>
      <c r="I627" s="14"/>
      <c r="J627" s="14"/>
      <c r="K627" s="14"/>
      <c r="L627" s="14"/>
      <c r="M627" s="14"/>
      <c r="N627" s="14"/>
      <c r="O627" s="14"/>
      <c r="P627" s="14"/>
      <c r="Q627" s="14"/>
      <c r="R627" s="14"/>
      <c r="S627" s="14"/>
      <c r="T627" s="14"/>
      <c r="U627" s="14"/>
      <c r="V627" s="14"/>
      <c r="W627" s="14"/>
      <c r="X627" s="14"/>
      <c r="Y627" s="14"/>
      <c r="Z627" s="14"/>
      <c r="AA627" s="14"/>
      <c r="AB627" s="14"/>
      <c r="AC627" s="14"/>
      <c r="AD627" s="14"/>
      <c r="AE627" s="14"/>
      <c r="AF627" s="14"/>
      <c r="AG627" s="2"/>
    </row>
    <row r="628" spans="1:33" x14ac:dyDescent="0.2">
      <c r="A628" s="2"/>
      <c r="B628" s="2"/>
      <c r="C628" s="14"/>
      <c r="D628" s="14"/>
      <c r="E628" s="14"/>
      <c r="F628" s="14"/>
      <c r="G628" s="14"/>
      <c r="H628" s="14"/>
      <c r="I628" s="14"/>
      <c r="J628" s="14"/>
      <c r="K628" s="14"/>
      <c r="L628" s="14"/>
      <c r="M628" s="14"/>
      <c r="N628" s="14"/>
      <c r="O628" s="14"/>
      <c r="P628" s="14"/>
      <c r="Q628" s="14"/>
      <c r="R628" s="14"/>
      <c r="S628" s="14"/>
      <c r="T628" s="14"/>
      <c r="U628" s="14"/>
      <c r="V628" s="14"/>
      <c r="W628" s="14"/>
      <c r="X628" s="14"/>
      <c r="Y628" s="14"/>
      <c r="Z628" s="14"/>
      <c r="AA628" s="14"/>
      <c r="AB628" s="14"/>
      <c r="AC628" s="14"/>
      <c r="AD628" s="14"/>
      <c r="AE628" s="14"/>
      <c r="AF628" s="14"/>
      <c r="AG628" s="2"/>
    </row>
    <row r="629" spans="1:33" x14ac:dyDescent="0.2">
      <c r="A629" s="2"/>
      <c r="B629" s="2"/>
      <c r="C629" s="14"/>
      <c r="D629" s="14"/>
      <c r="E629" s="14"/>
      <c r="F629" s="14"/>
      <c r="G629" s="14"/>
      <c r="H629" s="14"/>
      <c r="I629" s="14"/>
      <c r="J629" s="14"/>
      <c r="K629" s="14"/>
      <c r="L629" s="14"/>
      <c r="M629" s="14"/>
      <c r="N629" s="14"/>
      <c r="O629" s="14"/>
      <c r="P629" s="14"/>
      <c r="Q629" s="14"/>
      <c r="R629" s="14"/>
      <c r="S629" s="14"/>
      <c r="T629" s="14"/>
      <c r="U629" s="14"/>
      <c r="V629" s="14"/>
      <c r="W629" s="14"/>
      <c r="X629" s="14"/>
      <c r="Y629" s="14"/>
      <c r="Z629" s="14"/>
      <c r="AA629" s="14"/>
      <c r="AB629" s="14"/>
      <c r="AC629" s="14"/>
      <c r="AD629" s="14"/>
      <c r="AE629" s="14"/>
      <c r="AF629" s="14"/>
      <c r="AG629" s="2"/>
    </row>
    <row r="630" spans="1:33" x14ac:dyDescent="0.2">
      <c r="A630" s="2"/>
      <c r="B630" s="2"/>
      <c r="C630" s="14"/>
      <c r="D630" s="14"/>
      <c r="E630" s="14"/>
      <c r="F630" s="14"/>
      <c r="G630" s="14"/>
      <c r="H630" s="14"/>
      <c r="I630" s="14"/>
      <c r="J630" s="14"/>
      <c r="K630" s="14"/>
      <c r="L630" s="14"/>
      <c r="M630" s="14"/>
      <c r="N630" s="14"/>
      <c r="O630" s="14"/>
      <c r="P630" s="14"/>
      <c r="Q630" s="14"/>
      <c r="R630" s="14"/>
      <c r="S630" s="14"/>
      <c r="T630" s="14"/>
      <c r="U630" s="14"/>
      <c r="V630" s="14"/>
      <c r="W630" s="14"/>
      <c r="X630" s="14"/>
      <c r="Y630" s="14"/>
      <c r="Z630" s="14"/>
      <c r="AA630" s="14"/>
      <c r="AB630" s="14"/>
      <c r="AC630" s="14"/>
      <c r="AD630" s="14"/>
      <c r="AE630" s="14"/>
      <c r="AF630" s="14"/>
      <c r="AG630" s="2"/>
    </row>
    <row r="631" spans="1:33" x14ac:dyDescent="0.2">
      <c r="A631" s="2"/>
      <c r="B631" s="2"/>
      <c r="C631" s="14"/>
      <c r="D631" s="14"/>
      <c r="E631" s="14"/>
      <c r="F631" s="14"/>
      <c r="G631" s="14"/>
      <c r="H631" s="14"/>
      <c r="I631" s="14"/>
      <c r="J631" s="14"/>
      <c r="K631" s="14"/>
      <c r="L631" s="14"/>
      <c r="M631" s="14"/>
      <c r="N631" s="14"/>
      <c r="O631" s="14"/>
      <c r="P631" s="14"/>
      <c r="Q631" s="14"/>
      <c r="R631" s="14"/>
      <c r="S631" s="14"/>
      <c r="T631" s="14"/>
      <c r="U631" s="14"/>
      <c r="V631" s="14"/>
      <c r="W631" s="14"/>
      <c r="X631" s="14"/>
      <c r="Y631" s="14"/>
      <c r="Z631" s="14"/>
      <c r="AA631" s="14"/>
      <c r="AB631" s="14"/>
      <c r="AC631" s="14"/>
      <c r="AD631" s="14"/>
      <c r="AE631" s="14"/>
      <c r="AF631" s="14"/>
      <c r="AG631" s="2"/>
    </row>
    <row r="632" spans="1:33" x14ac:dyDescent="0.2">
      <c r="A632" s="2"/>
      <c r="B632" s="2"/>
      <c r="C632" s="14"/>
      <c r="D632" s="14"/>
      <c r="E632" s="14"/>
      <c r="F632" s="14"/>
      <c r="G632" s="14"/>
      <c r="H632" s="14"/>
      <c r="I632" s="14"/>
      <c r="J632" s="14"/>
      <c r="K632" s="14"/>
      <c r="L632" s="14"/>
      <c r="M632" s="14"/>
      <c r="N632" s="14"/>
      <c r="O632" s="14"/>
      <c r="P632" s="14"/>
      <c r="Q632" s="14"/>
      <c r="R632" s="14"/>
      <c r="S632" s="14"/>
      <c r="T632" s="14"/>
      <c r="U632" s="14"/>
      <c r="V632" s="14"/>
      <c r="W632" s="14"/>
      <c r="X632" s="14"/>
      <c r="Y632" s="14"/>
      <c r="Z632" s="14"/>
      <c r="AA632" s="14"/>
      <c r="AB632" s="14"/>
      <c r="AC632" s="14"/>
      <c r="AD632" s="14"/>
      <c r="AE632" s="14"/>
      <c r="AF632" s="14"/>
      <c r="AG632" s="2"/>
    </row>
    <row r="633" spans="1:33" x14ac:dyDescent="0.2">
      <c r="A633" s="2"/>
      <c r="B633" s="2"/>
      <c r="C633" s="14"/>
      <c r="D633" s="14"/>
      <c r="E633" s="14"/>
      <c r="F633" s="14"/>
      <c r="G633" s="14"/>
      <c r="H633" s="14"/>
      <c r="I633" s="14"/>
      <c r="J633" s="14"/>
      <c r="K633" s="14"/>
      <c r="L633" s="14"/>
      <c r="M633" s="14"/>
      <c r="N633" s="14"/>
      <c r="O633" s="14"/>
      <c r="P633" s="14"/>
      <c r="Q633" s="14"/>
      <c r="R633" s="14"/>
      <c r="S633" s="14"/>
      <c r="T633" s="14"/>
      <c r="U633" s="14"/>
      <c r="V633" s="14"/>
      <c r="W633" s="14"/>
      <c r="X633" s="14"/>
      <c r="Y633" s="14"/>
      <c r="Z633" s="14"/>
      <c r="AA633" s="14"/>
      <c r="AB633" s="14"/>
      <c r="AC633" s="14"/>
      <c r="AD633" s="14"/>
      <c r="AE633" s="14"/>
      <c r="AF633" s="14"/>
      <c r="AG633" s="2"/>
    </row>
    <row r="634" spans="1:33" x14ac:dyDescent="0.2">
      <c r="A634" s="2"/>
      <c r="B634" s="2"/>
      <c r="C634" s="14"/>
      <c r="D634" s="14"/>
      <c r="E634" s="14"/>
      <c r="F634" s="14"/>
      <c r="G634" s="14"/>
      <c r="H634" s="14"/>
      <c r="I634" s="14"/>
      <c r="J634" s="14"/>
      <c r="K634" s="14"/>
      <c r="L634" s="14"/>
      <c r="M634" s="14"/>
      <c r="N634" s="14"/>
      <c r="O634" s="14"/>
      <c r="P634" s="14"/>
      <c r="Q634" s="14"/>
      <c r="R634" s="14"/>
      <c r="S634" s="14"/>
      <c r="T634" s="14"/>
      <c r="U634" s="14"/>
      <c r="V634" s="14"/>
      <c r="W634" s="14"/>
      <c r="X634" s="14"/>
      <c r="Y634" s="14"/>
      <c r="Z634" s="14"/>
      <c r="AA634" s="14"/>
      <c r="AB634" s="14"/>
      <c r="AC634" s="14"/>
      <c r="AD634" s="14"/>
      <c r="AE634" s="14"/>
      <c r="AF634" s="14"/>
      <c r="AG634" s="2"/>
    </row>
    <row r="635" spans="1:33" x14ac:dyDescent="0.2">
      <c r="A635" s="2"/>
      <c r="B635" s="2"/>
      <c r="C635" s="14"/>
      <c r="D635" s="14"/>
      <c r="E635" s="14"/>
      <c r="F635" s="14"/>
      <c r="G635" s="14"/>
      <c r="H635" s="14"/>
      <c r="I635" s="14"/>
      <c r="J635" s="14"/>
      <c r="K635" s="14"/>
      <c r="L635" s="14"/>
      <c r="M635" s="14"/>
      <c r="N635" s="14"/>
      <c r="O635" s="14"/>
      <c r="P635" s="14"/>
      <c r="Q635" s="14"/>
      <c r="R635" s="14"/>
      <c r="S635" s="14"/>
      <c r="T635" s="14"/>
      <c r="U635" s="14"/>
      <c r="V635" s="14"/>
      <c r="W635" s="14"/>
      <c r="X635" s="14"/>
      <c r="Y635" s="14"/>
      <c r="Z635" s="14"/>
      <c r="AA635" s="14"/>
      <c r="AB635" s="14"/>
      <c r="AC635" s="14"/>
      <c r="AD635" s="14"/>
      <c r="AE635" s="14"/>
      <c r="AF635" s="14"/>
      <c r="AG635" s="2"/>
    </row>
    <row r="636" spans="1:33" x14ac:dyDescent="0.2">
      <c r="A636" s="2"/>
      <c r="B636" s="2"/>
      <c r="C636" s="14"/>
      <c r="D636" s="14"/>
      <c r="E636" s="14"/>
      <c r="F636" s="14"/>
      <c r="G636" s="14"/>
      <c r="H636" s="14"/>
      <c r="I636" s="14"/>
      <c r="J636" s="14"/>
      <c r="K636" s="14"/>
      <c r="L636" s="14"/>
      <c r="M636" s="14"/>
      <c r="N636" s="14"/>
      <c r="O636" s="14"/>
      <c r="P636" s="14"/>
      <c r="Q636" s="14"/>
      <c r="R636" s="14"/>
      <c r="S636" s="14"/>
      <c r="T636" s="14"/>
      <c r="U636" s="14"/>
      <c r="V636" s="14"/>
      <c r="W636" s="14"/>
      <c r="X636" s="14"/>
      <c r="Y636" s="14"/>
      <c r="Z636" s="14"/>
      <c r="AA636" s="14"/>
      <c r="AB636" s="14"/>
      <c r="AC636" s="14"/>
      <c r="AD636" s="14"/>
      <c r="AE636" s="14"/>
      <c r="AF636" s="14"/>
      <c r="AG636" s="2"/>
    </row>
    <row r="637" spans="1:33" x14ac:dyDescent="0.2">
      <c r="A637" s="2"/>
      <c r="B637" s="2"/>
      <c r="C637" s="14"/>
      <c r="D637" s="14"/>
      <c r="E637" s="14"/>
      <c r="F637" s="14"/>
      <c r="G637" s="14"/>
      <c r="H637" s="14"/>
      <c r="I637" s="14"/>
      <c r="J637" s="14"/>
      <c r="K637" s="14"/>
      <c r="L637" s="14"/>
      <c r="M637" s="14"/>
      <c r="N637" s="14"/>
      <c r="O637" s="14"/>
      <c r="P637" s="14"/>
      <c r="Q637" s="14"/>
      <c r="R637" s="14"/>
      <c r="S637" s="14"/>
      <c r="T637" s="14"/>
      <c r="U637" s="14"/>
      <c r="V637" s="14"/>
      <c r="W637" s="14"/>
      <c r="X637" s="14"/>
      <c r="Y637" s="14"/>
      <c r="Z637" s="14"/>
      <c r="AA637" s="14"/>
      <c r="AB637" s="14"/>
      <c r="AC637" s="14"/>
      <c r="AD637" s="14"/>
      <c r="AE637" s="14"/>
      <c r="AF637" s="14"/>
      <c r="AG637" s="2"/>
    </row>
    <row r="638" spans="1:33" x14ac:dyDescent="0.2">
      <c r="A638" s="2"/>
      <c r="B638" s="2"/>
      <c r="C638" s="14"/>
      <c r="D638" s="14"/>
      <c r="E638" s="14"/>
      <c r="F638" s="14"/>
      <c r="G638" s="14"/>
      <c r="H638" s="14"/>
      <c r="I638" s="14"/>
      <c r="J638" s="14"/>
      <c r="K638" s="14"/>
      <c r="L638" s="14"/>
      <c r="M638" s="14"/>
      <c r="N638" s="14"/>
      <c r="O638" s="14"/>
      <c r="P638" s="14"/>
      <c r="Q638" s="14"/>
      <c r="R638" s="14"/>
      <c r="S638" s="14"/>
      <c r="T638" s="14"/>
      <c r="U638" s="14"/>
      <c r="V638" s="14"/>
      <c r="W638" s="14"/>
      <c r="X638" s="14"/>
      <c r="Y638" s="14"/>
      <c r="Z638" s="14"/>
      <c r="AA638" s="14"/>
      <c r="AB638" s="14"/>
      <c r="AC638" s="14"/>
      <c r="AD638" s="14"/>
      <c r="AE638" s="14"/>
      <c r="AF638" s="14"/>
      <c r="AG638" s="2"/>
    </row>
    <row r="639" spans="1:33" x14ac:dyDescent="0.2">
      <c r="A639" s="2"/>
      <c r="B639" s="2"/>
      <c r="C639" s="14"/>
      <c r="D639" s="14"/>
      <c r="E639" s="14"/>
      <c r="F639" s="14"/>
      <c r="G639" s="14"/>
      <c r="H639" s="14"/>
      <c r="I639" s="14"/>
      <c r="J639" s="14"/>
      <c r="K639" s="14"/>
      <c r="L639" s="14"/>
      <c r="M639" s="14"/>
      <c r="N639" s="14"/>
      <c r="O639" s="14"/>
      <c r="P639" s="14"/>
      <c r="Q639" s="14"/>
      <c r="R639" s="14"/>
      <c r="S639" s="14"/>
      <c r="T639" s="14"/>
      <c r="U639" s="14"/>
      <c r="V639" s="14"/>
      <c r="W639" s="14"/>
      <c r="X639" s="14"/>
      <c r="Y639" s="14"/>
      <c r="Z639" s="14"/>
      <c r="AA639" s="14"/>
      <c r="AB639" s="14"/>
      <c r="AC639" s="14"/>
      <c r="AD639" s="14"/>
      <c r="AE639" s="14"/>
      <c r="AF639" s="14"/>
      <c r="AG639" s="2"/>
    </row>
    <row r="640" spans="1:33" x14ac:dyDescent="0.2">
      <c r="A640" s="2"/>
      <c r="B640" s="2"/>
      <c r="C640" s="14"/>
      <c r="D640" s="14"/>
      <c r="E640" s="14"/>
      <c r="F640" s="14"/>
      <c r="G640" s="14"/>
      <c r="H640" s="14"/>
      <c r="I640" s="14"/>
      <c r="J640" s="14"/>
      <c r="K640" s="14"/>
      <c r="L640" s="14"/>
      <c r="M640" s="14"/>
      <c r="N640" s="14"/>
      <c r="O640" s="14"/>
      <c r="P640" s="14"/>
      <c r="Q640" s="14"/>
      <c r="R640" s="14"/>
      <c r="S640" s="14"/>
      <c r="T640" s="14"/>
      <c r="U640" s="14"/>
      <c r="V640" s="14"/>
      <c r="W640" s="14"/>
      <c r="X640" s="14"/>
      <c r="Y640" s="14"/>
      <c r="Z640" s="14"/>
      <c r="AA640" s="14"/>
      <c r="AB640" s="14"/>
      <c r="AC640" s="14"/>
      <c r="AD640" s="14"/>
      <c r="AE640" s="14"/>
      <c r="AF640" s="14"/>
      <c r="AG640" s="2"/>
    </row>
    <row r="641" spans="1:33" x14ac:dyDescent="0.2">
      <c r="A641" s="2"/>
      <c r="B641" s="2"/>
      <c r="C641" s="14"/>
      <c r="D641" s="14"/>
      <c r="E641" s="14"/>
      <c r="F641" s="14"/>
      <c r="G641" s="14"/>
      <c r="H641" s="14"/>
      <c r="I641" s="14"/>
      <c r="J641" s="14"/>
      <c r="K641" s="14"/>
      <c r="L641" s="14"/>
      <c r="M641" s="14"/>
      <c r="N641" s="14"/>
      <c r="O641" s="14"/>
      <c r="P641" s="14"/>
      <c r="Q641" s="14"/>
      <c r="R641" s="14"/>
      <c r="S641" s="14"/>
      <c r="T641" s="14"/>
      <c r="U641" s="14"/>
      <c r="V641" s="14"/>
      <c r="W641" s="14"/>
      <c r="X641" s="14"/>
      <c r="Y641" s="14"/>
      <c r="Z641" s="14"/>
      <c r="AA641" s="14"/>
      <c r="AB641" s="14"/>
      <c r="AC641" s="14"/>
      <c r="AD641" s="14"/>
      <c r="AE641" s="14"/>
      <c r="AF641" s="14"/>
      <c r="AG641" s="2"/>
    </row>
    <row r="642" spans="1:33" x14ac:dyDescent="0.2">
      <c r="A642" s="2"/>
      <c r="B642" s="2"/>
      <c r="C642" s="14"/>
      <c r="D642" s="14"/>
      <c r="E642" s="14"/>
      <c r="F642" s="14"/>
      <c r="G642" s="14"/>
      <c r="H642" s="14"/>
      <c r="I642" s="14"/>
      <c r="J642" s="14"/>
      <c r="K642" s="14"/>
      <c r="L642" s="14"/>
      <c r="M642" s="14"/>
      <c r="N642" s="14"/>
      <c r="O642" s="14"/>
      <c r="P642" s="14"/>
      <c r="Q642" s="14"/>
      <c r="R642" s="14"/>
      <c r="S642" s="14"/>
      <c r="T642" s="14"/>
      <c r="U642" s="14"/>
      <c r="V642" s="14"/>
      <c r="W642" s="14"/>
      <c r="X642" s="14"/>
      <c r="Y642" s="14"/>
      <c r="Z642" s="14"/>
      <c r="AA642" s="14"/>
      <c r="AB642" s="14"/>
      <c r="AC642" s="14"/>
      <c r="AD642" s="14"/>
      <c r="AE642" s="14"/>
      <c r="AF642" s="14"/>
      <c r="AG642" s="2"/>
    </row>
    <row r="643" spans="1:33" x14ac:dyDescent="0.2">
      <c r="A643" s="2"/>
      <c r="B643" s="2"/>
      <c r="C643" s="14"/>
      <c r="D643" s="14"/>
      <c r="E643" s="14"/>
      <c r="F643" s="14"/>
      <c r="G643" s="14"/>
      <c r="H643" s="14"/>
      <c r="I643" s="14"/>
      <c r="J643" s="14"/>
      <c r="K643" s="14"/>
      <c r="L643" s="14"/>
      <c r="M643" s="14"/>
      <c r="N643" s="14"/>
      <c r="O643" s="14"/>
      <c r="P643" s="14"/>
      <c r="Q643" s="14"/>
      <c r="R643" s="14"/>
      <c r="S643" s="14"/>
      <c r="T643" s="14"/>
      <c r="U643" s="14"/>
      <c r="V643" s="14"/>
      <c r="W643" s="14"/>
      <c r="X643" s="14"/>
      <c r="Y643" s="14"/>
      <c r="Z643" s="14"/>
      <c r="AA643" s="14"/>
      <c r="AB643" s="14"/>
      <c r="AC643" s="14"/>
      <c r="AD643" s="14"/>
      <c r="AE643" s="14"/>
      <c r="AF643" s="14"/>
      <c r="AG643" s="2"/>
    </row>
    <row r="644" spans="1:33" x14ac:dyDescent="0.2">
      <c r="A644" s="2"/>
      <c r="B644" s="2"/>
      <c r="C644" s="14"/>
      <c r="D644" s="14"/>
      <c r="E644" s="14"/>
      <c r="F644" s="14"/>
      <c r="G644" s="14"/>
      <c r="H644" s="14"/>
      <c r="I644" s="14"/>
      <c r="J644" s="14"/>
      <c r="K644" s="14"/>
      <c r="L644" s="14"/>
      <c r="M644" s="14"/>
      <c r="N644" s="14"/>
      <c r="O644" s="14"/>
      <c r="P644" s="14"/>
      <c r="Q644" s="14"/>
      <c r="R644" s="14"/>
      <c r="S644" s="14"/>
      <c r="T644" s="14"/>
      <c r="U644" s="14"/>
      <c r="V644" s="14"/>
      <c r="W644" s="14"/>
      <c r="X644" s="14"/>
      <c r="Y644" s="14"/>
      <c r="Z644" s="14"/>
      <c r="AA644" s="14"/>
      <c r="AB644" s="14"/>
      <c r="AC644" s="14"/>
      <c r="AD644" s="14"/>
      <c r="AE644" s="14"/>
      <c r="AF644" s="14"/>
      <c r="AG644" s="2"/>
    </row>
    <row r="645" spans="1:33" x14ac:dyDescent="0.2">
      <c r="A645" s="2"/>
      <c r="B645" s="2"/>
      <c r="C645" s="14"/>
      <c r="D645" s="14"/>
      <c r="E645" s="14"/>
      <c r="F645" s="14"/>
      <c r="G645" s="14"/>
      <c r="H645" s="14"/>
      <c r="I645" s="14"/>
      <c r="J645" s="14"/>
      <c r="K645" s="14"/>
      <c r="L645" s="14"/>
      <c r="M645" s="14"/>
      <c r="N645" s="14"/>
      <c r="O645" s="14"/>
      <c r="P645" s="14"/>
      <c r="Q645" s="14"/>
      <c r="R645" s="14"/>
      <c r="S645" s="14"/>
      <c r="T645" s="14"/>
      <c r="U645" s="14"/>
      <c r="V645" s="14"/>
      <c r="W645" s="14"/>
      <c r="X645" s="14"/>
      <c r="Y645" s="14"/>
      <c r="Z645" s="14"/>
      <c r="AA645" s="14"/>
      <c r="AB645" s="14"/>
      <c r="AC645" s="14"/>
      <c r="AD645" s="14"/>
      <c r="AE645" s="14"/>
      <c r="AF645" s="14"/>
      <c r="AG645" s="2"/>
    </row>
    <row r="646" spans="1:33" x14ac:dyDescent="0.2">
      <c r="A646" s="2"/>
      <c r="B646" s="2"/>
      <c r="C646" s="14"/>
      <c r="D646" s="14"/>
      <c r="E646" s="14"/>
      <c r="F646" s="14"/>
      <c r="G646" s="14"/>
      <c r="H646" s="14"/>
      <c r="I646" s="14"/>
      <c r="J646" s="14"/>
      <c r="K646" s="14"/>
      <c r="L646" s="14"/>
      <c r="M646" s="14"/>
      <c r="N646" s="14"/>
      <c r="O646" s="14"/>
      <c r="P646" s="14"/>
      <c r="Q646" s="14"/>
      <c r="R646" s="14"/>
      <c r="S646" s="14"/>
      <c r="T646" s="14"/>
      <c r="U646" s="14"/>
      <c r="V646" s="14"/>
      <c r="W646" s="14"/>
      <c r="X646" s="14"/>
      <c r="Y646" s="14"/>
      <c r="Z646" s="14"/>
      <c r="AA646" s="14"/>
      <c r="AB646" s="14"/>
      <c r="AC646" s="14"/>
      <c r="AD646" s="14"/>
      <c r="AE646" s="14"/>
      <c r="AF646" s="14"/>
      <c r="AG646" s="2"/>
    </row>
    <row r="647" spans="1:33" x14ac:dyDescent="0.2">
      <c r="A647" s="2"/>
      <c r="B647" s="2"/>
      <c r="C647" s="14"/>
      <c r="D647" s="14"/>
      <c r="E647" s="14"/>
      <c r="F647" s="14"/>
      <c r="G647" s="14"/>
      <c r="H647" s="14"/>
      <c r="I647" s="14"/>
      <c r="J647" s="14"/>
      <c r="K647" s="14"/>
      <c r="L647" s="14"/>
      <c r="M647" s="14"/>
      <c r="N647" s="14"/>
      <c r="O647" s="14"/>
      <c r="P647" s="14"/>
      <c r="Q647" s="14"/>
      <c r="R647" s="14"/>
      <c r="S647" s="14"/>
      <c r="T647" s="14"/>
      <c r="U647" s="14"/>
      <c r="V647" s="14"/>
      <c r="W647" s="14"/>
      <c r="X647" s="14"/>
      <c r="Y647" s="14"/>
      <c r="Z647" s="14"/>
      <c r="AA647" s="14"/>
      <c r="AB647" s="14"/>
      <c r="AC647" s="14"/>
      <c r="AD647" s="14"/>
      <c r="AE647" s="14"/>
      <c r="AF647" s="14"/>
      <c r="AG647" s="2"/>
    </row>
    <row r="648" spans="1:33" x14ac:dyDescent="0.2">
      <c r="A648" s="2"/>
      <c r="B648" s="2"/>
      <c r="C648" s="14"/>
      <c r="D648" s="14"/>
      <c r="E648" s="14"/>
      <c r="F648" s="14"/>
      <c r="G648" s="14"/>
      <c r="H648" s="14"/>
      <c r="I648" s="14"/>
      <c r="J648" s="14"/>
      <c r="K648" s="14"/>
      <c r="L648" s="14"/>
      <c r="M648" s="14"/>
      <c r="N648" s="14"/>
      <c r="O648" s="14"/>
      <c r="P648" s="14"/>
      <c r="Q648" s="14"/>
      <c r="R648" s="14"/>
      <c r="S648" s="14"/>
      <c r="T648" s="14"/>
      <c r="U648" s="14"/>
      <c r="V648" s="14"/>
      <c r="W648" s="14"/>
      <c r="X648" s="14"/>
      <c r="Y648" s="14"/>
      <c r="Z648" s="14"/>
      <c r="AA648" s="14"/>
      <c r="AB648" s="14"/>
      <c r="AC648" s="14"/>
      <c r="AD648" s="14"/>
      <c r="AE648" s="14"/>
      <c r="AF648" s="14"/>
      <c r="AG648" s="2"/>
    </row>
    <row r="649" spans="1:33" x14ac:dyDescent="0.2">
      <c r="A649" s="2"/>
      <c r="B649" s="2"/>
      <c r="C649" s="14"/>
      <c r="D649" s="14"/>
      <c r="E649" s="14"/>
      <c r="F649" s="14"/>
      <c r="G649" s="14"/>
      <c r="H649" s="14"/>
      <c r="I649" s="14"/>
      <c r="J649" s="14"/>
      <c r="K649" s="14"/>
      <c r="L649" s="14"/>
      <c r="M649" s="14"/>
      <c r="N649" s="14"/>
      <c r="O649" s="14"/>
      <c r="P649" s="14"/>
      <c r="Q649" s="14"/>
      <c r="R649" s="14"/>
      <c r="S649" s="14"/>
      <c r="T649" s="14"/>
      <c r="U649" s="14"/>
      <c r="V649" s="14"/>
      <c r="W649" s="14"/>
      <c r="X649" s="14"/>
      <c r="Y649" s="14"/>
      <c r="Z649" s="14"/>
      <c r="AA649" s="14"/>
      <c r="AB649" s="14"/>
      <c r="AC649" s="14"/>
      <c r="AD649" s="14"/>
      <c r="AE649" s="14"/>
      <c r="AF649" s="14"/>
      <c r="AG649" s="2"/>
    </row>
    <row r="650" spans="1:33" x14ac:dyDescent="0.2">
      <c r="A650" s="2"/>
      <c r="B650" s="2"/>
      <c r="C650" s="14"/>
      <c r="D650" s="14"/>
      <c r="E650" s="14"/>
      <c r="F650" s="14"/>
      <c r="G650" s="14"/>
      <c r="H650" s="14"/>
      <c r="I650" s="14"/>
      <c r="J650" s="14"/>
      <c r="K650" s="14"/>
      <c r="L650" s="14"/>
      <c r="M650" s="14"/>
      <c r="N650" s="14"/>
      <c r="O650" s="14"/>
      <c r="P650" s="14"/>
      <c r="Q650" s="14"/>
      <c r="R650" s="14"/>
      <c r="S650" s="14"/>
      <c r="T650" s="14"/>
      <c r="U650" s="14"/>
      <c r="V650" s="14"/>
      <c r="W650" s="14"/>
      <c r="X650" s="14"/>
      <c r="Y650" s="14"/>
      <c r="Z650" s="14"/>
      <c r="AA650" s="14"/>
      <c r="AB650" s="14"/>
      <c r="AC650" s="14"/>
      <c r="AD650" s="14"/>
      <c r="AE650" s="14"/>
      <c r="AF650" s="14"/>
      <c r="AG650" s="2"/>
    </row>
    <row r="651" spans="1:33" x14ac:dyDescent="0.2">
      <c r="A651" s="2"/>
      <c r="B651" s="2"/>
      <c r="C651" s="14"/>
      <c r="D651" s="14"/>
      <c r="E651" s="14"/>
      <c r="F651" s="14"/>
      <c r="G651" s="14"/>
      <c r="H651" s="14"/>
      <c r="I651" s="14"/>
      <c r="J651" s="14"/>
      <c r="K651" s="14"/>
      <c r="L651" s="14"/>
      <c r="M651" s="14"/>
      <c r="N651" s="14"/>
      <c r="O651" s="14"/>
      <c r="P651" s="14"/>
      <c r="Q651" s="14"/>
      <c r="R651" s="14"/>
      <c r="S651" s="14"/>
      <c r="T651" s="14"/>
      <c r="U651" s="14"/>
      <c r="V651" s="14"/>
      <c r="W651" s="14"/>
      <c r="X651" s="14"/>
      <c r="Y651" s="14"/>
      <c r="Z651" s="14"/>
      <c r="AA651" s="14"/>
      <c r="AB651" s="14"/>
      <c r="AC651" s="14"/>
      <c r="AD651" s="14"/>
      <c r="AE651" s="14"/>
      <c r="AF651" s="14"/>
      <c r="AG651" s="2"/>
    </row>
    <row r="652" spans="1:33" x14ac:dyDescent="0.2">
      <c r="A652" s="2"/>
      <c r="B652" s="2"/>
      <c r="C652" s="14"/>
      <c r="D652" s="14"/>
      <c r="E652" s="14"/>
      <c r="F652" s="14"/>
      <c r="G652" s="14"/>
      <c r="H652" s="14"/>
      <c r="I652" s="14"/>
      <c r="J652" s="14"/>
      <c r="K652" s="14"/>
      <c r="L652" s="14"/>
      <c r="M652" s="14"/>
      <c r="N652" s="14"/>
      <c r="O652" s="14"/>
      <c r="P652" s="14"/>
      <c r="Q652" s="14"/>
      <c r="R652" s="14"/>
      <c r="S652" s="14"/>
      <c r="T652" s="14"/>
      <c r="U652" s="14"/>
      <c r="V652" s="14"/>
      <c r="W652" s="14"/>
      <c r="X652" s="14"/>
      <c r="Y652" s="14"/>
      <c r="Z652" s="14"/>
      <c r="AA652" s="14"/>
      <c r="AB652" s="14"/>
      <c r="AC652" s="14"/>
      <c r="AD652" s="14"/>
      <c r="AE652" s="14"/>
      <c r="AF652" s="14"/>
      <c r="AG652" s="2"/>
    </row>
    <row r="653" spans="1:33" x14ac:dyDescent="0.2">
      <c r="A653" s="2"/>
      <c r="B653" s="2"/>
      <c r="C653" s="14"/>
      <c r="D653" s="14"/>
      <c r="E653" s="14"/>
      <c r="F653" s="14"/>
      <c r="G653" s="14"/>
      <c r="H653" s="14"/>
      <c r="I653" s="14"/>
      <c r="J653" s="14"/>
      <c r="K653" s="14"/>
      <c r="L653" s="14"/>
      <c r="M653" s="14"/>
      <c r="N653" s="14"/>
      <c r="O653" s="14"/>
      <c r="P653" s="14"/>
      <c r="Q653" s="14"/>
      <c r="R653" s="14"/>
      <c r="S653" s="14"/>
      <c r="T653" s="14"/>
      <c r="U653" s="14"/>
      <c r="V653" s="14"/>
      <c r="W653" s="14"/>
      <c r="X653" s="14"/>
      <c r="Y653" s="14"/>
      <c r="Z653" s="14"/>
      <c r="AA653" s="14"/>
      <c r="AB653" s="14"/>
      <c r="AC653" s="14"/>
      <c r="AD653" s="14"/>
      <c r="AE653" s="14"/>
      <c r="AF653" s="14"/>
      <c r="AG653" s="2"/>
    </row>
    <row r="654" spans="1:33" ht="15" x14ac:dyDescent="0.25">
      <c r="A654" s="2"/>
      <c r="B654" s="4" t="s">
        <v>1300</v>
      </c>
      <c r="C654" s="14"/>
      <c r="D654" s="14"/>
      <c r="E654" s="14"/>
      <c r="F654" s="14"/>
      <c r="G654" s="14"/>
      <c r="H654" s="14"/>
      <c r="I654" s="14"/>
      <c r="J654" s="14"/>
      <c r="K654" s="14"/>
      <c r="L654" s="14"/>
      <c r="M654" s="14"/>
      <c r="N654" s="14"/>
      <c r="O654" s="14"/>
      <c r="P654" s="14"/>
      <c r="Q654" s="14"/>
      <c r="R654" s="14"/>
      <c r="S654" s="14"/>
      <c r="T654" s="14"/>
      <c r="U654" s="14"/>
      <c r="V654" s="14"/>
      <c r="W654" s="14"/>
      <c r="X654" s="14"/>
      <c r="Y654" s="14"/>
      <c r="Z654" s="14"/>
      <c r="AA654" s="14"/>
      <c r="AB654" s="14"/>
      <c r="AC654" s="14"/>
      <c r="AD654" s="14"/>
      <c r="AE654" s="14"/>
      <c r="AF654" s="14"/>
      <c r="AG654" s="2"/>
    </row>
    <row r="655" spans="1:33" x14ac:dyDescent="0.2">
      <c r="A655" s="2"/>
      <c r="B655" s="232" t="s">
        <v>359</v>
      </c>
      <c r="C655" s="232"/>
      <c r="D655" s="232"/>
      <c r="E655" s="232"/>
      <c r="F655" s="232"/>
      <c r="G655" s="232"/>
      <c r="H655" s="232"/>
      <c r="I655" s="232"/>
      <c r="J655" s="232"/>
      <c r="K655" s="232"/>
      <c r="L655" s="232"/>
      <c r="M655" s="232"/>
      <c r="N655" s="232"/>
      <c r="O655" s="232"/>
      <c r="P655" s="232"/>
      <c r="Q655" s="232"/>
      <c r="R655" s="232"/>
      <c r="S655" s="232"/>
      <c r="T655" s="232"/>
      <c r="U655" s="232"/>
      <c r="V655" s="232"/>
      <c r="W655" s="232"/>
      <c r="X655" s="232"/>
      <c r="Y655" s="232"/>
      <c r="Z655" s="232"/>
      <c r="AA655" s="232"/>
      <c r="AB655" s="232"/>
      <c r="AC655" s="232"/>
      <c r="AD655" s="232"/>
      <c r="AE655" s="232"/>
      <c r="AF655" s="232"/>
      <c r="AG655" s="232"/>
    </row>
    <row r="656" spans="1:33" x14ac:dyDescent="0.2">
      <c r="A656" s="2"/>
      <c r="B656" s="232"/>
      <c r="C656" s="232"/>
      <c r="D656" s="232"/>
      <c r="E656" s="232"/>
      <c r="F656" s="232"/>
      <c r="G656" s="232"/>
      <c r="H656" s="232"/>
      <c r="I656" s="232"/>
      <c r="J656" s="232"/>
      <c r="K656" s="232"/>
      <c r="L656" s="232"/>
      <c r="M656" s="232"/>
      <c r="N656" s="232"/>
      <c r="O656" s="232"/>
      <c r="P656" s="232"/>
      <c r="Q656" s="232"/>
      <c r="R656" s="232"/>
      <c r="S656" s="232"/>
      <c r="T656" s="232"/>
      <c r="U656" s="232"/>
      <c r="V656" s="232"/>
      <c r="W656" s="232"/>
      <c r="X656" s="232"/>
      <c r="Y656" s="232"/>
      <c r="Z656" s="232"/>
      <c r="AA656" s="232"/>
      <c r="AB656" s="232"/>
      <c r="AC656" s="232"/>
      <c r="AD656" s="232"/>
      <c r="AE656" s="232"/>
      <c r="AF656" s="232"/>
      <c r="AG656" s="232"/>
    </row>
    <row r="657" spans="1:33" x14ac:dyDescent="0.2">
      <c r="A657" s="2"/>
      <c r="B657" s="232"/>
      <c r="C657" s="232"/>
      <c r="D657" s="232"/>
      <c r="E657" s="232"/>
      <c r="F657" s="232"/>
      <c r="G657" s="232"/>
      <c r="H657" s="232"/>
      <c r="I657" s="232"/>
      <c r="J657" s="232"/>
      <c r="K657" s="232"/>
      <c r="L657" s="232"/>
      <c r="M657" s="232"/>
      <c r="N657" s="232"/>
      <c r="O657" s="232"/>
      <c r="P657" s="232"/>
      <c r="Q657" s="232"/>
      <c r="R657" s="232"/>
      <c r="S657" s="232"/>
      <c r="T657" s="232"/>
      <c r="U657" s="232"/>
      <c r="V657" s="232"/>
      <c r="W657" s="232"/>
      <c r="X657" s="232"/>
      <c r="Y657" s="232"/>
      <c r="Z657" s="232"/>
      <c r="AA657" s="232"/>
      <c r="AB657" s="232"/>
      <c r="AC657" s="232"/>
      <c r="AD657" s="232"/>
      <c r="AE657" s="232"/>
      <c r="AF657" s="232"/>
      <c r="AG657" s="232"/>
    </row>
    <row r="658" spans="1:33" ht="15"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c r="Y658"/>
      <c r="Z658"/>
      <c r="AA658"/>
      <c r="AB658"/>
      <c r="AC658"/>
      <c r="AD658"/>
      <c r="AE658"/>
      <c r="AF658"/>
    </row>
    <row r="659" spans="1:33" x14ac:dyDescent="0.2">
      <c r="A659" s="2"/>
      <c r="B659" s="2"/>
      <c r="C659" s="2"/>
      <c r="D659" s="2"/>
      <c r="E659" s="25" t="s">
        <v>339</v>
      </c>
      <c r="F659" s="12" t="s">
        <v>332</v>
      </c>
      <c r="G659" s="3" t="s">
        <v>341</v>
      </c>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3" ht="15.75" x14ac:dyDescent="0.2">
      <c r="A660" s="2"/>
      <c r="B660" s="2"/>
      <c r="C660" s="2"/>
      <c r="D660" s="2"/>
      <c r="E660" s="25" t="s">
        <v>342</v>
      </c>
      <c r="F660" s="12" t="s">
        <v>332</v>
      </c>
      <c r="G660" s="335">
        <v>200</v>
      </c>
      <c r="H660" s="335"/>
      <c r="I660" s="335"/>
      <c r="J660" s="3" t="s">
        <v>337</v>
      </c>
      <c r="K660" s="2"/>
      <c r="L660" s="2"/>
      <c r="M660" s="2"/>
      <c r="N660" s="3" t="s">
        <v>821</v>
      </c>
      <c r="O660" s="2"/>
      <c r="P660" s="2"/>
      <c r="Q660" s="2"/>
      <c r="R660" s="2"/>
      <c r="S660" s="2"/>
      <c r="T660" s="2"/>
      <c r="U660" s="2"/>
      <c r="V660" s="2"/>
      <c r="W660" s="2"/>
      <c r="X660" s="2"/>
      <c r="Y660" s="2"/>
      <c r="Z660" s="2"/>
      <c r="AA660" s="2"/>
      <c r="AB660" s="2"/>
      <c r="AC660" s="2"/>
      <c r="AD660" s="2"/>
      <c r="AE660" s="2"/>
      <c r="AF660" s="2"/>
    </row>
    <row r="661" spans="1:33" ht="15.75" x14ac:dyDescent="0.2">
      <c r="A661" s="2"/>
      <c r="B661" s="2"/>
      <c r="C661" s="2"/>
      <c r="D661" s="2"/>
      <c r="E661" s="25" t="s">
        <v>343</v>
      </c>
      <c r="F661" s="12" t="s">
        <v>332</v>
      </c>
      <c r="G661" s="336">
        <v>23.5</v>
      </c>
      <c r="H661" s="336"/>
      <c r="I661" s="336"/>
      <c r="J661" s="3" t="s">
        <v>344</v>
      </c>
      <c r="K661" s="2"/>
      <c r="L661" s="2"/>
      <c r="M661" s="2"/>
      <c r="N661" s="3" t="s">
        <v>842</v>
      </c>
      <c r="O661" s="2"/>
      <c r="P661" s="2"/>
      <c r="Q661" s="2"/>
      <c r="R661" s="2"/>
      <c r="S661" s="2"/>
      <c r="T661" s="2"/>
      <c r="U661" s="2"/>
      <c r="V661" s="2"/>
      <c r="W661" s="2"/>
      <c r="X661" s="2"/>
      <c r="Y661" s="2"/>
      <c r="Z661" s="2"/>
      <c r="AA661" s="2"/>
      <c r="AB661" s="2"/>
      <c r="AC661" s="2"/>
      <c r="AD661" s="2"/>
      <c r="AE661" s="2"/>
      <c r="AF661" s="2"/>
    </row>
    <row r="662" spans="1:33" ht="15.75" x14ac:dyDescent="0.2">
      <c r="A662" s="2"/>
      <c r="B662" s="2"/>
      <c r="C662" s="2"/>
      <c r="D662" s="2"/>
      <c r="E662" s="25" t="s">
        <v>345</v>
      </c>
      <c r="F662" s="12" t="s">
        <v>332</v>
      </c>
      <c r="G662" s="337">
        <f>'7. Load Development'!P65</f>
        <v>0.9</v>
      </c>
      <c r="H662" s="337"/>
      <c r="I662" s="337"/>
      <c r="J662" s="3" t="s">
        <v>340</v>
      </c>
      <c r="K662" s="2"/>
      <c r="L662" s="2"/>
      <c r="M662" s="2"/>
      <c r="N662" s="3" t="s">
        <v>841</v>
      </c>
      <c r="O662" s="2"/>
      <c r="P662" s="2"/>
      <c r="Q662" s="2"/>
      <c r="R662" s="2"/>
      <c r="S662" s="2"/>
      <c r="T662" s="2"/>
      <c r="U662" s="2"/>
      <c r="V662" s="2"/>
      <c r="W662" s="2"/>
      <c r="X662" s="2"/>
      <c r="Y662" s="2"/>
      <c r="Z662" s="2"/>
      <c r="AA662" s="2"/>
      <c r="AB662" s="2"/>
      <c r="AC662" s="2"/>
      <c r="AD662" s="2"/>
      <c r="AE662" s="2"/>
      <c r="AF662" s="2"/>
    </row>
    <row r="663" spans="1:33" ht="15.75" x14ac:dyDescent="0.2">
      <c r="A663" s="2"/>
      <c r="B663" s="2"/>
      <c r="C663" s="2"/>
      <c r="D663" s="2"/>
      <c r="E663" s="25" t="s">
        <v>346</v>
      </c>
      <c r="F663" s="12" t="s">
        <v>332</v>
      </c>
      <c r="G663" s="336">
        <f>G661*G662</f>
        <v>21.150000000000002</v>
      </c>
      <c r="H663" s="336"/>
      <c r="I663" s="336"/>
      <c r="J663" s="3" t="s">
        <v>347</v>
      </c>
      <c r="K663" s="2"/>
      <c r="L663" s="2"/>
      <c r="M663" s="2"/>
      <c r="N663" s="3" t="s">
        <v>1012</v>
      </c>
      <c r="O663" s="2"/>
      <c r="P663" s="2"/>
      <c r="Q663" s="2"/>
      <c r="R663" s="2"/>
      <c r="S663" s="2"/>
      <c r="T663" s="2"/>
      <c r="U663" s="2"/>
      <c r="V663" s="2"/>
      <c r="W663" s="2"/>
      <c r="X663" s="2"/>
      <c r="Y663" s="2"/>
      <c r="Z663" s="2"/>
      <c r="AA663" s="2"/>
      <c r="AB663" s="2"/>
      <c r="AC663" s="2"/>
      <c r="AD663" s="2"/>
      <c r="AE663" s="2"/>
      <c r="AF663" s="2"/>
    </row>
    <row r="664" spans="1:33" ht="15.75" x14ac:dyDescent="0.2">
      <c r="A664" s="2"/>
      <c r="B664" s="2"/>
      <c r="C664" s="2"/>
      <c r="D664" s="2"/>
      <c r="E664" s="25" t="s">
        <v>348</v>
      </c>
      <c r="F664" s="12" t="s">
        <v>332</v>
      </c>
      <c r="G664" s="335">
        <v>0</v>
      </c>
      <c r="H664" s="335"/>
      <c r="I664" s="335"/>
      <c r="J664" s="3" t="s">
        <v>347</v>
      </c>
      <c r="K664" s="2"/>
      <c r="L664" s="2"/>
      <c r="M664" s="2"/>
      <c r="N664" s="3" t="s">
        <v>822</v>
      </c>
      <c r="O664" s="2"/>
      <c r="P664" s="2"/>
      <c r="Q664" s="2"/>
      <c r="R664" s="2"/>
      <c r="S664" s="2"/>
      <c r="T664" s="2"/>
      <c r="U664" s="2"/>
      <c r="V664" s="2"/>
      <c r="W664" s="2"/>
      <c r="X664" s="2"/>
      <c r="Y664" s="2"/>
      <c r="Z664" s="2"/>
      <c r="AA664" s="2"/>
      <c r="AB664" s="2"/>
      <c r="AC664" s="2"/>
      <c r="AD664" s="2"/>
      <c r="AE664" s="2"/>
      <c r="AF664" s="2"/>
    </row>
    <row r="665" spans="1:33" ht="15.75" x14ac:dyDescent="0.2">
      <c r="A665" s="2"/>
      <c r="B665" s="2"/>
      <c r="C665" s="2"/>
      <c r="D665" s="2"/>
      <c r="E665" s="25" t="s">
        <v>349</v>
      </c>
      <c r="F665" s="12" t="s">
        <v>332</v>
      </c>
      <c r="G665" s="336">
        <f>G663+G664</f>
        <v>21.150000000000002</v>
      </c>
      <c r="H665" s="336"/>
      <c r="I665" s="336"/>
      <c r="J665" s="3" t="s">
        <v>347</v>
      </c>
      <c r="K665" s="2"/>
      <c r="L665" s="2"/>
      <c r="M665" s="2"/>
      <c r="N665" s="3" t="s">
        <v>823</v>
      </c>
      <c r="O665" s="2"/>
      <c r="P665" s="2"/>
      <c r="Q665" s="2"/>
      <c r="R665" s="2"/>
      <c r="S665" s="2"/>
      <c r="T665" s="2"/>
      <c r="U665" s="2"/>
      <c r="V665" s="2"/>
      <c r="W665" s="2"/>
      <c r="X665" s="2"/>
      <c r="Y665" s="2"/>
      <c r="Z665" s="2"/>
      <c r="AA665" s="2"/>
      <c r="AB665" s="2"/>
      <c r="AC665" s="2"/>
      <c r="AD665" s="2"/>
      <c r="AE665" s="2"/>
      <c r="AF665" s="2"/>
    </row>
    <row r="666" spans="1:33" x14ac:dyDescent="0.2">
      <c r="A666" s="2"/>
      <c r="B666" s="2"/>
      <c r="C666" s="2"/>
      <c r="D666" s="2"/>
      <c r="E666" s="3"/>
      <c r="F666" s="12" t="s">
        <v>332</v>
      </c>
      <c r="G666" s="336">
        <f>G665/6.894757</f>
        <v>3.0675482834275378</v>
      </c>
      <c r="H666" s="336"/>
      <c r="I666" s="336"/>
      <c r="J666" s="3" t="s">
        <v>350</v>
      </c>
      <c r="K666" s="2"/>
      <c r="L666" s="2"/>
      <c r="M666" s="2"/>
      <c r="N666" s="3" t="s">
        <v>823</v>
      </c>
      <c r="O666" s="2"/>
      <c r="P666" s="2"/>
      <c r="Q666" s="2"/>
      <c r="R666" s="2"/>
      <c r="S666" s="2"/>
      <c r="T666" s="2"/>
      <c r="U666" s="2"/>
      <c r="V666" s="2"/>
      <c r="W666" s="2"/>
      <c r="X666" s="2"/>
      <c r="Y666" s="2"/>
      <c r="Z666" s="2"/>
      <c r="AA666" s="2"/>
      <c r="AB666" s="2"/>
      <c r="AC666" s="2"/>
      <c r="AD666" s="2"/>
      <c r="AE666" s="2"/>
      <c r="AF666" s="2"/>
    </row>
    <row r="667" spans="1:33" ht="15.75" x14ac:dyDescent="0.2">
      <c r="A667" s="2"/>
      <c r="B667" s="2"/>
      <c r="C667" s="2"/>
      <c r="D667" s="2"/>
      <c r="E667" s="25" t="s">
        <v>351</v>
      </c>
      <c r="F667" s="12" t="s">
        <v>332</v>
      </c>
      <c r="G667" s="335">
        <v>3</v>
      </c>
      <c r="H667" s="335"/>
      <c r="I667" s="335"/>
      <c r="J667" s="3" t="s">
        <v>352</v>
      </c>
      <c r="K667" s="2"/>
      <c r="L667" s="2"/>
      <c r="M667" s="2"/>
      <c r="N667" s="3" t="s">
        <v>824</v>
      </c>
      <c r="O667" s="2"/>
      <c r="P667" s="2"/>
      <c r="Q667" s="2"/>
      <c r="R667" s="2"/>
      <c r="S667" s="2"/>
      <c r="T667" s="2"/>
      <c r="U667" s="2"/>
      <c r="V667" s="2"/>
      <c r="W667" s="2"/>
      <c r="X667" s="2"/>
      <c r="Y667" s="2"/>
      <c r="Z667" s="2"/>
      <c r="AA667" s="2"/>
      <c r="AB667" s="2"/>
      <c r="AC667" s="2"/>
      <c r="AD667" s="2"/>
      <c r="AE667" s="2"/>
      <c r="AF667" s="2"/>
    </row>
    <row r="668" spans="1:33" ht="15.75" x14ac:dyDescent="0.2">
      <c r="A668" s="2"/>
      <c r="B668" s="2"/>
      <c r="C668" s="2"/>
      <c r="D668" s="2"/>
      <c r="E668" s="25" t="s">
        <v>353</v>
      </c>
      <c r="F668" s="12" t="s">
        <v>332</v>
      </c>
      <c r="G668" s="335">
        <v>50</v>
      </c>
      <c r="H668" s="335"/>
      <c r="I668" s="335"/>
      <c r="J668" s="3" t="s">
        <v>337</v>
      </c>
      <c r="K668" s="2"/>
      <c r="L668" s="2"/>
      <c r="M668" s="2"/>
      <c r="N668" s="3" t="s">
        <v>827</v>
      </c>
      <c r="O668" s="2"/>
      <c r="P668" s="2"/>
      <c r="Q668" s="2"/>
      <c r="R668" s="2"/>
      <c r="S668" s="2"/>
      <c r="T668" s="2"/>
      <c r="U668" s="2"/>
      <c r="V668" s="2"/>
      <c r="W668" s="2"/>
      <c r="X668" s="2"/>
      <c r="Y668" s="2"/>
      <c r="Z668" s="2"/>
      <c r="AA668" s="2"/>
      <c r="AB668" s="2"/>
      <c r="AC668" s="2"/>
      <c r="AD668" s="2"/>
      <c r="AE668" s="2"/>
      <c r="AF668" s="2"/>
    </row>
    <row r="669" spans="1:33" ht="15.75" x14ac:dyDescent="0.2">
      <c r="A669" s="2"/>
      <c r="B669" s="2"/>
      <c r="C669" s="2"/>
      <c r="D669" s="2"/>
      <c r="E669" s="25"/>
      <c r="F669" s="12" t="s">
        <v>332</v>
      </c>
      <c r="G669" s="339">
        <f>G668/G660*100</f>
        <v>25</v>
      </c>
      <c r="H669" s="339"/>
      <c r="I669" s="339"/>
      <c r="J669" s="3" t="s">
        <v>352</v>
      </c>
      <c r="K669" s="2"/>
      <c r="L669" s="2"/>
      <c r="M669" s="2"/>
      <c r="N669" s="3" t="s">
        <v>354</v>
      </c>
      <c r="O669" s="2"/>
      <c r="P669" s="2"/>
      <c r="Q669" s="2"/>
      <c r="R669" s="2"/>
      <c r="S669" s="2"/>
      <c r="T669" s="2"/>
      <c r="U669" s="2"/>
      <c r="V669" s="2"/>
      <c r="W669" s="2"/>
      <c r="X669" s="2"/>
      <c r="Y669" s="2"/>
      <c r="Z669" s="2"/>
      <c r="AA669" s="2"/>
      <c r="AB669" s="2"/>
      <c r="AC669" s="2"/>
      <c r="AD669" s="2"/>
      <c r="AE669" s="2"/>
      <c r="AF669" s="2"/>
    </row>
    <row r="670" spans="1:33" ht="15.75" x14ac:dyDescent="0.2">
      <c r="A670" s="2"/>
      <c r="B670" s="2"/>
      <c r="C670" s="2"/>
      <c r="D670" s="2"/>
      <c r="E670" s="25" t="s">
        <v>355</v>
      </c>
      <c r="F670" s="12" t="s">
        <v>332</v>
      </c>
      <c r="G670" s="339">
        <f>G667+G669</f>
        <v>28</v>
      </c>
      <c r="H670" s="339"/>
      <c r="I670" s="339"/>
      <c r="J670" s="3" t="s">
        <v>352</v>
      </c>
      <c r="K670" s="3" t="s">
        <v>360</v>
      </c>
      <c r="L670" s="2"/>
      <c r="M670" s="2"/>
      <c r="N670" s="232" t="s">
        <v>828</v>
      </c>
      <c r="O670" s="232"/>
      <c r="P670" s="232"/>
      <c r="Q670" s="232"/>
      <c r="R670" s="232"/>
      <c r="S670" s="232"/>
      <c r="T670" s="232"/>
      <c r="U670" s="232"/>
      <c r="V670" s="232"/>
      <c r="W670" s="232"/>
      <c r="X670" s="232"/>
      <c r="Y670" s="232"/>
      <c r="Z670" s="232"/>
      <c r="AA670" s="232"/>
      <c r="AB670" s="232"/>
      <c r="AC670" s="232"/>
      <c r="AD670" s="232"/>
      <c r="AE670" s="232"/>
      <c r="AF670" s="232"/>
      <c r="AG670" s="232"/>
    </row>
    <row r="671" spans="1:33" x14ac:dyDescent="0.2">
      <c r="A671" s="2"/>
      <c r="B671" s="2"/>
      <c r="C671" s="2"/>
      <c r="D671" s="2"/>
      <c r="E671" s="25"/>
      <c r="F671" s="12"/>
      <c r="G671" s="3"/>
      <c r="H671" s="3"/>
      <c r="I671" s="3"/>
      <c r="J671" s="3"/>
      <c r="K671" s="27"/>
      <c r="L671" s="2"/>
      <c r="M671" s="2"/>
      <c r="N671" s="232"/>
      <c r="O671" s="232"/>
      <c r="P671" s="232"/>
      <c r="Q671" s="232"/>
      <c r="R671" s="232"/>
      <c r="S671" s="232"/>
      <c r="T671" s="232"/>
      <c r="U671" s="232"/>
      <c r="V671" s="232"/>
      <c r="W671" s="232"/>
      <c r="X671" s="232"/>
      <c r="Y671" s="232"/>
      <c r="Z671" s="232"/>
      <c r="AA671" s="232"/>
      <c r="AB671" s="232"/>
      <c r="AC671" s="232"/>
      <c r="AD671" s="232"/>
      <c r="AE671" s="232"/>
      <c r="AF671" s="232"/>
      <c r="AG671" s="232"/>
    </row>
    <row r="672" spans="1:33" ht="15.75" x14ac:dyDescent="0.2">
      <c r="A672" s="2"/>
      <c r="B672" s="2"/>
      <c r="C672" s="2"/>
      <c r="D672" s="2"/>
      <c r="E672" s="25" t="s">
        <v>356</v>
      </c>
      <c r="F672" s="12" t="s">
        <v>332</v>
      </c>
      <c r="G672" s="340">
        <f>9.1*6.894757</f>
        <v>62.742288700000003</v>
      </c>
      <c r="H672" s="340"/>
      <c r="I672" s="340"/>
      <c r="J672" s="3" t="s">
        <v>347</v>
      </c>
      <c r="K672" s="2"/>
      <c r="L672" s="2"/>
      <c r="M672" s="2"/>
      <c r="N672" s="3" t="s">
        <v>1301</v>
      </c>
      <c r="O672" s="2"/>
      <c r="P672" s="2"/>
      <c r="Q672" s="2"/>
      <c r="R672" s="2"/>
      <c r="S672" s="2"/>
      <c r="T672" s="2"/>
      <c r="U672" s="2"/>
      <c r="V672" s="2"/>
      <c r="W672" s="2"/>
      <c r="X672" s="2"/>
      <c r="Y672" s="2"/>
      <c r="Z672" s="2"/>
      <c r="AA672" s="2"/>
      <c r="AB672" s="2"/>
      <c r="AC672" s="2"/>
      <c r="AD672" s="2"/>
      <c r="AE672" s="2"/>
      <c r="AF672" s="2"/>
    </row>
    <row r="673" spans="1:32" ht="15.75" x14ac:dyDescent="0.2">
      <c r="A673" s="2"/>
      <c r="B673" s="2"/>
      <c r="C673" s="2"/>
      <c r="D673" s="2"/>
      <c r="E673" s="25" t="s">
        <v>357</v>
      </c>
      <c r="F673" s="12" t="s">
        <v>332</v>
      </c>
      <c r="G673" s="336">
        <f>G672-G665</f>
        <v>41.592288699999997</v>
      </c>
      <c r="H673" s="336"/>
      <c r="I673" s="336"/>
      <c r="J673" s="3" t="s">
        <v>347</v>
      </c>
      <c r="K673" s="2"/>
      <c r="L673" s="2"/>
      <c r="M673" s="2"/>
      <c r="N673" s="3" t="s">
        <v>825</v>
      </c>
      <c r="O673" s="2"/>
      <c r="P673" s="2"/>
      <c r="Q673" s="2"/>
      <c r="R673" s="2"/>
      <c r="S673" s="2"/>
      <c r="T673" s="2"/>
      <c r="U673" s="2"/>
      <c r="V673" s="2"/>
      <c r="W673" s="2"/>
      <c r="X673" s="2"/>
      <c r="Y673" s="2"/>
      <c r="Z673" s="2"/>
      <c r="AA673" s="2"/>
      <c r="AB673" s="2"/>
      <c r="AC673" s="2"/>
      <c r="AD673" s="2"/>
      <c r="AE673" s="2"/>
      <c r="AF673" s="2"/>
    </row>
    <row r="674" spans="1:32" x14ac:dyDescent="0.2">
      <c r="A674" s="2"/>
      <c r="B674" s="2"/>
      <c r="C674" s="2"/>
      <c r="D674" s="2"/>
      <c r="E674" s="25"/>
      <c r="F674" s="12"/>
      <c r="G674" s="338"/>
      <c r="H674" s="338"/>
      <c r="I674" s="338"/>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5.75" x14ac:dyDescent="0.2">
      <c r="A675" s="2"/>
      <c r="B675" s="2"/>
      <c r="C675" s="2"/>
      <c r="D675" s="2"/>
      <c r="E675" s="25" t="s">
        <v>358</v>
      </c>
      <c r="F675" s="12" t="s">
        <v>332</v>
      </c>
      <c r="G675" s="341">
        <f>G673*('7. Load Development'!H65*'7. Load Development'!L65-PI()/4*H187^2*G70)</f>
        <v>218.33148558107294</v>
      </c>
      <c r="H675" s="341"/>
      <c r="I675" s="341"/>
      <c r="J675" s="2" t="s">
        <v>335</v>
      </c>
      <c r="K675" s="2"/>
      <c r="L675" s="2"/>
      <c r="M675" s="2"/>
      <c r="N675" s="3" t="s">
        <v>826</v>
      </c>
      <c r="O675" s="2"/>
      <c r="P675" s="2"/>
      <c r="Q675" s="2"/>
      <c r="R675" s="2"/>
      <c r="S675" s="2"/>
      <c r="T675" s="2"/>
      <c r="U675" s="2"/>
      <c r="V675" s="2"/>
      <c r="W675" s="2"/>
      <c r="X675" s="2"/>
      <c r="Y675" s="2"/>
      <c r="Z675" s="2"/>
      <c r="AA675" s="2"/>
      <c r="AB675" s="2"/>
      <c r="AC675" s="2"/>
      <c r="AD675" s="2"/>
      <c r="AE675" s="2"/>
      <c r="AF675" s="2"/>
    </row>
    <row r="676" spans="1:32" x14ac:dyDescent="0.2">
      <c r="A676" s="2"/>
      <c r="B676" s="2"/>
      <c r="C676" s="2"/>
      <c r="D676" s="2"/>
      <c r="E676" s="2"/>
      <c r="F676" s="12"/>
      <c r="G676" s="338"/>
      <c r="H676" s="338"/>
      <c r="I676" s="338"/>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5" x14ac:dyDescent="0.2">
      <c r="A677" s="2"/>
      <c r="B677" s="2"/>
      <c r="C677" s="2"/>
      <c r="D677" s="2"/>
      <c r="E677" s="2"/>
      <c r="F677" s="26"/>
      <c r="G677" s="2"/>
      <c r="H677" s="2"/>
      <c r="I677" s="2"/>
      <c r="J677" s="2"/>
      <c r="K677" s="2"/>
      <c r="L677" s="2"/>
      <c r="M677" s="2"/>
      <c r="N677" s="2"/>
      <c r="O677" s="2"/>
      <c r="P677" s="2"/>
      <c r="Q677" s="2"/>
      <c r="R677" s="2"/>
      <c r="S677" s="2"/>
      <c r="T677" s="2"/>
      <c r="U677" s="2"/>
      <c r="V677" s="2"/>
      <c r="W677" s="2"/>
      <c r="X677" s="2"/>
      <c r="Y677" s="2"/>
      <c r="Z677" s="2"/>
      <c r="AA677" s="2"/>
      <c r="AB677" s="2"/>
      <c r="AC677" s="2"/>
    </row>
    <row r="678" spans="1:32" x14ac:dyDescent="0.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row>
    <row r="679" spans="1:32" x14ac:dyDescent="0.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row>
    <row r="680" spans="1:32" x14ac:dyDescent="0.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row>
    <row r="681" spans="1:32" x14ac:dyDescent="0.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row>
    <row r="682" spans="1:32" x14ac:dyDescent="0.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row>
    <row r="683" spans="1:32" x14ac:dyDescent="0.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row>
    <row r="684" spans="1:32" x14ac:dyDescent="0.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row>
    <row r="685" spans="1:32" x14ac:dyDescent="0.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row>
    <row r="686" spans="1:32" x14ac:dyDescent="0.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row>
    <row r="687" spans="1:32" x14ac:dyDescent="0.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row>
    <row r="688" spans="1:32" x14ac:dyDescent="0.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row>
    <row r="689" spans="1:33" x14ac:dyDescent="0.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row>
    <row r="690" spans="1:33" x14ac:dyDescent="0.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row>
    <row r="691" spans="1:33" x14ac:dyDescent="0.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row>
    <row r="692" spans="1:33" x14ac:dyDescent="0.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row>
    <row r="693" spans="1:33" x14ac:dyDescent="0.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row>
    <row r="694" spans="1:33" x14ac:dyDescent="0.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row>
    <row r="695" spans="1:33" x14ac:dyDescent="0.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row>
    <row r="696" spans="1:33" x14ac:dyDescent="0.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row>
    <row r="697" spans="1:33" x14ac:dyDescent="0.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row>
    <row r="698" spans="1:33" x14ac:dyDescent="0.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row>
    <row r="699" spans="1:33" x14ac:dyDescent="0.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row>
    <row r="700" spans="1:33" x14ac:dyDescent="0.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row>
    <row r="701" spans="1:33" x14ac:dyDescent="0.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row>
  </sheetData>
  <mergeCells count="213">
    <mergeCell ref="G72:I72"/>
    <mergeCell ref="G75:O75"/>
    <mergeCell ref="Q75:V75"/>
    <mergeCell ref="G76:I77"/>
    <mergeCell ref="J76:L77"/>
    <mergeCell ref="M76:O77"/>
    <mergeCell ref="Q76:S77"/>
    <mergeCell ref="T76:V77"/>
    <mergeCell ref="B7:AG8"/>
    <mergeCell ref="C24:AF29"/>
    <mergeCell ref="D37:AG37"/>
    <mergeCell ref="D43:AG46"/>
    <mergeCell ref="G70:I70"/>
    <mergeCell ref="G71:I71"/>
    <mergeCell ref="D79:F79"/>
    <mergeCell ref="G79:I79"/>
    <mergeCell ref="J79:L79"/>
    <mergeCell ref="M79:O79"/>
    <mergeCell ref="Q79:S79"/>
    <mergeCell ref="T79:V79"/>
    <mergeCell ref="D78:F78"/>
    <mergeCell ref="G78:I78"/>
    <mergeCell ref="J78:L78"/>
    <mergeCell ref="M78:O78"/>
    <mergeCell ref="Q78:S78"/>
    <mergeCell ref="T78:V78"/>
    <mergeCell ref="Q82:S82"/>
    <mergeCell ref="T82:V82"/>
    <mergeCell ref="D81:F81"/>
    <mergeCell ref="G81:I81"/>
    <mergeCell ref="J81:L81"/>
    <mergeCell ref="M81:O81"/>
    <mergeCell ref="Q81:S81"/>
    <mergeCell ref="T81:V81"/>
    <mergeCell ref="D80:F80"/>
    <mergeCell ref="G80:I80"/>
    <mergeCell ref="J80:L80"/>
    <mergeCell ref="M80:O80"/>
    <mergeCell ref="Q80:S80"/>
    <mergeCell ref="T80:V80"/>
    <mergeCell ref="H123:M123"/>
    <mergeCell ref="H124:J125"/>
    <mergeCell ref="K124:M125"/>
    <mergeCell ref="E126:G126"/>
    <mergeCell ref="H126:J126"/>
    <mergeCell ref="K126:M126"/>
    <mergeCell ref="D82:F82"/>
    <mergeCell ref="G82:I82"/>
    <mergeCell ref="J82:L82"/>
    <mergeCell ref="M82:O82"/>
    <mergeCell ref="E129:G129"/>
    <mergeCell ref="H129:J129"/>
    <mergeCell ref="K129:M129"/>
    <mergeCell ref="E130:G130"/>
    <mergeCell ref="H130:J130"/>
    <mergeCell ref="K130:M130"/>
    <mergeCell ref="E127:G127"/>
    <mergeCell ref="H127:J127"/>
    <mergeCell ref="K127:M127"/>
    <mergeCell ref="E128:G128"/>
    <mergeCell ref="H128:J128"/>
    <mergeCell ref="K128:M128"/>
    <mergeCell ref="E143:G143"/>
    <mergeCell ref="H143:J143"/>
    <mergeCell ref="K143:M143"/>
    <mergeCell ref="E144:G144"/>
    <mergeCell ref="H144:J144"/>
    <mergeCell ref="K144:M144"/>
    <mergeCell ref="H132:J132"/>
    <mergeCell ref="H133:J133"/>
    <mergeCell ref="H134:J134"/>
    <mergeCell ref="H140:M140"/>
    <mergeCell ref="H141:J142"/>
    <mergeCell ref="K141:M142"/>
    <mergeCell ref="H187:J187"/>
    <mergeCell ref="H188:J188"/>
    <mergeCell ref="J230:L230"/>
    <mergeCell ref="J231:L231"/>
    <mergeCell ref="J232:L232"/>
    <mergeCell ref="J233:L233"/>
    <mergeCell ref="H146:J146"/>
    <mergeCell ref="H147:J147"/>
    <mergeCell ref="H148:J148"/>
    <mergeCell ref="B177:AG179"/>
    <mergeCell ref="B180:AG180"/>
    <mergeCell ref="C184:AG185"/>
    <mergeCell ref="J250:L250"/>
    <mergeCell ref="J251:L251"/>
    <mergeCell ref="J252:L252"/>
    <mergeCell ref="J254:L254"/>
    <mergeCell ref="J255:L255"/>
    <mergeCell ref="R259:T259"/>
    <mergeCell ref="J237:L237"/>
    <mergeCell ref="J238:L238"/>
    <mergeCell ref="J239:L239"/>
    <mergeCell ref="J240:L240"/>
    <mergeCell ref="J242:L242"/>
    <mergeCell ref="D247:AG248"/>
    <mergeCell ref="J288:L288"/>
    <mergeCell ref="D291:AG292"/>
    <mergeCell ref="J294:L294"/>
    <mergeCell ref="J295:L295"/>
    <mergeCell ref="J299:L299"/>
    <mergeCell ref="J300:L300"/>
    <mergeCell ref="D264:AG265"/>
    <mergeCell ref="J271:L271"/>
    <mergeCell ref="R275:T275"/>
    <mergeCell ref="J285:L285"/>
    <mergeCell ref="J286:L286"/>
    <mergeCell ref="J287:L287"/>
    <mergeCell ref="J267:L267"/>
    <mergeCell ref="J268:L268"/>
    <mergeCell ref="J269:L269"/>
    <mergeCell ref="J272:L272"/>
    <mergeCell ref="O322:AG323"/>
    <mergeCell ref="J324:L324"/>
    <mergeCell ref="D304:AG306"/>
    <mergeCell ref="J308:L308"/>
    <mergeCell ref="J313:L313"/>
    <mergeCell ref="J314:L314"/>
    <mergeCell ref="P314:R314"/>
    <mergeCell ref="T314:Z315"/>
    <mergeCell ref="J315:L315"/>
    <mergeCell ref="J325:L325"/>
    <mergeCell ref="J327:L327"/>
    <mergeCell ref="J328:L328"/>
    <mergeCell ref="J329:L329"/>
    <mergeCell ref="J331:L331"/>
    <mergeCell ref="J332:L332"/>
    <mergeCell ref="J319:L319"/>
    <mergeCell ref="J320:L320"/>
    <mergeCell ref="J321:L321"/>
    <mergeCell ref="J322:L322"/>
    <mergeCell ref="J359:L359"/>
    <mergeCell ref="J357:L357"/>
    <mergeCell ref="J362:L362"/>
    <mergeCell ref="J363:L363"/>
    <mergeCell ref="J364:L364"/>
    <mergeCell ref="D401:AG402"/>
    <mergeCell ref="D403:AG404"/>
    <mergeCell ref="D336:AG337"/>
    <mergeCell ref="N340:P340"/>
    <mergeCell ref="S340:AF340"/>
    <mergeCell ref="D346:AG346"/>
    <mergeCell ref="H354:J354"/>
    <mergeCell ref="H355:J355"/>
    <mergeCell ref="H446:J446"/>
    <mergeCell ref="H447:J447"/>
    <mergeCell ref="D453:AG454"/>
    <mergeCell ref="H456:J456"/>
    <mergeCell ref="H457:J457"/>
    <mergeCell ref="H458:J458"/>
    <mergeCell ref="J360:L360"/>
    <mergeCell ref="M415:O415"/>
    <mergeCell ref="M417:O417"/>
    <mergeCell ref="D433:AF435"/>
    <mergeCell ref="C440:AG443"/>
    <mergeCell ref="H445:J445"/>
    <mergeCell ref="M406:O406"/>
    <mergeCell ref="M407:O407"/>
    <mergeCell ref="M408:O408"/>
    <mergeCell ref="D411:AG411"/>
    <mergeCell ref="M413:O413"/>
    <mergeCell ref="H486:J486"/>
    <mergeCell ref="N486:P486"/>
    <mergeCell ref="I507:K507"/>
    <mergeCell ref="O507:Q507"/>
    <mergeCell ref="I509:K509"/>
    <mergeCell ref="I525:K525"/>
    <mergeCell ref="H460:J460"/>
    <mergeCell ref="D464:AF465"/>
    <mergeCell ref="H479:J479"/>
    <mergeCell ref="H480:J480"/>
    <mergeCell ref="H485:J485"/>
    <mergeCell ref="N485:P485"/>
    <mergeCell ref="I576:K576"/>
    <mergeCell ref="O576:Q576"/>
    <mergeCell ref="E579:AG580"/>
    <mergeCell ref="I526:K526"/>
    <mergeCell ref="I527:K527"/>
    <mergeCell ref="I529:K529"/>
    <mergeCell ref="I530:K530"/>
    <mergeCell ref="I535:K535"/>
    <mergeCell ref="I536:K536"/>
    <mergeCell ref="I556:K556"/>
    <mergeCell ref="O556:Q556"/>
    <mergeCell ref="I558:K558"/>
    <mergeCell ref="G676:I676"/>
    <mergeCell ref="G669:I669"/>
    <mergeCell ref="G670:I670"/>
    <mergeCell ref="N670:AG671"/>
    <mergeCell ref="G672:I672"/>
    <mergeCell ref="G673:I673"/>
    <mergeCell ref="G674:I674"/>
    <mergeCell ref="G663:I663"/>
    <mergeCell ref="G664:I664"/>
    <mergeCell ref="G665:I665"/>
    <mergeCell ref="G666:I666"/>
    <mergeCell ref="G667:I667"/>
    <mergeCell ref="G668:I668"/>
    <mergeCell ref="G675:I675"/>
    <mergeCell ref="G619:I619"/>
    <mergeCell ref="G620:I620"/>
    <mergeCell ref="B655:AG657"/>
    <mergeCell ref="G660:I660"/>
    <mergeCell ref="G661:I661"/>
    <mergeCell ref="G662:I662"/>
    <mergeCell ref="G583:AG583"/>
    <mergeCell ref="G584:AG585"/>
    <mergeCell ref="F608:H608"/>
    <mergeCell ref="F609:H609"/>
    <mergeCell ref="F610:H610"/>
    <mergeCell ref="G618:I618"/>
  </mergeCells>
  <pageMargins left="0.7" right="0.7" top="1.25" bottom="0.75" header="0.3" footer="0.3"/>
  <pageSetup scale="87" fitToHeight="0" orientation="portrait" horizontalDpi="1200" verticalDpi="1200" r:id="rId1"/>
  <headerFooter>
    <oddHeader>&amp;L&amp;G
Client: Keyera
Project No: F3KY&amp;C&amp;G&amp;RDesigned By: CW
Checked By: JS
Date: 13-MAY-2026
Revision: 0</oddHeader>
    <oddFooter>&amp;LContractor Document No:  F3KY-215-CAL-047</oddFooter>
  </headerFooter>
  <drawing r:id="rId2"/>
  <legacyDrawingHF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6FB2C-FCEB-4F52-BA3B-0C8DB1C15654}">
  <sheetPr codeName="Sheet9">
    <pageSetUpPr fitToPage="1"/>
  </sheetPr>
  <dimension ref="A1:AO880"/>
  <sheetViews>
    <sheetView view="pageBreakPreview" topLeftCell="A346" zoomScaleNormal="100" zoomScaleSheetLayoutView="100" workbookViewId="0">
      <selection activeCell="C230" sqref="C230:AG231"/>
    </sheetView>
  </sheetViews>
  <sheetFormatPr defaultRowHeight="14.25" x14ac:dyDescent="0.2"/>
  <cols>
    <col min="1" max="33" width="3.140625" style="1" customWidth="1"/>
    <col min="34" max="16384" width="9.140625" style="1"/>
  </cols>
  <sheetData>
    <row r="1" spans="1:35" x14ac:dyDescent="0.2">
      <c r="AI1" s="1" t="s">
        <v>0</v>
      </c>
    </row>
    <row r="2" spans="1:35" ht="15" x14ac:dyDescent="0.25">
      <c r="B2" s="4" t="s">
        <v>1303</v>
      </c>
      <c r="AI2" s="1" t="s">
        <v>77</v>
      </c>
    </row>
    <row r="3" spans="1:35" x14ac:dyDescent="0.2">
      <c r="B3" s="2" t="s">
        <v>1498</v>
      </c>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row>
    <row r="4" spans="1:35" s="2" customFormat="1" ht="12.75" x14ac:dyDescent="0.2">
      <c r="B4" s="18"/>
    </row>
    <row r="5" spans="1:35" x14ac:dyDescent="0.2">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row>
    <row r="6" spans="1:35" ht="15" x14ac:dyDescent="0.25">
      <c r="A6" s="2"/>
      <c r="B6" s="4" t="s">
        <v>1305</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row>
    <row r="7" spans="1:35" x14ac:dyDescent="0.2">
      <c r="A7" s="2"/>
      <c r="B7" s="2" t="s">
        <v>576</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row>
    <row r="8" spans="1:35" x14ac:dyDescent="0.2">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row>
    <row r="9" spans="1:35" x14ac:dyDescent="0.2">
      <c r="A9" s="2"/>
      <c r="B9" s="2" t="s">
        <v>577</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row>
    <row r="10" spans="1:35" x14ac:dyDescent="0.2">
      <c r="A10" s="2"/>
      <c r="B10" s="2" t="s">
        <v>1021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row>
    <row r="11" spans="1:35" x14ac:dyDescent="0.2">
      <c r="A11" s="2"/>
      <c r="B11" s="2" t="s">
        <v>1423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row>
    <row r="12" spans="1:35" x14ac:dyDescent="0.2">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row>
    <row r="13" spans="1:35" x14ac:dyDescent="0.2">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row>
    <row r="14" spans="1:35" x14ac:dyDescent="0.2">
      <c r="A14" s="2"/>
      <c r="B14" s="232" t="s">
        <v>1022</v>
      </c>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c r="AF14" s="232"/>
      <c r="AG14" s="232"/>
    </row>
    <row r="15" spans="1:35" x14ac:dyDescent="0.2">
      <c r="A15" s="2"/>
      <c r="B15" s="232"/>
      <c r="C15" s="232"/>
      <c r="D15" s="232"/>
      <c r="E15" s="232"/>
      <c r="F15" s="232"/>
      <c r="G15" s="232"/>
      <c r="H15" s="232"/>
      <c r="I15" s="232"/>
      <c r="J15" s="232"/>
      <c r="K15" s="232"/>
      <c r="L15" s="232"/>
      <c r="M15" s="232"/>
      <c r="N15" s="232"/>
      <c r="O15" s="232"/>
      <c r="P15" s="232"/>
      <c r="Q15" s="232"/>
      <c r="R15" s="232"/>
      <c r="S15" s="232"/>
      <c r="T15" s="232"/>
      <c r="U15" s="232"/>
      <c r="V15" s="232"/>
      <c r="W15" s="232"/>
      <c r="X15" s="232"/>
      <c r="Y15" s="232"/>
      <c r="Z15" s="232"/>
      <c r="AA15" s="232"/>
      <c r="AB15" s="232"/>
      <c r="AC15" s="232"/>
      <c r="AD15" s="232"/>
      <c r="AE15" s="232"/>
      <c r="AF15" s="232"/>
      <c r="AG15" s="232"/>
    </row>
    <row r="16" spans="1:35" x14ac:dyDescent="0.2">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row>
    <row r="17" spans="1:33" x14ac:dyDescent="0.2">
      <c r="A17" s="2"/>
      <c r="B17" s="232" t="s">
        <v>1424</v>
      </c>
      <c r="C17" s="232"/>
      <c r="D17" s="232"/>
      <c r="E17" s="232"/>
      <c r="F17" s="232"/>
      <c r="G17" s="232"/>
      <c r="H17" s="232"/>
      <c r="I17" s="232"/>
      <c r="J17" s="232"/>
      <c r="K17" s="232"/>
      <c r="L17" s="232"/>
      <c r="M17" s="232"/>
      <c r="N17" s="232"/>
      <c r="O17" s="232"/>
      <c r="P17" s="232"/>
      <c r="Q17" s="232"/>
      <c r="R17" s="232"/>
      <c r="S17" s="232"/>
      <c r="T17" s="232"/>
      <c r="U17" s="232"/>
      <c r="V17" s="232"/>
      <c r="W17" s="232"/>
      <c r="X17" s="232"/>
      <c r="Y17" s="232"/>
      <c r="Z17" s="232"/>
      <c r="AA17" s="232"/>
      <c r="AB17" s="232"/>
      <c r="AC17" s="232"/>
      <c r="AD17" s="232"/>
      <c r="AE17" s="232"/>
      <c r="AF17" s="232"/>
      <c r="AG17" s="232"/>
    </row>
    <row r="18" spans="1:33" x14ac:dyDescent="0.2">
      <c r="A18" s="2"/>
      <c r="B18" s="232"/>
      <c r="C18" s="232"/>
      <c r="D18" s="232"/>
      <c r="E18" s="232"/>
      <c r="F18" s="232"/>
      <c r="G18" s="232"/>
      <c r="H18" s="232"/>
      <c r="I18" s="232"/>
      <c r="J18" s="232"/>
      <c r="K18" s="232"/>
      <c r="L18" s="232"/>
      <c r="M18" s="232"/>
      <c r="N18" s="232"/>
      <c r="O18" s="232"/>
      <c r="P18" s="232"/>
      <c r="Q18" s="232"/>
      <c r="R18" s="232"/>
      <c r="S18" s="232"/>
      <c r="T18" s="232"/>
      <c r="U18" s="232"/>
      <c r="V18" s="232"/>
      <c r="W18" s="232"/>
      <c r="X18" s="232"/>
      <c r="Y18" s="232"/>
      <c r="Z18" s="232"/>
      <c r="AA18" s="232"/>
      <c r="AB18" s="232"/>
      <c r="AC18" s="232"/>
      <c r="AD18" s="232"/>
      <c r="AE18" s="232"/>
      <c r="AF18" s="232"/>
      <c r="AG18" s="232"/>
    </row>
    <row r="19" spans="1:33" x14ac:dyDescent="0.2">
      <c r="A19" s="2"/>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row>
    <row r="20" spans="1:33" x14ac:dyDescent="0.2">
      <c r="A20" s="2"/>
      <c r="B20" s="14"/>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c r="AE20" s="14"/>
      <c r="AF20" s="14"/>
      <c r="AG20" s="14"/>
    </row>
    <row r="21" spans="1:33" x14ac:dyDescent="0.2">
      <c r="A21" s="2"/>
      <c r="B21" s="14"/>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row>
    <row r="22" spans="1:33" x14ac:dyDescent="0.2">
      <c r="A22" s="2"/>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row>
    <row r="23" spans="1:33" x14ac:dyDescent="0.2">
      <c r="A23" s="2"/>
      <c r="B23" s="14"/>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row>
    <row r="24" spans="1:33" x14ac:dyDescent="0.2">
      <c r="A24" s="2"/>
      <c r="B24" s="14"/>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row>
    <row r="25" spans="1:33" x14ac:dyDescent="0.2">
      <c r="A25" s="2"/>
      <c r="B25" s="14"/>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row>
    <row r="26" spans="1:33" x14ac:dyDescent="0.2">
      <c r="A26" s="2"/>
      <c r="B26" s="14"/>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row>
    <row r="27" spans="1:33" x14ac:dyDescent="0.2">
      <c r="A27" s="2"/>
      <c r="B27" s="14"/>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row>
    <row r="28" spans="1:33" x14ac:dyDescent="0.2">
      <c r="A28" s="2"/>
      <c r="B28" s="14"/>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row>
    <row r="29" spans="1:33" x14ac:dyDescent="0.2">
      <c r="A29" s="2"/>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row>
    <row r="30" spans="1:33" x14ac:dyDescent="0.2">
      <c r="A30" s="2"/>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row>
    <row r="31" spans="1:33" x14ac:dyDescent="0.2">
      <c r="A31" s="2"/>
      <c r="B31" s="14"/>
      <c r="C31" s="14"/>
      <c r="D31" s="14"/>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row>
    <row r="32" spans="1:33" x14ac:dyDescent="0.2">
      <c r="A32" s="2"/>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row>
    <row r="33" spans="1:33" x14ac:dyDescent="0.2">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row>
    <row r="34" spans="1:33" x14ac:dyDescent="0.2">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row>
    <row r="35" spans="1:33" x14ac:dyDescent="0.2">
      <c r="A35" s="2"/>
      <c r="B35" s="2"/>
      <c r="C35" s="2"/>
      <c r="D35" s="16" t="s">
        <v>583</v>
      </c>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row>
    <row r="36" spans="1:33" x14ac:dyDescent="0.2">
      <c r="A36" s="2"/>
      <c r="B36" s="2"/>
      <c r="C36" s="2"/>
      <c r="D36" s="2"/>
      <c r="E36" s="21" t="s">
        <v>578</v>
      </c>
      <c r="F36" s="13" t="s">
        <v>332</v>
      </c>
      <c r="G36" s="283">
        <f>'7. Load Development'!L65*1000</f>
        <v>1800</v>
      </c>
      <c r="H36" s="283"/>
      <c r="I36" s="283"/>
      <c r="J36" s="2" t="s">
        <v>337</v>
      </c>
      <c r="K36" s="2"/>
      <c r="L36" s="2"/>
      <c r="M36" s="2" t="s">
        <v>1023</v>
      </c>
      <c r="N36" s="2"/>
      <c r="O36" s="2"/>
      <c r="P36" s="2"/>
      <c r="Q36" s="2"/>
      <c r="R36" s="2"/>
      <c r="S36" s="2"/>
      <c r="T36" s="2"/>
      <c r="U36" s="2"/>
      <c r="V36" s="2"/>
      <c r="W36" s="2"/>
      <c r="X36" s="2"/>
      <c r="Y36" s="2"/>
      <c r="Z36" s="2"/>
      <c r="AA36" s="2"/>
      <c r="AB36" s="2"/>
      <c r="AC36" s="2"/>
      <c r="AD36" s="2"/>
      <c r="AE36" s="2"/>
      <c r="AF36" s="2"/>
      <c r="AG36" s="2"/>
    </row>
    <row r="37" spans="1:33" x14ac:dyDescent="0.2">
      <c r="A37" s="2"/>
      <c r="B37" s="2"/>
      <c r="C37" s="2"/>
      <c r="D37" s="2"/>
      <c r="E37" s="21" t="s">
        <v>579</v>
      </c>
      <c r="F37" s="13" t="s">
        <v>332</v>
      </c>
      <c r="G37" s="283">
        <f>'7. Load Development'!P65*1000</f>
        <v>900</v>
      </c>
      <c r="H37" s="283"/>
      <c r="I37" s="283"/>
      <c r="J37" s="2" t="s">
        <v>337</v>
      </c>
      <c r="K37" s="2"/>
      <c r="L37" s="2"/>
      <c r="M37" s="2" t="s">
        <v>1024</v>
      </c>
      <c r="N37" s="2"/>
      <c r="O37" s="2"/>
      <c r="P37" s="2"/>
      <c r="Q37" s="2"/>
      <c r="R37" s="2"/>
      <c r="S37" s="2"/>
      <c r="T37" s="2"/>
      <c r="U37" s="2"/>
      <c r="V37" s="2"/>
      <c r="W37" s="2"/>
      <c r="X37" s="2"/>
      <c r="Y37" s="2"/>
      <c r="Z37" s="2"/>
      <c r="AA37" s="2"/>
      <c r="AB37" s="2"/>
      <c r="AC37" s="2"/>
      <c r="AD37" s="2"/>
      <c r="AE37" s="2"/>
      <c r="AF37" s="2"/>
      <c r="AG37" s="2"/>
    </row>
    <row r="38" spans="1:33" x14ac:dyDescent="0.2">
      <c r="A38" s="2"/>
      <c r="B38" s="2"/>
      <c r="C38" s="2"/>
      <c r="D38" s="2"/>
      <c r="E38" s="21"/>
      <c r="F38" s="13"/>
      <c r="G38" s="13"/>
      <c r="H38" s="13"/>
      <c r="I38" s="13"/>
      <c r="J38" s="2"/>
      <c r="K38" s="2"/>
      <c r="L38" s="2"/>
      <c r="M38" s="2"/>
      <c r="N38" s="2"/>
      <c r="O38" s="2"/>
      <c r="P38" s="2"/>
      <c r="Q38" s="2"/>
      <c r="R38" s="2"/>
      <c r="S38" s="2"/>
      <c r="T38" s="2"/>
      <c r="U38" s="2"/>
      <c r="V38" s="2"/>
      <c r="W38" s="2"/>
      <c r="X38" s="2"/>
      <c r="Y38" s="2"/>
      <c r="Z38" s="2"/>
      <c r="AA38" s="2"/>
      <c r="AB38" s="2"/>
      <c r="AC38" s="2"/>
      <c r="AD38" s="2"/>
      <c r="AE38" s="2"/>
      <c r="AF38" s="2"/>
      <c r="AG38" s="2"/>
    </row>
    <row r="39" spans="1:33" x14ac:dyDescent="0.2">
      <c r="A39" s="2"/>
      <c r="B39" s="2"/>
      <c r="C39" s="2"/>
      <c r="D39" s="2"/>
      <c r="E39" s="21" t="s">
        <v>584</v>
      </c>
      <c r="F39" s="13" t="s">
        <v>332</v>
      </c>
      <c r="G39" s="284" t="s">
        <v>582</v>
      </c>
      <c r="H39" s="284"/>
      <c r="I39" s="284"/>
      <c r="J39" s="2"/>
      <c r="K39" s="2"/>
      <c r="L39" s="2"/>
      <c r="M39" s="2"/>
      <c r="N39" s="2"/>
      <c r="O39" s="2"/>
      <c r="P39" s="2"/>
      <c r="Q39" s="2"/>
      <c r="R39" s="2"/>
      <c r="S39" s="2"/>
      <c r="T39" s="2"/>
      <c r="U39" s="2"/>
      <c r="V39" s="2"/>
      <c r="W39" s="2"/>
      <c r="X39" s="2"/>
      <c r="Y39" s="2"/>
      <c r="Z39" s="2"/>
      <c r="AA39" s="2"/>
      <c r="AB39" s="2"/>
      <c r="AC39" s="2"/>
      <c r="AD39" s="2"/>
      <c r="AE39" s="2"/>
      <c r="AF39" s="2"/>
      <c r="AG39" s="2"/>
    </row>
    <row r="40" spans="1:33" ht="15.75" x14ac:dyDescent="0.3">
      <c r="A40" s="2"/>
      <c r="B40" s="2"/>
      <c r="C40" s="2"/>
      <c r="D40" s="2"/>
      <c r="E40" s="21" t="s">
        <v>571</v>
      </c>
      <c r="F40" s="13" t="s">
        <v>332</v>
      </c>
      <c r="G40" s="231">
        <v>25.4</v>
      </c>
      <c r="H40" s="231"/>
      <c r="I40" s="231"/>
      <c r="J40" s="2" t="s">
        <v>337</v>
      </c>
      <c r="K40" s="2"/>
      <c r="L40" s="2"/>
      <c r="M40" s="2" t="s">
        <v>852</v>
      </c>
      <c r="N40" s="2"/>
      <c r="O40" s="2"/>
      <c r="P40" s="2"/>
      <c r="Q40" s="2"/>
      <c r="R40" s="2"/>
      <c r="S40" s="2"/>
      <c r="T40" s="2"/>
      <c r="U40" s="2"/>
      <c r="V40" s="2"/>
      <c r="W40" s="2"/>
      <c r="X40" s="2"/>
      <c r="Y40" s="2"/>
      <c r="Z40" s="2"/>
      <c r="AA40" s="2"/>
      <c r="AB40" s="2"/>
      <c r="AC40" s="2"/>
      <c r="AD40" s="2"/>
      <c r="AE40" s="2"/>
      <c r="AF40" s="2"/>
      <c r="AG40" s="2"/>
    </row>
    <row r="41" spans="1:33" ht="15.75" x14ac:dyDescent="0.3">
      <c r="A41" s="2"/>
      <c r="B41" s="2"/>
      <c r="C41" s="2"/>
      <c r="D41" s="2"/>
      <c r="E41" s="21" t="s">
        <v>572</v>
      </c>
      <c r="F41" s="13" t="s">
        <v>332</v>
      </c>
      <c r="G41" s="284">
        <v>500</v>
      </c>
      <c r="H41" s="284"/>
      <c r="I41" s="284"/>
      <c r="J41" s="27" t="s">
        <v>555</v>
      </c>
      <c r="K41" s="2"/>
      <c r="L41" s="2"/>
      <c r="M41" s="2" t="s">
        <v>585</v>
      </c>
      <c r="N41" s="2"/>
      <c r="O41" s="2"/>
      <c r="P41" s="2"/>
      <c r="Q41" s="2"/>
      <c r="R41" s="2"/>
      <c r="S41" s="2"/>
      <c r="T41" s="2"/>
      <c r="U41" s="2"/>
      <c r="V41" s="2"/>
      <c r="W41" s="2"/>
      <c r="X41" s="2"/>
      <c r="Y41" s="2"/>
      <c r="Z41" s="2"/>
      <c r="AA41" s="2"/>
      <c r="AB41" s="2"/>
      <c r="AC41" s="2"/>
      <c r="AD41" s="2"/>
      <c r="AE41" s="2"/>
      <c r="AF41" s="2"/>
      <c r="AG41" s="2"/>
    </row>
    <row r="42" spans="1:33" x14ac:dyDescent="0.2">
      <c r="A42" s="2"/>
      <c r="B42" s="2"/>
      <c r="C42" s="2"/>
      <c r="D42" s="2"/>
      <c r="E42" s="21" t="s">
        <v>588</v>
      </c>
      <c r="F42" s="13" t="s">
        <v>332</v>
      </c>
      <c r="G42" s="284">
        <v>50</v>
      </c>
      <c r="H42" s="284"/>
      <c r="I42" s="284"/>
      <c r="J42" s="2" t="s">
        <v>337</v>
      </c>
      <c r="K42" s="2"/>
      <c r="L42" s="2"/>
      <c r="M42" s="2" t="s">
        <v>589</v>
      </c>
      <c r="N42" s="2"/>
      <c r="O42" s="2"/>
      <c r="P42" s="2"/>
      <c r="Q42" s="2"/>
      <c r="R42" s="2"/>
      <c r="S42" s="2"/>
      <c r="T42" s="2"/>
      <c r="U42" s="2"/>
      <c r="V42" s="2"/>
      <c r="W42" s="2"/>
      <c r="X42" s="2"/>
      <c r="Y42" s="2"/>
      <c r="Z42" s="2"/>
      <c r="AA42" s="2"/>
      <c r="AB42" s="2"/>
      <c r="AC42" s="2"/>
      <c r="AD42" s="2"/>
      <c r="AE42" s="2"/>
      <c r="AF42" s="2"/>
      <c r="AG42" s="2"/>
    </row>
    <row r="43" spans="1:33" ht="15.75" x14ac:dyDescent="0.3">
      <c r="A43" s="2"/>
      <c r="B43" s="2"/>
      <c r="C43" s="2"/>
      <c r="D43" s="2"/>
      <c r="E43" s="21" t="s">
        <v>663</v>
      </c>
      <c r="F43" s="13" t="s">
        <v>332</v>
      </c>
      <c r="G43" s="284">
        <f>150</f>
        <v>150</v>
      </c>
      <c r="H43" s="284"/>
      <c r="I43" s="284"/>
      <c r="J43" s="2" t="s">
        <v>337</v>
      </c>
      <c r="K43" s="2"/>
      <c r="L43" s="2"/>
      <c r="M43" s="2" t="s">
        <v>664</v>
      </c>
      <c r="N43" s="2"/>
      <c r="O43" s="2"/>
      <c r="P43" s="2"/>
      <c r="Q43" s="2"/>
      <c r="R43" s="2"/>
      <c r="S43" s="2"/>
      <c r="T43" s="2"/>
      <c r="U43" s="2"/>
      <c r="V43" s="2"/>
      <c r="W43" s="2"/>
      <c r="X43" s="2"/>
      <c r="Y43" s="2"/>
      <c r="Z43" s="2"/>
      <c r="AA43" s="2"/>
      <c r="AB43" s="2"/>
      <c r="AC43" s="2"/>
      <c r="AD43" s="2"/>
      <c r="AE43" s="2"/>
      <c r="AF43" s="2"/>
      <c r="AG43" s="2"/>
    </row>
    <row r="44" spans="1:33" ht="15.75" x14ac:dyDescent="0.3">
      <c r="A44" s="2"/>
      <c r="B44" s="2"/>
      <c r="C44" s="2"/>
      <c r="D44" s="2"/>
      <c r="E44" s="21" t="s">
        <v>590</v>
      </c>
      <c r="F44" s="13" t="s">
        <v>332</v>
      </c>
      <c r="G44" s="283">
        <f>G37-G43-1.5*G40</f>
        <v>711.9</v>
      </c>
      <c r="H44" s="283"/>
      <c r="I44" s="283"/>
      <c r="J44" s="2" t="s">
        <v>337</v>
      </c>
      <c r="K44" s="2"/>
      <c r="L44" s="2"/>
      <c r="M44" s="2" t="s">
        <v>665</v>
      </c>
      <c r="N44" s="2"/>
      <c r="O44" s="2"/>
      <c r="P44" s="2"/>
      <c r="Q44" s="2"/>
      <c r="R44" s="2"/>
      <c r="S44" s="2"/>
      <c r="T44" s="2"/>
      <c r="U44" s="2"/>
      <c r="V44" s="2"/>
      <c r="W44" s="2"/>
      <c r="X44" s="2"/>
      <c r="Y44" s="2"/>
      <c r="Z44" s="2"/>
      <c r="AA44" s="2"/>
      <c r="AB44" s="2"/>
      <c r="AC44" s="2"/>
      <c r="AD44" s="2"/>
      <c r="AE44" s="2"/>
      <c r="AF44" s="2"/>
      <c r="AG44" s="2"/>
    </row>
    <row r="45" spans="1:33" x14ac:dyDescent="0.2">
      <c r="A45" s="2"/>
      <c r="B45" s="2"/>
      <c r="C45" s="2"/>
      <c r="D45" s="2"/>
      <c r="E45" s="21"/>
      <c r="F45" s="13"/>
      <c r="G45" s="13"/>
      <c r="H45" s="13"/>
      <c r="I45" s="13"/>
      <c r="J45" s="2"/>
      <c r="K45" s="2"/>
      <c r="L45" s="2"/>
      <c r="M45" s="2"/>
      <c r="N45" s="2"/>
      <c r="O45" s="2"/>
      <c r="P45" s="2"/>
      <c r="Q45" s="2"/>
      <c r="R45" s="2"/>
      <c r="S45" s="2"/>
      <c r="T45" s="2"/>
      <c r="U45" s="2"/>
      <c r="V45" s="2"/>
      <c r="W45" s="2"/>
      <c r="X45" s="2"/>
      <c r="Y45" s="2"/>
      <c r="Z45" s="2"/>
      <c r="AA45" s="2"/>
      <c r="AB45" s="2"/>
      <c r="AC45" s="2"/>
      <c r="AD45" s="2"/>
      <c r="AE45" s="2"/>
      <c r="AF45" s="2"/>
      <c r="AG45" s="2"/>
    </row>
    <row r="46" spans="1:33" x14ac:dyDescent="0.2">
      <c r="A46" s="2"/>
      <c r="B46" s="2"/>
      <c r="C46" s="2"/>
      <c r="D46" s="2"/>
      <c r="E46" s="21"/>
      <c r="F46" s="13"/>
      <c r="G46" s="13"/>
      <c r="H46" s="13"/>
      <c r="I46" s="13"/>
      <c r="J46" s="2"/>
      <c r="K46" s="2"/>
      <c r="L46" s="2"/>
      <c r="M46" s="2"/>
      <c r="N46" s="2"/>
      <c r="O46" s="2"/>
      <c r="P46" s="2"/>
      <c r="Q46" s="2"/>
      <c r="R46" s="2"/>
      <c r="S46" s="2"/>
      <c r="T46" s="2"/>
      <c r="U46" s="2"/>
      <c r="V46" s="2"/>
      <c r="W46" s="2"/>
      <c r="X46" s="2"/>
      <c r="Y46" s="2"/>
      <c r="Z46" s="2"/>
      <c r="AA46" s="2"/>
      <c r="AB46" s="2"/>
      <c r="AC46" s="2"/>
      <c r="AD46" s="2"/>
      <c r="AE46" s="2"/>
      <c r="AF46" s="2"/>
      <c r="AG46" s="2"/>
    </row>
    <row r="47" spans="1:33" x14ac:dyDescent="0.2">
      <c r="A47" s="2"/>
      <c r="B47" s="2"/>
      <c r="C47" s="2"/>
      <c r="D47" s="2" t="s">
        <v>922</v>
      </c>
      <c r="E47" s="21"/>
      <c r="F47" s="13"/>
      <c r="G47" s="13"/>
      <c r="H47" s="13"/>
      <c r="I47" s="13"/>
      <c r="J47" s="2"/>
      <c r="K47" s="2"/>
      <c r="L47" s="2"/>
      <c r="M47" s="2"/>
      <c r="N47" s="2"/>
      <c r="O47" s="2"/>
      <c r="P47" s="2"/>
      <c r="Q47" s="2"/>
      <c r="R47" s="2"/>
      <c r="S47" s="2"/>
      <c r="T47" s="2"/>
      <c r="U47" s="2"/>
      <c r="V47" s="2"/>
      <c r="W47" s="2"/>
      <c r="X47" s="2"/>
      <c r="Y47" s="2"/>
      <c r="Z47" s="2"/>
      <c r="AA47" s="2"/>
      <c r="AB47" s="2"/>
      <c r="AC47" s="2"/>
      <c r="AD47" s="2"/>
      <c r="AE47" s="2"/>
      <c r="AF47" s="2"/>
      <c r="AG47" s="2"/>
    </row>
    <row r="48" spans="1:33" ht="15.75" x14ac:dyDescent="0.3">
      <c r="A48" s="2"/>
      <c r="B48" s="2"/>
      <c r="C48" s="2"/>
      <c r="D48" s="2"/>
      <c r="E48" s="2"/>
      <c r="F48" s="2"/>
      <c r="G48" s="21" t="s">
        <v>855</v>
      </c>
      <c r="H48" s="13" t="s">
        <v>332</v>
      </c>
      <c r="I48" s="284">
        <v>5</v>
      </c>
      <c r="J48" s="284"/>
      <c r="K48" s="284"/>
      <c r="L48" s="2"/>
      <c r="M48" s="2"/>
      <c r="N48" s="2"/>
      <c r="O48" s="2" t="s">
        <v>859</v>
      </c>
      <c r="P48" s="2"/>
      <c r="Q48" s="2"/>
      <c r="R48" s="2"/>
      <c r="S48" s="2"/>
      <c r="T48" s="2"/>
      <c r="U48" s="2"/>
      <c r="V48" s="2"/>
      <c r="W48" s="2"/>
      <c r="X48" s="2"/>
      <c r="Y48" s="2"/>
      <c r="Z48" s="2"/>
      <c r="AA48" s="2"/>
      <c r="AB48" s="2"/>
      <c r="AC48" s="2"/>
      <c r="AD48" s="2"/>
      <c r="AE48" s="2"/>
      <c r="AF48" s="2"/>
      <c r="AG48" s="2"/>
    </row>
    <row r="49" spans="1:33" ht="15.75" x14ac:dyDescent="0.3">
      <c r="A49" s="2"/>
      <c r="B49" s="2"/>
      <c r="C49" s="2"/>
      <c r="D49" s="2"/>
      <c r="E49" s="2"/>
      <c r="F49" s="2"/>
      <c r="G49" s="21" t="s">
        <v>853</v>
      </c>
      <c r="H49" s="13" t="s">
        <v>332</v>
      </c>
      <c r="I49" s="231">
        <f>(1400-2*G42-2*G40-G40)/(I48-1)</f>
        <v>305.95</v>
      </c>
      <c r="J49" s="231"/>
      <c r="K49" s="231"/>
      <c r="L49" s="2" t="s">
        <v>337</v>
      </c>
      <c r="M49" s="2"/>
      <c r="N49" s="2"/>
      <c r="O49" s="2" t="s">
        <v>854</v>
      </c>
      <c r="P49" s="2"/>
      <c r="Q49" s="2"/>
      <c r="R49" s="2"/>
      <c r="S49" s="2"/>
      <c r="T49" s="2"/>
      <c r="U49" s="2"/>
      <c r="V49" s="2"/>
      <c r="W49" s="2"/>
      <c r="X49" s="2"/>
      <c r="Y49" s="2"/>
      <c r="Z49" s="2"/>
      <c r="AA49" s="2"/>
      <c r="AB49" s="2"/>
      <c r="AC49" s="2"/>
      <c r="AD49" s="2"/>
      <c r="AE49" s="2"/>
      <c r="AF49" s="2"/>
      <c r="AG49" s="2"/>
    </row>
    <row r="50" spans="1:33" ht="15.75" x14ac:dyDescent="0.3">
      <c r="A50" s="2"/>
      <c r="B50" s="2"/>
      <c r="C50" s="2"/>
      <c r="D50" s="2"/>
      <c r="E50" s="2"/>
      <c r="F50" s="2"/>
      <c r="G50" s="21"/>
      <c r="H50" s="13"/>
      <c r="M50" s="2"/>
      <c r="N50" s="2"/>
      <c r="O50" s="45" t="s">
        <v>1340</v>
      </c>
      <c r="P50" s="2"/>
      <c r="Q50" s="2"/>
      <c r="R50" s="2"/>
      <c r="S50" s="2"/>
      <c r="T50" s="2"/>
      <c r="U50" s="2"/>
      <c r="V50" s="2"/>
      <c r="W50" s="2"/>
      <c r="X50" s="2"/>
      <c r="Y50" s="2"/>
      <c r="Z50" s="2"/>
      <c r="AA50" s="2"/>
      <c r="AB50" s="2"/>
      <c r="AC50" s="2"/>
      <c r="AD50" s="2"/>
      <c r="AE50" s="2"/>
      <c r="AF50" s="2"/>
      <c r="AG50" s="2"/>
    </row>
    <row r="51" spans="1:33" x14ac:dyDescent="0.2">
      <c r="A51" s="2"/>
      <c r="B51" s="2"/>
      <c r="C51" s="2"/>
      <c r="D51" s="2"/>
      <c r="E51" s="21"/>
      <c r="F51" s="13"/>
      <c r="G51" s="13"/>
      <c r="H51" s="13"/>
      <c r="I51" s="13"/>
      <c r="J51" s="2"/>
      <c r="K51" s="2"/>
      <c r="L51" s="2"/>
      <c r="M51" s="2"/>
      <c r="N51" s="2"/>
      <c r="O51" s="2"/>
      <c r="P51" s="2"/>
      <c r="Q51" s="2"/>
      <c r="R51" s="2"/>
      <c r="S51" s="2"/>
      <c r="T51" s="2"/>
      <c r="U51" s="2"/>
      <c r="V51" s="2"/>
      <c r="W51" s="2"/>
      <c r="X51" s="2"/>
      <c r="Y51" s="2"/>
      <c r="Z51" s="2"/>
      <c r="AA51" s="2"/>
      <c r="AB51" s="2"/>
      <c r="AC51" s="2"/>
      <c r="AD51" s="2"/>
      <c r="AE51" s="2"/>
      <c r="AF51" s="2"/>
      <c r="AG51" s="2"/>
    </row>
    <row r="52" spans="1:33" x14ac:dyDescent="0.2">
      <c r="A52" s="2"/>
      <c r="B52" s="2"/>
      <c r="C52" s="2"/>
      <c r="D52" s="2" t="s">
        <v>1306</v>
      </c>
      <c r="E52" s="21"/>
      <c r="F52" s="13"/>
      <c r="G52" s="13"/>
      <c r="H52" s="13"/>
      <c r="I52" s="13"/>
      <c r="J52" s="2"/>
      <c r="K52" s="2"/>
      <c r="L52" s="2"/>
      <c r="M52" s="2"/>
      <c r="N52" s="2"/>
      <c r="O52" s="2"/>
      <c r="P52" s="2"/>
      <c r="Q52" s="2"/>
      <c r="R52" s="2"/>
      <c r="S52" s="2"/>
      <c r="T52" s="2"/>
      <c r="U52" s="2"/>
      <c r="V52" s="2"/>
      <c r="W52" s="2"/>
      <c r="X52" s="2"/>
      <c r="Y52" s="2"/>
      <c r="Z52" s="2"/>
      <c r="AA52" s="2"/>
      <c r="AB52" s="2"/>
      <c r="AC52" s="2"/>
      <c r="AD52" s="2"/>
      <c r="AE52" s="2"/>
      <c r="AF52" s="2"/>
      <c r="AG52" s="2"/>
    </row>
    <row r="53" spans="1:33" x14ac:dyDescent="0.2">
      <c r="A53" s="2"/>
      <c r="B53" s="2"/>
      <c r="C53" s="2"/>
      <c r="D53" s="2"/>
      <c r="E53" s="21"/>
      <c r="F53" s="13"/>
      <c r="G53" s="13"/>
      <c r="H53" s="13"/>
      <c r="I53" s="13"/>
      <c r="J53" s="2"/>
      <c r="K53" s="2"/>
      <c r="L53" s="2"/>
      <c r="M53" s="2"/>
      <c r="N53" s="2"/>
      <c r="O53" s="2"/>
      <c r="P53" s="2"/>
      <c r="Q53" s="2"/>
      <c r="R53" s="2"/>
      <c r="S53" s="2"/>
      <c r="T53" s="2"/>
      <c r="U53" s="2"/>
      <c r="V53" s="2"/>
      <c r="W53" s="2"/>
      <c r="X53" s="2"/>
      <c r="Y53" s="2"/>
      <c r="Z53" s="2"/>
      <c r="AA53" s="2"/>
      <c r="AB53" s="2"/>
      <c r="AC53" s="2"/>
      <c r="AD53" s="2"/>
      <c r="AE53" s="2"/>
      <c r="AF53" s="2"/>
      <c r="AG53" s="2"/>
    </row>
    <row r="54" spans="1:33" x14ac:dyDescent="0.2">
      <c r="A54" s="2"/>
      <c r="B54" s="2"/>
      <c r="C54" s="2"/>
      <c r="D54" s="2"/>
      <c r="E54" s="21"/>
      <c r="F54" s="13"/>
      <c r="G54" s="13"/>
      <c r="H54" s="13"/>
      <c r="I54" s="13"/>
      <c r="J54" s="2"/>
      <c r="K54" s="2"/>
      <c r="L54" s="2"/>
      <c r="M54" s="2"/>
      <c r="N54" s="2"/>
      <c r="O54" s="2"/>
      <c r="P54" s="2"/>
      <c r="Q54" s="2"/>
      <c r="R54" s="2"/>
      <c r="S54" s="2"/>
      <c r="T54" s="2"/>
      <c r="U54" s="2"/>
      <c r="V54" s="2"/>
      <c r="W54" s="2"/>
      <c r="X54" s="2"/>
      <c r="Y54" s="2"/>
      <c r="Z54" s="2"/>
      <c r="AA54" s="2"/>
      <c r="AB54" s="2"/>
      <c r="AC54" s="2"/>
      <c r="AD54" s="2"/>
      <c r="AE54" s="2"/>
      <c r="AF54" s="2"/>
      <c r="AG54" s="2"/>
    </row>
    <row r="55" spans="1:33" x14ac:dyDescent="0.2">
      <c r="A55" s="2"/>
      <c r="B55" s="2"/>
      <c r="C55" s="2"/>
      <c r="D55" s="2" t="s">
        <v>1308</v>
      </c>
      <c r="E55" s="21"/>
      <c r="F55" s="13"/>
      <c r="G55" s="13"/>
      <c r="H55" s="13"/>
      <c r="I55" s="13"/>
      <c r="J55" s="2"/>
      <c r="K55" s="2"/>
      <c r="L55" s="2"/>
      <c r="M55" s="2"/>
      <c r="N55" s="2"/>
      <c r="O55" s="2"/>
      <c r="P55" s="2"/>
      <c r="Q55" s="2"/>
      <c r="R55" s="2"/>
      <c r="S55" s="2"/>
      <c r="T55" s="2"/>
      <c r="U55" s="2"/>
      <c r="V55" s="2"/>
      <c r="W55" s="2"/>
      <c r="X55" s="2"/>
      <c r="Y55" s="2"/>
      <c r="Z55" s="2"/>
      <c r="AA55" s="2"/>
      <c r="AB55" s="2"/>
      <c r="AC55" s="2"/>
      <c r="AD55" s="2"/>
      <c r="AE55" s="2"/>
      <c r="AF55" s="2"/>
      <c r="AG55" s="2"/>
    </row>
    <row r="56" spans="1:33" x14ac:dyDescent="0.2">
      <c r="A56" s="2"/>
      <c r="B56" s="2"/>
      <c r="C56" s="2"/>
      <c r="D56" s="2"/>
      <c r="E56" s="21"/>
      <c r="F56" s="13"/>
      <c r="G56" s="13"/>
      <c r="H56" s="13"/>
      <c r="I56" s="13"/>
      <c r="J56" s="2"/>
      <c r="K56" s="2"/>
      <c r="L56" s="2"/>
      <c r="M56" s="2"/>
      <c r="N56" s="2"/>
      <c r="O56" s="2"/>
      <c r="P56" s="2"/>
      <c r="Q56" s="2"/>
      <c r="R56" s="2"/>
      <c r="S56" s="2"/>
      <c r="T56" s="2"/>
      <c r="U56" s="2"/>
      <c r="V56" s="2"/>
      <c r="W56" s="2"/>
      <c r="X56" s="2"/>
      <c r="Y56" s="2"/>
      <c r="Z56" s="2"/>
      <c r="AA56" s="2"/>
      <c r="AB56" s="2"/>
      <c r="AC56" s="2"/>
      <c r="AD56" s="2"/>
      <c r="AE56" s="2"/>
      <c r="AF56" s="2"/>
      <c r="AG56" s="2"/>
    </row>
    <row r="57" spans="1:33" x14ac:dyDescent="0.2">
      <c r="A57" s="2"/>
      <c r="B57" s="2"/>
      <c r="C57" s="2"/>
      <c r="D57" s="2"/>
      <c r="E57" s="21" t="s">
        <v>513</v>
      </c>
      <c r="F57" s="13" t="s">
        <v>332</v>
      </c>
      <c r="G57" s="284">
        <v>250</v>
      </c>
      <c r="H57" s="284"/>
      <c r="I57" s="284"/>
      <c r="J57" s="2" t="s">
        <v>337</v>
      </c>
      <c r="K57" s="2"/>
      <c r="L57" s="2"/>
      <c r="M57" s="2" t="s">
        <v>856</v>
      </c>
      <c r="N57" s="2"/>
      <c r="O57" s="2"/>
      <c r="P57" s="2"/>
      <c r="Q57" s="2"/>
      <c r="R57" s="2"/>
      <c r="S57" s="2"/>
      <c r="T57" s="2"/>
      <c r="U57" s="2"/>
      <c r="V57" s="2"/>
      <c r="W57" s="2"/>
      <c r="X57" s="2"/>
      <c r="Y57" s="2"/>
      <c r="Z57" s="2"/>
      <c r="AA57" s="2"/>
      <c r="AB57" s="2"/>
      <c r="AC57" s="2"/>
      <c r="AD57" s="2"/>
      <c r="AE57" s="2"/>
      <c r="AF57" s="2"/>
      <c r="AG57" s="2"/>
    </row>
    <row r="58" spans="1:33" ht="15.75" x14ac:dyDescent="0.3">
      <c r="A58" s="2"/>
      <c r="B58" s="2"/>
      <c r="C58" s="2"/>
      <c r="D58" s="2"/>
      <c r="E58" s="21" t="s">
        <v>586</v>
      </c>
      <c r="F58" s="13" t="s">
        <v>332</v>
      </c>
      <c r="G58" s="231">
        <f>(G36-2*G42-2*G40-G40)/G57+1</f>
        <v>7.4951999999999996</v>
      </c>
      <c r="H58" s="231"/>
      <c r="I58" s="231"/>
      <c r="J58" s="2"/>
      <c r="K58" s="2"/>
      <c r="L58" s="2"/>
      <c r="M58" s="2" t="s">
        <v>857</v>
      </c>
      <c r="N58" s="2"/>
      <c r="O58" s="2"/>
      <c r="P58" s="2"/>
      <c r="Q58" s="2"/>
      <c r="R58" s="2"/>
      <c r="S58" s="2"/>
      <c r="T58" s="2"/>
      <c r="U58" s="2"/>
      <c r="V58" s="2"/>
      <c r="W58" s="2"/>
      <c r="X58" s="2"/>
      <c r="Y58" s="2"/>
      <c r="Z58" s="2"/>
      <c r="AA58" s="2"/>
      <c r="AB58" s="2"/>
      <c r="AC58" s="2"/>
      <c r="AD58" s="2"/>
      <c r="AE58" s="2"/>
      <c r="AF58" s="2"/>
      <c r="AG58" s="2"/>
    </row>
    <row r="59" spans="1:33" x14ac:dyDescent="0.2">
      <c r="A59" s="2"/>
      <c r="B59" s="2"/>
      <c r="C59" s="2"/>
      <c r="D59" s="2"/>
      <c r="E59" s="21"/>
      <c r="F59" s="13" t="s">
        <v>332</v>
      </c>
      <c r="G59" s="284">
        <v>7</v>
      </c>
      <c r="H59" s="284"/>
      <c r="I59" s="284"/>
      <c r="J59" s="2"/>
      <c r="K59" s="2"/>
      <c r="L59" s="2"/>
      <c r="M59" s="2" t="s">
        <v>858</v>
      </c>
      <c r="N59" s="2"/>
      <c r="O59" s="2"/>
      <c r="P59" s="2"/>
      <c r="Q59" s="2"/>
      <c r="R59" s="2"/>
      <c r="S59" s="2"/>
      <c r="T59" s="2"/>
      <c r="U59" s="2"/>
      <c r="V59" s="2"/>
      <c r="W59" s="2"/>
      <c r="X59" s="2"/>
      <c r="Y59" s="2"/>
      <c r="Z59" s="2"/>
      <c r="AA59" s="2"/>
      <c r="AB59" s="2"/>
      <c r="AC59" s="2"/>
      <c r="AD59" s="2"/>
      <c r="AE59" s="2"/>
      <c r="AF59" s="2"/>
      <c r="AG59" s="2"/>
    </row>
    <row r="60" spans="1:33" ht="15.75" x14ac:dyDescent="0.3">
      <c r="A60" s="2"/>
      <c r="B60" s="2"/>
      <c r="C60" s="2"/>
      <c r="D60" s="2"/>
      <c r="E60" s="21" t="s">
        <v>587</v>
      </c>
      <c r="F60" s="13" t="s">
        <v>332</v>
      </c>
      <c r="G60" s="284">
        <f>G59*G41</f>
        <v>3500</v>
      </c>
      <c r="H60" s="284"/>
      <c r="I60" s="284"/>
      <c r="J60" s="27" t="s">
        <v>555</v>
      </c>
      <c r="K60" s="2"/>
      <c r="L60" s="2"/>
      <c r="M60" s="2" t="s">
        <v>863</v>
      </c>
      <c r="N60" s="2"/>
      <c r="O60" s="2"/>
      <c r="P60" s="2"/>
      <c r="Q60" s="2"/>
      <c r="R60" s="2"/>
      <c r="S60" s="2"/>
      <c r="T60" s="2"/>
      <c r="U60" s="2"/>
      <c r="V60" s="2"/>
      <c r="W60" s="2"/>
      <c r="X60" s="2"/>
      <c r="Y60" s="2"/>
      <c r="Z60" s="2"/>
      <c r="AA60" s="2"/>
      <c r="AB60" s="2"/>
      <c r="AC60" s="2"/>
      <c r="AD60" s="2"/>
      <c r="AE60" s="2"/>
      <c r="AF60" s="2"/>
      <c r="AG60" s="2"/>
    </row>
    <row r="61" spans="1:33" ht="15.75" x14ac:dyDescent="0.3">
      <c r="A61" s="2"/>
      <c r="B61" s="2"/>
      <c r="C61" s="2"/>
      <c r="D61" s="2"/>
      <c r="E61" s="21" t="s">
        <v>861</v>
      </c>
      <c r="F61" s="13" t="s">
        <v>332</v>
      </c>
      <c r="G61" s="284">
        <f>2*G60</f>
        <v>7000</v>
      </c>
      <c r="H61" s="284"/>
      <c r="I61" s="284"/>
      <c r="J61" s="27" t="s">
        <v>555</v>
      </c>
      <c r="K61" s="2"/>
      <c r="L61" s="2"/>
      <c r="M61" s="2" t="s">
        <v>862</v>
      </c>
      <c r="N61" s="2"/>
      <c r="O61" s="2"/>
      <c r="P61" s="2"/>
      <c r="Q61" s="2"/>
      <c r="R61" s="2"/>
      <c r="S61" s="2"/>
      <c r="T61" s="2"/>
      <c r="U61" s="2"/>
      <c r="V61" s="2"/>
      <c r="W61" s="2"/>
      <c r="X61" s="2"/>
      <c r="Y61" s="2"/>
      <c r="Z61" s="2"/>
      <c r="AA61" s="2"/>
      <c r="AB61" s="2"/>
      <c r="AC61" s="2"/>
      <c r="AD61" s="2"/>
      <c r="AE61" s="2"/>
      <c r="AF61" s="2"/>
      <c r="AG61" s="2"/>
    </row>
    <row r="62" spans="1:33" x14ac:dyDescent="0.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row>
    <row r="63" spans="1:33" x14ac:dyDescent="0.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row>
    <row r="64" spans="1:33" x14ac:dyDescent="0.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row>
    <row r="65" spans="1:33" x14ac:dyDescent="0.2">
      <c r="A65" s="2"/>
      <c r="B65" s="2"/>
      <c r="C65" s="2"/>
      <c r="D65" s="16" t="s">
        <v>685</v>
      </c>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row>
    <row r="66" spans="1:33" x14ac:dyDescent="0.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row>
    <row r="67" spans="1:33" x14ac:dyDescent="0.2">
      <c r="A67" s="2"/>
      <c r="B67" s="2"/>
      <c r="C67" s="2"/>
      <c r="D67" s="2"/>
      <c r="E67" s="59" t="s">
        <v>98</v>
      </c>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row>
    <row r="68" spans="1:33" ht="15.75" x14ac:dyDescent="0.2">
      <c r="A68" s="2"/>
      <c r="B68" s="2"/>
      <c r="C68" s="2"/>
      <c r="D68" s="2"/>
      <c r="E68" s="59"/>
      <c r="F68" s="25" t="s">
        <v>610</v>
      </c>
      <c r="G68" s="12" t="s">
        <v>332</v>
      </c>
      <c r="H68" s="363">
        <v>0.65</v>
      </c>
      <c r="I68" s="363"/>
      <c r="J68" s="363"/>
      <c r="K68" s="57"/>
      <c r="L68" s="57"/>
      <c r="M68" s="57"/>
      <c r="N68" s="3" t="s">
        <v>738</v>
      </c>
      <c r="O68" s="57"/>
      <c r="P68" s="57"/>
      <c r="Q68" s="57"/>
      <c r="S68" s="2"/>
      <c r="T68" s="2"/>
      <c r="U68" s="2"/>
      <c r="V68" s="2"/>
      <c r="W68" s="2"/>
      <c r="X68" s="2"/>
      <c r="Y68" s="2"/>
      <c r="Z68" s="2"/>
      <c r="AA68" s="2"/>
      <c r="AB68" s="2"/>
      <c r="AC68" s="2"/>
      <c r="AD68" s="2"/>
      <c r="AE68" s="2"/>
      <c r="AF68" s="2"/>
      <c r="AG68" s="2"/>
    </row>
    <row r="69" spans="1:33" ht="15.75" x14ac:dyDescent="0.25">
      <c r="A69" s="2"/>
      <c r="B69" s="2"/>
      <c r="C69" s="2"/>
      <c r="D69" s="2"/>
      <c r="E69" s="59"/>
      <c r="F69" s="25" t="s">
        <v>611</v>
      </c>
      <c r="G69" s="12" t="s">
        <v>332</v>
      </c>
      <c r="H69" s="363">
        <v>30</v>
      </c>
      <c r="I69" s="363"/>
      <c r="J69" s="363"/>
      <c r="K69" s="57" t="s">
        <v>557</v>
      </c>
      <c r="L69" s="12"/>
      <c r="M69"/>
      <c r="N69" s="3" t="s">
        <v>739</v>
      </c>
      <c r="O69"/>
      <c r="P69" s="57"/>
      <c r="Q69" s="57"/>
      <c r="S69" s="2"/>
      <c r="T69" s="2"/>
      <c r="U69" s="2"/>
      <c r="V69" s="2"/>
      <c r="W69" s="2"/>
      <c r="X69" s="2"/>
      <c r="Y69" s="2"/>
      <c r="Z69" s="2"/>
      <c r="AA69" s="2"/>
      <c r="AB69" s="2"/>
      <c r="AC69" s="2"/>
      <c r="AD69" s="2"/>
      <c r="AE69" s="2"/>
      <c r="AF69" s="2"/>
      <c r="AG69" s="2"/>
    </row>
    <row r="70" spans="1:33" ht="15.75" x14ac:dyDescent="0.2">
      <c r="A70" s="2"/>
      <c r="B70" s="2"/>
      <c r="C70" s="2"/>
      <c r="D70" s="2"/>
      <c r="E70" s="59"/>
      <c r="F70" s="25" t="s">
        <v>612</v>
      </c>
      <c r="G70" s="12" t="s">
        <v>332</v>
      </c>
      <c r="H70" s="363">
        <f>0.85-0.0015*M69</f>
        <v>0.85</v>
      </c>
      <c r="I70" s="363"/>
      <c r="J70" s="363"/>
      <c r="K70" s="57"/>
      <c r="L70" s="57"/>
      <c r="M70" s="57"/>
      <c r="N70" s="3" t="s">
        <v>617</v>
      </c>
      <c r="O70" s="57"/>
      <c r="P70" s="57"/>
      <c r="Q70" s="57"/>
      <c r="S70" s="2"/>
      <c r="T70" s="2"/>
      <c r="U70" s="2"/>
      <c r="V70" s="2"/>
      <c r="W70" s="2"/>
      <c r="X70" s="2"/>
      <c r="Y70" s="2"/>
      <c r="Z70" s="2"/>
      <c r="AA70" s="2"/>
      <c r="AB70" s="2"/>
      <c r="AC70" s="2"/>
      <c r="AD70" s="2"/>
      <c r="AE70" s="2"/>
      <c r="AF70" s="2"/>
      <c r="AG70" s="2"/>
    </row>
    <row r="71" spans="1:33" ht="15.75" x14ac:dyDescent="0.2">
      <c r="A71" s="2"/>
      <c r="B71" s="2"/>
      <c r="C71" s="2"/>
      <c r="D71" s="2"/>
      <c r="E71" s="59"/>
      <c r="F71" s="25" t="s">
        <v>613</v>
      </c>
      <c r="G71" s="12" t="s">
        <v>332</v>
      </c>
      <c r="H71" s="363">
        <f>0.97-0.0025*M69</f>
        <v>0.97</v>
      </c>
      <c r="I71" s="363"/>
      <c r="J71" s="363"/>
      <c r="K71" s="57"/>
      <c r="L71" s="57"/>
      <c r="M71" s="57"/>
      <c r="N71" s="3" t="s">
        <v>618</v>
      </c>
      <c r="O71" s="57"/>
      <c r="P71" s="57"/>
      <c r="Q71" s="57"/>
      <c r="S71" s="2"/>
      <c r="T71" s="2"/>
      <c r="U71" s="2"/>
      <c r="V71" s="2"/>
      <c r="W71" s="2"/>
      <c r="X71" s="2"/>
      <c r="Y71" s="2"/>
      <c r="Z71" s="2"/>
      <c r="AA71" s="2"/>
      <c r="AB71" s="2"/>
      <c r="AC71" s="2"/>
      <c r="AD71" s="2"/>
      <c r="AE71" s="2"/>
      <c r="AF71" s="2"/>
      <c r="AG71" s="2"/>
    </row>
    <row r="72" spans="1:33" x14ac:dyDescent="0.2">
      <c r="A72" s="2"/>
      <c r="B72" s="2"/>
      <c r="C72" s="2"/>
      <c r="D72" s="2"/>
      <c r="E72" s="59"/>
      <c r="F72" s="25" t="s">
        <v>559</v>
      </c>
      <c r="G72" s="12" t="s">
        <v>332</v>
      </c>
      <c r="H72" s="363">
        <v>1</v>
      </c>
      <c r="I72" s="363"/>
      <c r="J72" s="363"/>
      <c r="K72" s="57"/>
      <c r="L72" s="57"/>
      <c r="M72" s="57"/>
      <c r="N72" s="3" t="s">
        <v>740</v>
      </c>
      <c r="O72" s="57"/>
      <c r="P72" s="57"/>
      <c r="Q72" s="57"/>
      <c r="S72" s="2"/>
      <c r="T72" s="2"/>
      <c r="U72" s="2"/>
      <c r="V72" s="2"/>
      <c r="W72" s="2"/>
      <c r="X72" s="2"/>
      <c r="Y72" s="2"/>
      <c r="Z72" s="2"/>
      <c r="AA72" s="2"/>
      <c r="AB72" s="2"/>
      <c r="AC72" s="2"/>
      <c r="AD72" s="2"/>
      <c r="AE72" s="2"/>
      <c r="AF72" s="2"/>
      <c r="AG72" s="2"/>
    </row>
    <row r="73" spans="1:33" x14ac:dyDescent="0.2">
      <c r="A73" s="2"/>
      <c r="B73" s="2"/>
      <c r="C73" s="2"/>
      <c r="D73" s="2"/>
      <c r="E73" s="59"/>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row>
    <row r="74" spans="1:33" x14ac:dyDescent="0.2">
      <c r="A74" s="2"/>
      <c r="B74" s="2"/>
      <c r="C74" s="2"/>
      <c r="D74" s="2"/>
      <c r="E74" s="59" t="s">
        <v>614</v>
      </c>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row>
    <row r="75" spans="1:33" ht="15.75" x14ac:dyDescent="0.2">
      <c r="A75" s="2"/>
      <c r="B75" s="2"/>
      <c r="C75" s="2"/>
      <c r="D75" s="2"/>
      <c r="E75" s="59"/>
      <c r="F75" s="25" t="s">
        <v>615</v>
      </c>
      <c r="G75" s="12" t="s">
        <v>332</v>
      </c>
      <c r="H75" s="363">
        <v>0.85</v>
      </c>
      <c r="I75" s="363"/>
      <c r="J75" s="363"/>
      <c r="K75" s="57"/>
      <c r="L75" s="57"/>
      <c r="M75" s="57"/>
      <c r="N75" s="57" t="s">
        <v>733</v>
      </c>
      <c r="O75" s="57"/>
      <c r="P75" s="57"/>
      <c r="Q75" s="57"/>
      <c r="S75" s="2"/>
      <c r="T75" s="2"/>
      <c r="U75" s="2"/>
      <c r="V75" s="2"/>
      <c r="W75" s="2"/>
      <c r="X75" s="2"/>
      <c r="Y75" s="2"/>
      <c r="Z75" s="2"/>
      <c r="AA75" s="2"/>
      <c r="AB75" s="2"/>
      <c r="AC75" s="2"/>
      <c r="AD75" s="2"/>
      <c r="AE75" s="2"/>
      <c r="AF75" s="2"/>
      <c r="AG75" s="2"/>
    </row>
    <row r="76" spans="1:33" ht="15.75" x14ac:dyDescent="0.25">
      <c r="A76" s="2"/>
      <c r="B76" s="2"/>
      <c r="C76" s="2"/>
      <c r="D76" s="2"/>
      <c r="E76" s="2"/>
      <c r="F76" s="25" t="s">
        <v>616</v>
      </c>
      <c r="G76" s="12" t="s">
        <v>332</v>
      </c>
      <c r="H76" s="363">
        <v>400</v>
      </c>
      <c r="I76" s="363"/>
      <c r="J76" s="363"/>
      <c r="K76" s="57" t="s">
        <v>557</v>
      </c>
      <c r="L76"/>
      <c r="M76"/>
      <c r="N76" s="57" t="s">
        <v>1025</v>
      </c>
      <c r="O76"/>
      <c r="P76"/>
      <c r="Q76"/>
      <c r="S76" s="2"/>
      <c r="T76" s="2"/>
      <c r="U76" s="2"/>
      <c r="V76" s="2"/>
      <c r="W76" s="2"/>
      <c r="X76" s="2"/>
      <c r="Y76" s="2"/>
      <c r="Z76" s="2"/>
      <c r="AA76" s="2"/>
      <c r="AB76" s="2"/>
      <c r="AC76" s="2"/>
      <c r="AD76" s="2"/>
      <c r="AE76" s="2"/>
      <c r="AF76" s="2"/>
      <c r="AG76" s="2"/>
    </row>
    <row r="77" spans="1:33" x14ac:dyDescent="0.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row>
    <row r="78" spans="1:33" x14ac:dyDescent="0.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row>
    <row r="79" spans="1:33" x14ac:dyDescent="0.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row>
    <row r="80" spans="1:33" x14ac:dyDescent="0.2">
      <c r="A80" s="2"/>
      <c r="B80" s="2"/>
      <c r="C80" s="16" t="s">
        <v>637</v>
      </c>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row>
    <row r="81" spans="1:33" x14ac:dyDescent="0.2">
      <c r="A81" s="2"/>
      <c r="B81" s="2"/>
      <c r="C81" s="2" t="s">
        <v>1425</v>
      </c>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row>
    <row r="82" spans="1:33" x14ac:dyDescent="0.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row>
    <row r="83" spans="1:33" ht="15.75" x14ac:dyDescent="0.3">
      <c r="A83" s="2"/>
      <c r="B83" s="2"/>
      <c r="C83" s="2"/>
      <c r="D83" s="2"/>
      <c r="E83" s="2"/>
      <c r="F83" s="21" t="s">
        <v>638</v>
      </c>
      <c r="G83" s="13" t="s">
        <v>332</v>
      </c>
      <c r="H83" s="284">
        <v>2200</v>
      </c>
      <c r="I83" s="284"/>
      <c r="J83" s="284"/>
      <c r="K83" s="2" t="s">
        <v>337</v>
      </c>
      <c r="L83" s="2"/>
      <c r="M83" s="2"/>
      <c r="N83" s="2" t="s">
        <v>643</v>
      </c>
      <c r="O83" s="2"/>
      <c r="P83" s="2"/>
      <c r="Q83" s="2"/>
      <c r="R83" s="2"/>
      <c r="S83" s="2"/>
      <c r="T83" s="2"/>
      <c r="U83" s="2"/>
      <c r="V83" s="2"/>
      <c r="W83" s="2"/>
      <c r="X83" s="2"/>
      <c r="Y83" s="2"/>
      <c r="Z83" s="2"/>
      <c r="AA83" s="2"/>
      <c r="AB83" s="2"/>
      <c r="AC83" s="2"/>
      <c r="AD83" s="2"/>
      <c r="AE83" s="2"/>
      <c r="AF83" s="2"/>
      <c r="AG83" s="2"/>
    </row>
    <row r="84" spans="1:33" ht="15.75" x14ac:dyDescent="0.3">
      <c r="A84" s="2"/>
      <c r="B84" s="2"/>
      <c r="C84" s="2"/>
      <c r="D84" s="2"/>
      <c r="E84" s="2"/>
      <c r="F84" s="21" t="s">
        <v>639</v>
      </c>
      <c r="G84" s="13" t="s">
        <v>332</v>
      </c>
      <c r="H84" s="284">
        <f>'8. Pile Design'!H187*1000</f>
        <v>219</v>
      </c>
      <c r="I84" s="284"/>
      <c r="J84" s="284"/>
      <c r="K84" s="2" t="s">
        <v>337</v>
      </c>
      <c r="L84" s="2"/>
      <c r="M84" s="2"/>
      <c r="N84" s="2" t="s">
        <v>641</v>
      </c>
      <c r="O84" s="2"/>
      <c r="P84" s="2"/>
      <c r="Q84" s="2"/>
      <c r="R84" s="2"/>
      <c r="S84" s="2"/>
      <c r="T84" s="2"/>
      <c r="U84" s="2"/>
      <c r="V84" s="2"/>
      <c r="W84" s="2"/>
      <c r="X84" s="2"/>
      <c r="Y84" s="2"/>
      <c r="Z84" s="2"/>
      <c r="AA84" s="2"/>
      <c r="AB84" s="2"/>
      <c r="AC84" s="2"/>
      <c r="AD84" s="2"/>
      <c r="AE84" s="2"/>
      <c r="AF84" s="2"/>
      <c r="AG84" s="2"/>
    </row>
    <row r="85" spans="1:33" ht="15.75" x14ac:dyDescent="0.3">
      <c r="A85" s="2"/>
      <c r="B85" s="2"/>
      <c r="C85" s="2"/>
      <c r="D85" s="2"/>
      <c r="E85" s="2"/>
      <c r="F85" s="21" t="s">
        <v>640</v>
      </c>
      <c r="G85" s="13" t="s">
        <v>332</v>
      </c>
      <c r="H85" s="284">
        <f>H83-H84</f>
        <v>1981</v>
      </c>
      <c r="I85" s="284"/>
      <c r="J85" s="284"/>
      <c r="K85" s="2" t="s">
        <v>337</v>
      </c>
      <c r="L85" s="2"/>
      <c r="M85" s="2"/>
      <c r="N85" s="2" t="s">
        <v>642</v>
      </c>
      <c r="O85" s="2"/>
      <c r="P85" s="2"/>
      <c r="Q85" s="2"/>
      <c r="R85" s="2"/>
      <c r="S85" s="2"/>
      <c r="T85" s="2"/>
      <c r="U85" s="2"/>
      <c r="V85" s="2"/>
      <c r="W85" s="2"/>
      <c r="X85" s="2"/>
      <c r="Y85" s="2"/>
      <c r="Z85" s="2"/>
      <c r="AA85" s="2"/>
      <c r="AB85" s="2"/>
      <c r="AC85" s="2"/>
      <c r="AD85" s="2"/>
      <c r="AE85" s="2"/>
      <c r="AF85" s="2"/>
      <c r="AG85" s="2"/>
    </row>
    <row r="86" spans="1:33" x14ac:dyDescent="0.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row>
    <row r="87" spans="1:33" ht="15.75" x14ac:dyDescent="0.3">
      <c r="A87" s="2"/>
      <c r="B87" s="2"/>
      <c r="C87" s="2"/>
      <c r="D87" s="2"/>
      <c r="E87" s="2"/>
      <c r="F87" s="21" t="s">
        <v>644</v>
      </c>
      <c r="G87" s="13" t="s">
        <v>332</v>
      </c>
      <c r="H87" s="285">
        <f>H85/G37</f>
        <v>2.201111111111111</v>
      </c>
      <c r="I87" s="285"/>
      <c r="J87" s="285"/>
      <c r="K87" s="2" t="s">
        <v>1426</v>
      </c>
      <c r="L87" s="2"/>
      <c r="M87" s="2"/>
      <c r="N87" s="2"/>
      <c r="O87" s="2"/>
      <c r="P87" s="2"/>
      <c r="Q87" s="2"/>
      <c r="R87" s="2"/>
      <c r="S87" s="2"/>
      <c r="T87" s="2"/>
      <c r="U87" s="2"/>
      <c r="V87" s="2"/>
      <c r="W87" s="2"/>
      <c r="X87" s="2"/>
      <c r="Y87" s="2"/>
      <c r="Z87" s="2"/>
      <c r="AA87" s="2"/>
      <c r="AB87" s="2"/>
      <c r="AC87" s="2"/>
      <c r="AD87" s="2"/>
      <c r="AE87" s="2"/>
      <c r="AF87" s="2"/>
      <c r="AG87" s="2"/>
    </row>
    <row r="88" spans="1:33" x14ac:dyDescent="0.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row>
    <row r="89" spans="1:33" x14ac:dyDescent="0.2">
      <c r="A89" s="2"/>
      <c r="B89" s="2"/>
      <c r="C89" s="2" t="s">
        <v>1427</v>
      </c>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row>
    <row r="90" spans="1:33" x14ac:dyDescent="0.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row>
    <row r="91" spans="1:33" x14ac:dyDescent="0.2">
      <c r="A91" s="2"/>
      <c r="B91" s="2"/>
      <c r="C91" s="232" t="s">
        <v>1428</v>
      </c>
      <c r="D91" s="232"/>
      <c r="E91" s="232"/>
      <c r="F91" s="232"/>
      <c r="G91" s="232"/>
      <c r="H91" s="232"/>
      <c r="I91" s="232"/>
      <c r="J91" s="232"/>
      <c r="K91" s="232"/>
      <c r="L91" s="232"/>
      <c r="M91" s="232"/>
      <c r="N91" s="232"/>
      <c r="O91" s="232"/>
      <c r="P91" s="232"/>
      <c r="Q91" s="232"/>
      <c r="R91" s="232"/>
      <c r="S91" s="232"/>
      <c r="T91" s="232"/>
      <c r="U91" s="232"/>
      <c r="V91" s="232"/>
      <c r="W91" s="232"/>
      <c r="X91" s="232"/>
      <c r="Y91" s="232"/>
      <c r="Z91" s="232"/>
      <c r="AA91" s="232"/>
      <c r="AB91" s="232"/>
      <c r="AC91" s="232"/>
      <c r="AD91" s="232"/>
      <c r="AE91" s="232"/>
      <c r="AF91" s="232"/>
      <c r="AG91" s="232"/>
    </row>
    <row r="92" spans="1:33" x14ac:dyDescent="0.2">
      <c r="A92" s="2"/>
      <c r="B92" s="2"/>
      <c r="C92" s="232"/>
      <c r="D92" s="232"/>
      <c r="E92" s="232"/>
      <c r="F92" s="232"/>
      <c r="G92" s="232"/>
      <c r="H92" s="232"/>
      <c r="I92" s="232"/>
      <c r="J92" s="232"/>
      <c r="K92" s="232"/>
      <c r="L92" s="232"/>
      <c r="M92" s="232"/>
      <c r="N92" s="232"/>
      <c r="O92" s="232"/>
      <c r="P92" s="232"/>
      <c r="Q92" s="232"/>
      <c r="R92" s="232"/>
      <c r="S92" s="232"/>
      <c r="T92" s="232"/>
      <c r="U92" s="232"/>
      <c r="V92" s="232"/>
      <c r="W92" s="232"/>
      <c r="X92" s="232"/>
      <c r="Y92" s="232"/>
      <c r="Z92" s="232"/>
      <c r="AA92" s="232"/>
      <c r="AB92" s="232"/>
      <c r="AC92" s="232"/>
      <c r="AD92" s="232"/>
      <c r="AE92" s="232"/>
      <c r="AF92" s="232"/>
      <c r="AG92" s="232"/>
    </row>
    <row r="93" spans="1:33" x14ac:dyDescent="0.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row>
    <row r="94" spans="1:33" x14ac:dyDescent="0.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row>
    <row r="95" spans="1:33" x14ac:dyDescent="0.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row>
    <row r="96" spans="1:33" x14ac:dyDescent="0.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row>
    <row r="97" spans="1:33" x14ac:dyDescent="0.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row>
    <row r="98" spans="1:33" x14ac:dyDescent="0.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row>
    <row r="99" spans="1:33" x14ac:dyDescent="0.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row>
    <row r="100" spans="1:33" x14ac:dyDescent="0.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row>
    <row r="101" spans="1:33" x14ac:dyDescent="0.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row>
    <row r="102" spans="1:33" x14ac:dyDescent="0.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row>
    <row r="103" spans="1:33" x14ac:dyDescent="0.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row>
    <row r="104" spans="1:33" x14ac:dyDescent="0.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row>
    <row r="105" spans="1:33" x14ac:dyDescent="0.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row>
    <row r="106" spans="1:33" x14ac:dyDescent="0.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row>
    <row r="107" spans="1:33" x14ac:dyDescent="0.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row>
    <row r="108" spans="1:33" x14ac:dyDescent="0.2">
      <c r="A108" s="2"/>
      <c r="B108" s="2"/>
      <c r="C108" s="48" t="s">
        <v>1307</v>
      </c>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row>
    <row r="109" spans="1:33" x14ac:dyDescent="0.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row>
    <row r="110" spans="1:33" ht="15.75" x14ac:dyDescent="0.3">
      <c r="A110" s="2"/>
      <c r="B110" s="2"/>
      <c r="C110" s="2"/>
      <c r="D110" s="58" t="s">
        <v>1026</v>
      </c>
      <c r="E110" s="12" t="s">
        <v>332</v>
      </c>
      <c r="F110" s="284">
        <f>G61</f>
        <v>7000</v>
      </c>
      <c r="G110" s="284"/>
      <c r="H110" s="284"/>
      <c r="I110" s="27" t="s">
        <v>555</v>
      </c>
      <c r="J110" s="2"/>
      <c r="K110" s="2"/>
      <c r="L110" s="2" t="s">
        <v>862</v>
      </c>
      <c r="M110" s="2"/>
      <c r="N110" s="2"/>
      <c r="O110" s="2"/>
      <c r="P110" s="2"/>
      <c r="Q110" s="2"/>
      <c r="R110" s="2"/>
      <c r="S110" s="2"/>
      <c r="T110" s="2"/>
      <c r="U110" s="2"/>
      <c r="V110" s="2"/>
      <c r="W110" s="2"/>
      <c r="X110" s="2"/>
      <c r="Y110" s="2"/>
      <c r="Z110" s="2"/>
      <c r="AA110" s="2"/>
      <c r="AB110" s="2"/>
      <c r="AC110" s="2"/>
      <c r="AD110" s="2"/>
      <c r="AE110" s="2"/>
      <c r="AF110" s="2"/>
      <c r="AG110" s="2"/>
    </row>
    <row r="111" spans="1:33" x14ac:dyDescent="0.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row>
    <row r="112" spans="1:33" x14ac:dyDescent="0.2">
      <c r="A112" s="2"/>
      <c r="B112" s="2"/>
      <c r="C112" s="2"/>
      <c r="D112" s="16" t="s">
        <v>860</v>
      </c>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row>
    <row r="113" spans="1:33" x14ac:dyDescent="0.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row>
    <row r="114" spans="1:33" ht="15.75" x14ac:dyDescent="0.2">
      <c r="A114" s="2"/>
      <c r="B114" s="2"/>
      <c r="C114" s="2"/>
      <c r="D114" s="2"/>
      <c r="E114" s="58" t="s">
        <v>580</v>
      </c>
      <c r="F114" s="12" t="s">
        <v>332</v>
      </c>
      <c r="G114" s="57" t="s">
        <v>581</v>
      </c>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row>
    <row r="115" spans="1:33" ht="15.75" x14ac:dyDescent="0.3">
      <c r="A115" s="2"/>
      <c r="B115" s="2"/>
      <c r="C115" s="2"/>
      <c r="D115" s="2"/>
      <c r="E115" s="2"/>
      <c r="F115" s="13" t="s">
        <v>332</v>
      </c>
      <c r="G115" s="284">
        <f>0.002*G36*G37</f>
        <v>3240</v>
      </c>
      <c r="H115" s="284"/>
      <c r="I115" s="284"/>
      <c r="J115" s="27" t="s">
        <v>555</v>
      </c>
      <c r="K115" s="2"/>
      <c r="L115" s="2" t="s">
        <v>864</v>
      </c>
      <c r="M115" s="2"/>
      <c r="N115" s="2"/>
      <c r="O115" s="2"/>
      <c r="Q115" s="2"/>
      <c r="R115" s="2"/>
      <c r="S115" s="2"/>
      <c r="T115" s="2"/>
      <c r="U115" s="2"/>
      <c r="V115" s="2"/>
      <c r="W115" s="2"/>
      <c r="X115" s="2"/>
      <c r="Y115" s="2"/>
      <c r="Z115" s="2"/>
      <c r="AA115" s="2"/>
      <c r="AB115" s="2"/>
      <c r="AC115" s="2"/>
      <c r="AD115" s="2"/>
      <c r="AE115" s="2"/>
      <c r="AF115" s="2"/>
      <c r="AG115" s="2"/>
    </row>
    <row r="116" spans="1:33" x14ac:dyDescent="0.2">
      <c r="A116" s="2"/>
      <c r="B116" s="2"/>
      <c r="C116" s="2"/>
      <c r="D116" s="2"/>
      <c r="J116" s="2"/>
      <c r="K116" s="2"/>
      <c r="L116" s="2"/>
      <c r="M116" s="2"/>
      <c r="N116" s="2"/>
      <c r="O116" s="2"/>
      <c r="P116" s="2"/>
      <c r="Q116" s="2"/>
      <c r="R116" s="2"/>
      <c r="S116" s="2"/>
      <c r="T116" s="2"/>
      <c r="U116" s="2"/>
      <c r="V116" s="2"/>
      <c r="W116" s="2"/>
      <c r="X116" s="2"/>
      <c r="Y116" s="2"/>
      <c r="Z116" s="2"/>
      <c r="AA116" s="2"/>
      <c r="AB116" s="2"/>
      <c r="AC116" s="2"/>
      <c r="AD116" s="2"/>
      <c r="AE116" s="2"/>
      <c r="AF116" s="2"/>
      <c r="AG116" s="2"/>
    </row>
    <row r="117" spans="1:33" x14ac:dyDescent="0.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row>
    <row r="118" spans="1:33" x14ac:dyDescent="0.2">
      <c r="A118" s="2"/>
      <c r="B118" s="2"/>
      <c r="C118" s="2"/>
      <c r="D118" s="16" t="s">
        <v>592</v>
      </c>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row>
    <row r="119" spans="1:33" x14ac:dyDescent="0.2">
      <c r="A119" s="2"/>
      <c r="B119" s="2"/>
      <c r="C119" s="2"/>
      <c r="D119" s="232" t="s">
        <v>593</v>
      </c>
      <c r="E119" s="232"/>
      <c r="F119" s="232"/>
      <c r="G119" s="232"/>
      <c r="H119" s="232"/>
      <c r="I119" s="232"/>
      <c r="J119" s="232"/>
      <c r="K119" s="232"/>
      <c r="L119" s="232"/>
      <c r="M119" s="232"/>
      <c r="N119" s="232"/>
      <c r="O119" s="232"/>
      <c r="P119" s="232"/>
      <c r="Q119" s="232"/>
      <c r="R119" s="232"/>
      <c r="S119" s="232"/>
      <c r="T119" s="232"/>
      <c r="U119" s="232"/>
      <c r="V119" s="232"/>
      <c r="W119" s="232"/>
      <c r="X119" s="232"/>
      <c r="Y119" s="232"/>
      <c r="Z119" s="232"/>
      <c r="AA119" s="232"/>
      <c r="AB119" s="232"/>
      <c r="AC119" s="232"/>
      <c r="AD119" s="232"/>
      <c r="AE119" s="232"/>
      <c r="AF119" s="232"/>
      <c r="AG119" s="232"/>
    </row>
    <row r="120" spans="1:33" x14ac:dyDescent="0.2">
      <c r="A120" s="2"/>
      <c r="B120" s="2"/>
      <c r="C120" s="2"/>
      <c r="D120" s="232"/>
      <c r="E120" s="232"/>
      <c r="F120" s="232"/>
      <c r="G120" s="232"/>
      <c r="H120" s="232"/>
      <c r="I120" s="232"/>
      <c r="J120" s="232"/>
      <c r="K120" s="232"/>
      <c r="L120" s="232"/>
      <c r="M120" s="232"/>
      <c r="N120" s="232"/>
      <c r="O120" s="232"/>
      <c r="P120" s="232"/>
      <c r="Q120" s="232"/>
      <c r="R120" s="232"/>
      <c r="S120" s="232"/>
      <c r="T120" s="232"/>
      <c r="U120" s="232"/>
      <c r="V120" s="232"/>
      <c r="W120" s="232"/>
      <c r="X120" s="232"/>
      <c r="Y120" s="232"/>
      <c r="Z120" s="232"/>
      <c r="AA120" s="232"/>
      <c r="AB120" s="232"/>
      <c r="AC120" s="232"/>
      <c r="AD120" s="232"/>
      <c r="AE120" s="232"/>
      <c r="AF120" s="232"/>
      <c r="AG120" s="232"/>
    </row>
    <row r="121" spans="1:33" x14ac:dyDescent="0.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row>
    <row r="122" spans="1:33" x14ac:dyDescent="0.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row>
    <row r="123" spans="1:33" x14ac:dyDescent="0.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row>
    <row r="124" spans="1:33" x14ac:dyDescent="0.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row>
    <row r="125" spans="1:33" x14ac:dyDescent="0.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row>
    <row r="126" spans="1:33" x14ac:dyDescent="0.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row>
    <row r="127" spans="1:33" x14ac:dyDescent="0.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row>
    <row r="128" spans="1:33" ht="15.75" x14ac:dyDescent="0.2">
      <c r="A128" s="2"/>
      <c r="B128" s="2"/>
      <c r="C128" s="2"/>
      <c r="D128" s="2"/>
      <c r="E128" s="58" t="s">
        <v>580</v>
      </c>
      <c r="F128" s="12" t="s">
        <v>332</v>
      </c>
      <c r="G128" s="57" t="s">
        <v>594</v>
      </c>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row>
    <row r="129" spans="1:33" ht="15.75" x14ac:dyDescent="0.3">
      <c r="A129" s="2"/>
      <c r="B129" s="2"/>
      <c r="C129" s="2"/>
      <c r="D129" s="2"/>
      <c r="E129" s="2"/>
      <c r="F129" s="13" t="s">
        <v>332</v>
      </c>
      <c r="G129" s="284">
        <f>0.0038*G36*G37</f>
        <v>6156</v>
      </c>
      <c r="H129" s="284"/>
      <c r="I129" s="284"/>
      <c r="J129" s="27" t="s">
        <v>555</v>
      </c>
      <c r="K129" s="2"/>
      <c r="L129" s="2" t="s">
        <v>591</v>
      </c>
      <c r="M129" s="2"/>
      <c r="N129" s="2"/>
      <c r="O129" s="2"/>
      <c r="P129" s="2"/>
      <c r="Q129" s="2"/>
      <c r="R129" s="2"/>
      <c r="S129" s="2"/>
      <c r="T129" s="2"/>
      <c r="U129" s="2"/>
      <c r="V129" s="2"/>
      <c r="W129" s="2"/>
      <c r="X129" s="2"/>
      <c r="Y129" s="2"/>
      <c r="Z129" s="2"/>
      <c r="AA129" s="2"/>
      <c r="AB129" s="2"/>
      <c r="AC129" s="2"/>
      <c r="AD129" s="2"/>
      <c r="AE129" s="2"/>
      <c r="AF129" s="2"/>
      <c r="AG129" s="2"/>
    </row>
    <row r="130" spans="1:33" x14ac:dyDescent="0.2">
      <c r="A130" s="2"/>
      <c r="B130" s="2"/>
      <c r="C130" s="2"/>
      <c r="D130" s="2"/>
      <c r="J130" s="2"/>
      <c r="K130" s="2"/>
      <c r="L130" s="2"/>
      <c r="M130" s="2"/>
      <c r="N130" s="2"/>
      <c r="O130" s="2"/>
      <c r="P130" s="2"/>
      <c r="Q130" s="2"/>
      <c r="R130" s="2"/>
      <c r="S130" s="2"/>
      <c r="T130" s="2"/>
      <c r="U130" s="2"/>
      <c r="V130" s="2"/>
      <c r="W130" s="2"/>
      <c r="X130" s="2"/>
      <c r="Y130" s="2"/>
      <c r="Z130" s="2"/>
      <c r="AA130" s="2"/>
      <c r="AB130" s="2"/>
      <c r="AC130" s="2"/>
      <c r="AD130" s="2"/>
      <c r="AE130" s="2"/>
      <c r="AF130" s="2"/>
      <c r="AG130" s="2"/>
    </row>
    <row r="131" spans="1:33" x14ac:dyDescent="0.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row>
    <row r="132" spans="1:33" x14ac:dyDescent="0.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row>
    <row r="133" spans="1:33" x14ac:dyDescent="0.2">
      <c r="A133" s="2"/>
      <c r="B133" s="2"/>
      <c r="C133" s="2"/>
      <c r="D133" s="16" t="s">
        <v>595</v>
      </c>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row>
    <row r="134" spans="1:33" x14ac:dyDescent="0.2">
      <c r="A134" s="2"/>
      <c r="B134" s="2"/>
      <c r="C134" s="2"/>
      <c r="D134" s="2" t="s">
        <v>596</v>
      </c>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row>
    <row r="135" spans="1:33" x14ac:dyDescent="0.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row>
    <row r="136" spans="1:33" ht="15.75" x14ac:dyDescent="0.2">
      <c r="A136" s="2"/>
      <c r="B136" s="2"/>
      <c r="C136" s="2"/>
      <c r="D136" s="2"/>
      <c r="E136" s="25" t="s">
        <v>560</v>
      </c>
      <c r="F136" s="12" t="s">
        <v>597</v>
      </c>
      <c r="G136" s="57" t="s">
        <v>598</v>
      </c>
      <c r="H136" s="57"/>
      <c r="I136" s="3"/>
      <c r="J136" s="3"/>
      <c r="K136" s="57"/>
      <c r="L136" s="57"/>
      <c r="M136" s="57"/>
      <c r="N136" s="57" t="s">
        <v>608</v>
      </c>
      <c r="O136" s="57"/>
      <c r="P136" s="57"/>
      <c r="Q136" s="57"/>
      <c r="R136" s="57"/>
      <c r="T136" s="57"/>
      <c r="U136" s="2"/>
      <c r="V136" s="2"/>
      <c r="W136" s="2"/>
      <c r="X136" s="2"/>
      <c r="Y136" s="2"/>
      <c r="Z136" s="2"/>
      <c r="AA136" s="2"/>
      <c r="AB136" s="2"/>
      <c r="AC136" s="2"/>
      <c r="AD136" s="2"/>
      <c r="AE136" s="2"/>
      <c r="AF136" s="2"/>
      <c r="AG136" s="2"/>
    </row>
    <row r="137" spans="1:33" x14ac:dyDescent="0.2">
      <c r="A137" s="2"/>
      <c r="B137" s="2"/>
      <c r="C137" s="2"/>
      <c r="D137" s="2"/>
      <c r="E137" s="25"/>
      <c r="F137" s="12"/>
      <c r="G137" s="57"/>
      <c r="H137" s="57"/>
      <c r="I137" s="3"/>
      <c r="J137" s="3"/>
      <c r="K137" s="57"/>
      <c r="L137" s="57"/>
      <c r="M137" s="57"/>
      <c r="N137" s="57"/>
      <c r="O137" s="57"/>
      <c r="P137" s="57"/>
      <c r="Q137" s="57"/>
      <c r="R137" s="57"/>
      <c r="T137" s="57"/>
      <c r="U137" s="2"/>
      <c r="V137" s="2"/>
      <c r="W137" s="2"/>
      <c r="X137" s="2"/>
      <c r="Y137" s="2"/>
      <c r="Z137" s="2"/>
      <c r="AA137" s="2"/>
      <c r="AB137" s="2"/>
      <c r="AC137" s="2"/>
      <c r="AD137" s="2"/>
      <c r="AE137" s="2"/>
      <c r="AF137" s="2"/>
      <c r="AG137" s="2"/>
    </row>
    <row r="138" spans="1:33" x14ac:dyDescent="0.2">
      <c r="A138" s="2"/>
      <c r="B138" s="2"/>
      <c r="C138" s="2"/>
      <c r="D138" s="2"/>
      <c r="E138" s="60" t="s">
        <v>619</v>
      </c>
      <c r="F138" s="12"/>
      <c r="G138" s="57"/>
      <c r="H138" s="57"/>
      <c r="I138" s="3"/>
      <c r="J138" s="3"/>
      <c r="K138" s="57"/>
      <c r="L138" s="57"/>
      <c r="M138" s="57"/>
      <c r="N138" s="57"/>
      <c r="O138" s="57"/>
      <c r="P138" s="57"/>
      <c r="Q138" s="57"/>
      <c r="R138" s="57"/>
      <c r="T138" s="57"/>
      <c r="U138" s="2"/>
      <c r="V138" s="2"/>
      <c r="W138" s="2"/>
      <c r="X138" s="2"/>
      <c r="Y138" s="2"/>
      <c r="Z138" s="2"/>
      <c r="AA138" s="2"/>
      <c r="AB138" s="2"/>
      <c r="AC138" s="2"/>
      <c r="AD138" s="2"/>
      <c r="AE138" s="2"/>
      <c r="AF138" s="2"/>
      <c r="AG138" s="2"/>
    </row>
    <row r="139" spans="1:33" ht="15.75" x14ac:dyDescent="0.2">
      <c r="A139" s="2"/>
      <c r="B139" s="2"/>
      <c r="C139" s="2"/>
      <c r="D139" s="2"/>
      <c r="E139" s="59"/>
      <c r="F139" s="25" t="s">
        <v>599</v>
      </c>
      <c r="G139" s="12" t="s">
        <v>332</v>
      </c>
      <c r="H139" s="57" t="s">
        <v>600</v>
      </c>
      <c r="I139" s="57"/>
      <c r="J139" s="57"/>
      <c r="K139" s="57"/>
      <c r="L139" s="57"/>
      <c r="M139" s="57"/>
      <c r="N139" s="57"/>
      <c r="O139" s="57" t="s">
        <v>607</v>
      </c>
      <c r="P139" s="57"/>
      <c r="Q139" s="57"/>
      <c r="R139" s="57"/>
      <c r="T139" s="57"/>
      <c r="U139" s="2"/>
      <c r="V139" s="2"/>
      <c r="W139" s="2"/>
      <c r="X139" s="2"/>
      <c r="Y139" s="2"/>
      <c r="Z139" s="2"/>
      <c r="AA139" s="2"/>
      <c r="AB139" s="2"/>
      <c r="AC139" s="2"/>
      <c r="AD139" s="2"/>
      <c r="AE139" s="2"/>
      <c r="AF139" s="2"/>
      <c r="AG139" s="2"/>
    </row>
    <row r="140" spans="1:33" ht="15.75" x14ac:dyDescent="0.2">
      <c r="A140" s="2"/>
      <c r="B140" s="2"/>
      <c r="C140" s="2"/>
      <c r="D140" s="2"/>
      <c r="E140" s="59"/>
      <c r="F140" s="25" t="s">
        <v>601</v>
      </c>
      <c r="G140" s="12" t="s">
        <v>332</v>
      </c>
      <c r="H140" s="57" t="s">
        <v>602</v>
      </c>
      <c r="I140" s="57"/>
      <c r="J140" s="57"/>
      <c r="K140" s="57"/>
      <c r="L140" s="57"/>
      <c r="M140" s="57"/>
      <c r="N140" s="57"/>
      <c r="O140" s="57" t="s">
        <v>609</v>
      </c>
      <c r="P140" s="57"/>
      <c r="Q140" s="57"/>
      <c r="R140" s="57"/>
      <c r="T140" s="57"/>
      <c r="U140" s="2"/>
      <c r="V140" s="2"/>
      <c r="W140" s="2"/>
      <c r="X140" s="2"/>
      <c r="Y140" s="2"/>
      <c r="Z140" s="2"/>
      <c r="AA140" s="2"/>
      <c r="AB140" s="2"/>
      <c r="AC140" s="2"/>
      <c r="AD140" s="2"/>
      <c r="AE140" s="2"/>
      <c r="AF140" s="2"/>
      <c r="AG140" s="2"/>
    </row>
    <row r="141" spans="1:33" x14ac:dyDescent="0.2">
      <c r="A141" s="2"/>
      <c r="B141" s="2"/>
      <c r="C141" s="2"/>
      <c r="D141" s="2"/>
      <c r="E141" s="59"/>
      <c r="F141" s="57"/>
      <c r="G141" s="12" t="s">
        <v>332</v>
      </c>
      <c r="H141" s="298">
        <f>0.6*H72*SQRT(H69)</f>
        <v>3.2863353450309964</v>
      </c>
      <c r="I141" s="298"/>
      <c r="J141" s="298"/>
      <c r="K141" s="57" t="s">
        <v>557</v>
      </c>
      <c r="L141" s="12"/>
      <c r="O141" s="57"/>
      <c r="P141" s="57"/>
      <c r="Q141" s="57"/>
      <c r="R141" s="57"/>
      <c r="T141" s="57"/>
      <c r="U141" s="2"/>
      <c r="V141" s="2"/>
      <c r="W141" s="2"/>
      <c r="X141" s="2"/>
      <c r="Y141" s="2"/>
      <c r="Z141" s="2"/>
      <c r="AA141" s="2"/>
      <c r="AB141" s="2"/>
      <c r="AC141" s="2"/>
      <c r="AD141" s="2"/>
      <c r="AE141" s="2"/>
      <c r="AF141" s="2"/>
      <c r="AG141" s="2"/>
    </row>
    <row r="142" spans="1:33" ht="15.75" x14ac:dyDescent="0.2">
      <c r="A142" s="2"/>
      <c r="B142" s="2"/>
      <c r="C142" s="2"/>
      <c r="D142" s="2"/>
      <c r="E142" s="59"/>
      <c r="F142" s="25" t="s">
        <v>603</v>
      </c>
      <c r="G142" s="12" t="s">
        <v>332</v>
      </c>
      <c r="H142" s="370">
        <f>1/12*G36*G37^3</f>
        <v>109350000000</v>
      </c>
      <c r="I142" s="370"/>
      <c r="J142" s="370"/>
      <c r="K142" s="57" t="s">
        <v>556</v>
      </c>
      <c r="L142" s="12"/>
      <c r="O142" s="57" t="s">
        <v>604</v>
      </c>
      <c r="P142" s="57"/>
      <c r="Q142" s="57"/>
      <c r="R142" s="57"/>
      <c r="T142" s="57"/>
      <c r="U142" s="2"/>
      <c r="V142" s="2"/>
      <c r="W142" s="2"/>
      <c r="X142" s="2"/>
      <c r="Y142" s="2"/>
      <c r="Z142" s="2"/>
      <c r="AA142" s="2"/>
      <c r="AB142" s="2"/>
      <c r="AC142" s="2"/>
      <c r="AD142" s="2"/>
      <c r="AE142" s="2"/>
      <c r="AF142" s="2"/>
      <c r="AG142" s="2"/>
    </row>
    <row r="143" spans="1:33" ht="15.75" x14ac:dyDescent="0.2">
      <c r="A143" s="2"/>
      <c r="B143" s="2"/>
      <c r="C143" s="2"/>
      <c r="D143" s="2"/>
      <c r="E143" s="25"/>
      <c r="F143" s="25" t="s">
        <v>605</v>
      </c>
      <c r="G143" s="12" t="s">
        <v>332</v>
      </c>
      <c r="H143" s="363">
        <f>G37/2</f>
        <v>450</v>
      </c>
      <c r="I143" s="363"/>
      <c r="J143" s="363"/>
      <c r="K143" s="57" t="s">
        <v>337</v>
      </c>
      <c r="L143" s="12"/>
      <c r="O143" s="57" t="s">
        <v>606</v>
      </c>
      <c r="P143" s="57"/>
      <c r="Q143" s="57"/>
      <c r="R143" s="57"/>
      <c r="T143" s="57"/>
      <c r="U143" s="2"/>
      <c r="V143" s="2"/>
      <c r="W143" s="2"/>
      <c r="X143" s="2"/>
      <c r="Y143" s="2"/>
      <c r="Z143" s="2"/>
      <c r="AA143" s="2"/>
      <c r="AB143" s="2"/>
      <c r="AC143" s="2"/>
      <c r="AD143" s="2"/>
      <c r="AE143" s="2"/>
      <c r="AF143" s="2"/>
      <c r="AG143" s="2"/>
    </row>
    <row r="144" spans="1:33" x14ac:dyDescent="0.2">
      <c r="A144" s="2"/>
      <c r="B144" s="2"/>
      <c r="C144" s="2"/>
      <c r="D144" s="2"/>
      <c r="E144" s="25"/>
      <c r="F144" s="12"/>
      <c r="G144" s="57"/>
      <c r="H144" s="57"/>
      <c r="I144" s="3"/>
      <c r="J144" s="3"/>
      <c r="K144" s="57"/>
      <c r="L144" s="57"/>
      <c r="M144" s="57"/>
      <c r="N144" s="57"/>
      <c r="O144" s="57"/>
      <c r="P144" s="57"/>
      <c r="Q144" s="57"/>
      <c r="R144" s="57"/>
      <c r="T144" s="57"/>
      <c r="U144" s="2"/>
      <c r="V144" s="2"/>
      <c r="W144" s="2"/>
      <c r="X144" s="2"/>
      <c r="Y144" s="2"/>
      <c r="Z144" s="2"/>
      <c r="AA144" s="2"/>
      <c r="AB144" s="2"/>
      <c r="AC144" s="2"/>
      <c r="AD144" s="2"/>
      <c r="AE144" s="2"/>
      <c r="AF144" s="2"/>
      <c r="AG144" s="2"/>
    </row>
    <row r="145" spans="1:34" ht="15.75" x14ac:dyDescent="0.2">
      <c r="A145" s="2"/>
      <c r="B145" s="2"/>
      <c r="C145" s="2"/>
      <c r="D145" s="2"/>
      <c r="E145" s="25"/>
      <c r="F145" s="25" t="s">
        <v>599</v>
      </c>
      <c r="G145" s="12" t="s">
        <v>332</v>
      </c>
      <c r="H145" s="290">
        <f>H141*H142/H143/1000/1000</f>
        <v>798.5794888425321</v>
      </c>
      <c r="I145" s="290"/>
      <c r="J145" s="290"/>
      <c r="K145" s="57" t="s">
        <v>524</v>
      </c>
      <c r="L145" s="57"/>
      <c r="M145" s="57"/>
      <c r="N145" s="57"/>
      <c r="O145" s="57"/>
      <c r="P145" s="57"/>
      <c r="Q145" s="57"/>
      <c r="R145" s="57"/>
      <c r="T145" s="57"/>
      <c r="U145" s="2"/>
      <c r="V145" s="2"/>
      <c r="W145" s="2"/>
      <c r="X145" s="2"/>
      <c r="Y145" s="2"/>
      <c r="Z145" s="2"/>
      <c r="AA145" s="2"/>
      <c r="AB145" s="2"/>
      <c r="AC145" s="2"/>
      <c r="AD145" s="2"/>
      <c r="AE145" s="2"/>
      <c r="AF145" s="2"/>
      <c r="AG145" s="2"/>
    </row>
    <row r="146" spans="1:34" ht="15.75" x14ac:dyDescent="0.2">
      <c r="A146" s="2"/>
      <c r="B146" s="2"/>
      <c r="C146" s="2"/>
      <c r="D146" s="2"/>
      <c r="E146" s="25"/>
      <c r="F146" s="25" t="s">
        <v>598</v>
      </c>
      <c r="G146" s="12" t="s">
        <v>332</v>
      </c>
      <c r="H146" s="290">
        <f>1.2*H145</f>
        <v>958.29538661103845</v>
      </c>
      <c r="I146" s="290"/>
      <c r="J146" s="290"/>
      <c r="K146" s="57" t="s">
        <v>524</v>
      </c>
      <c r="L146" s="57"/>
      <c r="M146" s="57"/>
      <c r="N146" s="57"/>
      <c r="O146" s="57"/>
      <c r="P146" s="57"/>
      <c r="Q146" s="57"/>
      <c r="R146" s="57"/>
      <c r="T146" s="57"/>
      <c r="U146" s="2"/>
      <c r="V146" s="2"/>
      <c r="W146" s="2"/>
      <c r="X146" s="2"/>
      <c r="Y146" s="2"/>
      <c r="Z146" s="2"/>
      <c r="AA146" s="2"/>
      <c r="AB146" s="2"/>
      <c r="AC146" s="2"/>
      <c r="AD146" s="2"/>
      <c r="AE146" s="2"/>
      <c r="AF146" s="2"/>
      <c r="AG146" s="2"/>
    </row>
    <row r="147" spans="1:34" x14ac:dyDescent="0.2">
      <c r="A147" s="2"/>
      <c r="B147" s="2"/>
      <c r="C147" s="2"/>
      <c r="D147" s="2"/>
      <c r="E147" s="25"/>
      <c r="F147" s="12"/>
      <c r="G147" s="57"/>
      <c r="H147" s="57"/>
      <c r="I147" s="3"/>
      <c r="J147" s="3"/>
      <c r="K147" s="57"/>
      <c r="L147" s="57"/>
      <c r="M147" s="57"/>
      <c r="N147" s="57"/>
      <c r="O147" s="57"/>
      <c r="P147" s="57"/>
      <c r="Q147" s="57"/>
      <c r="R147" s="57"/>
      <c r="T147" s="57"/>
      <c r="U147" s="2"/>
      <c r="V147" s="2"/>
      <c r="W147" s="2"/>
      <c r="X147" s="2"/>
      <c r="Y147" s="2"/>
      <c r="Z147" s="2"/>
      <c r="AA147" s="2"/>
      <c r="AB147" s="2"/>
      <c r="AC147" s="2"/>
      <c r="AD147" s="2"/>
      <c r="AE147" s="2"/>
      <c r="AF147" s="2"/>
      <c r="AG147" s="2"/>
    </row>
    <row r="148" spans="1:34" x14ac:dyDescent="0.2">
      <c r="A148" s="2"/>
      <c r="B148" s="2"/>
      <c r="C148" s="2"/>
      <c r="D148" s="2"/>
      <c r="E148" s="25"/>
      <c r="F148" s="12"/>
      <c r="G148" s="57"/>
      <c r="H148" s="57"/>
      <c r="I148" s="3"/>
      <c r="J148" s="3"/>
      <c r="K148" s="57"/>
      <c r="L148" s="57"/>
      <c r="M148" s="57"/>
      <c r="N148" s="57"/>
      <c r="O148" s="57"/>
      <c r="P148" s="57"/>
      <c r="Q148" s="57"/>
      <c r="R148" s="57"/>
      <c r="T148" s="57"/>
      <c r="U148" s="2"/>
      <c r="V148" s="2"/>
      <c r="W148" s="2"/>
      <c r="X148" s="2"/>
      <c r="Y148" s="2"/>
      <c r="Z148" s="2"/>
      <c r="AA148" s="2"/>
      <c r="AB148" s="2"/>
      <c r="AC148" s="2"/>
      <c r="AD148" s="2"/>
      <c r="AE148" s="2"/>
      <c r="AF148" s="2"/>
      <c r="AG148" s="2"/>
    </row>
    <row r="149" spans="1:34" x14ac:dyDescent="0.2">
      <c r="A149" s="2"/>
      <c r="B149" s="2"/>
      <c r="C149" s="2"/>
      <c r="D149" s="2"/>
      <c r="E149" s="60" t="s">
        <v>620</v>
      </c>
      <c r="O149" s="57"/>
      <c r="P149" s="57"/>
      <c r="Q149" s="57"/>
      <c r="R149" s="57"/>
      <c r="T149" s="57"/>
      <c r="U149" s="2"/>
      <c r="V149" s="2"/>
      <c r="W149" s="2"/>
      <c r="X149" s="2"/>
      <c r="Y149" s="2"/>
      <c r="Z149" s="2"/>
      <c r="AA149" s="2"/>
      <c r="AB149" s="2"/>
      <c r="AC149" s="2"/>
      <c r="AD149" s="2"/>
      <c r="AE149" s="2"/>
      <c r="AF149" s="2"/>
      <c r="AG149" s="2"/>
    </row>
    <row r="150" spans="1:34" x14ac:dyDescent="0.2">
      <c r="A150" s="2"/>
      <c r="B150" s="2"/>
      <c r="C150" s="2"/>
      <c r="D150" s="2"/>
      <c r="O150" s="57"/>
      <c r="P150" s="57"/>
      <c r="Q150" s="57"/>
      <c r="R150" s="57"/>
      <c r="T150" s="57"/>
      <c r="U150" s="2"/>
      <c r="V150" s="2"/>
      <c r="W150" s="2"/>
      <c r="X150" s="2"/>
      <c r="Y150" s="2"/>
      <c r="Z150" s="2"/>
      <c r="AA150" s="2"/>
      <c r="AB150" s="2"/>
      <c r="AC150" s="2"/>
      <c r="AD150" s="2"/>
      <c r="AE150" s="2"/>
      <c r="AF150" s="2"/>
      <c r="AG150" s="2"/>
    </row>
    <row r="151" spans="1:34" x14ac:dyDescent="0.2">
      <c r="A151" s="2"/>
      <c r="B151" s="2"/>
      <c r="C151" s="2"/>
      <c r="D151" s="2"/>
      <c r="P151" s="57"/>
      <c r="Q151" s="57"/>
      <c r="R151" s="57"/>
      <c r="T151" s="57"/>
      <c r="U151" s="2"/>
      <c r="V151" s="2"/>
      <c r="W151" s="2"/>
      <c r="X151" s="2"/>
      <c r="Y151" s="2"/>
      <c r="Z151" s="2"/>
      <c r="AA151" s="2"/>
      <c r="AB151" s="2"/>
      <c r="AC151" s="2"/>
      <c r="AD151" s="2"/>
      <c r="AE151" s="2"/>
      <c r="AF151" s="2"/>
      <c r="AG151" s="2"/>
    </row>
    <row r="152" spans="1:34" x14ac:dyDescent="0.2">
      <c r="A152" s="2"/>
      <c r="B152" s="2"/>
      <c r="C152" s="2"/>
      <c r="D152" s="2"/>
      <c r="P152" s="57"/>
      <c r="Q152" s="57"/>
      <c r="R152" s="57"/>
      <c r="T152" s="57"/>
      <c r="U152" s="2"/>
      <c r="V152" s="2"/>
      <c r="W152" s="2"/>
      <c r="X152" s="2"/>
      <c r="Y152" s="2"/>
      <c r="Z152" s="2"/>
      <c r="AA152" s="2"/>
      <c r="AB152" s="2"/>
      <c r="AC152" s="2"/>
      <c r="AD152" s="2"/>
      <c r="AE152" s="2"/>
      <c r="AF152" s="2"/>
      <c r="AG152" s="2"/>
    </row>
    <row r="153" spans="1:34" x14ac:dyDescent="0.2">
      <c r="A153" s="2"/>
      <c r="B153" s="2"/>
      <c r="C153" s="2"/>
      <c r="D153" s="2"/>
      <c r="P153" s="57"/>
      <c r="Q153" s="57"/>
      <c r="R153" s="57"/>
      <c r="T153" s="57"/>
      <c r="U153" s="2"/>
      <c r="V153" s="2"/>
      <c r="W153" s="2"/>
      <c r="X153" s="2"/>
      <c r="Y153" s="2"/>
      <c r="Z153" s="2"/>
      <c r="AA153" s="2"/>
      <c r="AB153" s="2"/>
      <c r="AC153" s="2"/>
      <c r="AD153" s="2"/>
      <c r="AE153" s="2"/>
      <c r="AF153" s="2"/>
      <c r="AG153" s="2"/>
    </row>
    <row r="154" spans="1:34" ht="15.75" x14ac:dyDescent="0.2">
      <c r="A154" s="2"/>
      <c r="B154" s="2"/>
      <c r="C154" s="2"/>
      <c r="D154" s="2"/>
      <c r="E154" s="57"/>
      <c r="F154" s="25" t="s">
        <v>560</v>
      </c>
      <c r="G154" s="12" t="s">
        <v>332</v>
      </c>
      <c r="H154" s="290">
        <f>G60*H75*H76*(G44-G60*H75*H76/(2*H70*H68*H69*G36))/1000/1000</f>
        <v>823.42880626780618</v>
      </c>
      <c r="I154" s="290"/>
      <c r="J154" s="290"/>
      <c r="K154" s="57" t="s">
        <v>524</v>
      </c>
      <c r="L154" s="57"/>
      <c r="M154" s="57" t="s">
        <v>621</v>
      </c>
      <c r="N154" s="57"/>
      <c r="O154" s="57"/>
      <c r="P154" s="57"/>
      <c r="Q154" s="57"/>
      <c r="R154" s="57"/>
      <c r="S154" s="57"/>
      <c r="T154" s="57"/>
      <c r="U154" s="2" t="s">
        <v>624</v>
      </c>
      <c r="V154" s="2"/>
      <c r="W154" s="2"/>
      <c r="X154" s="2"/>
      <c r="Y154" s="2"/>
      <c r="Z154" s="2"/>
      <c r="AA154" s="2"/>
      <c r="AB154" s="2"/>
      <c r="AC154" s="2"/>
      <c r="AD154" s="2"/>
      <c r="AE154" s="2"/>
      <c r="AF154" s="2"/>
      <c r="AG154" s="2"/>
      <c r="AH154" s="31">
        <f>H154/H145</f>
        <v>1.0311168991596451</v>
      </c>
    </row>
    <row r="155" spans="1:34" x14ac:dyDescent="0.2">
      <c r="A155" s="2"/>
      <c r="B155" s="2"/>
      <c r="C155" s="2"/>
      <c r="D155" s="2"/>
      <c r="E155" s="57"/>
      <c r="F155" s="57"/>
      <c r="G155" s="57"/>
      <c r="H155" s="57"/>
      <c r="I155" s="57"/>
      <c r="J155" s="57"/>
      <c r="K155" s="57"/>
      <c r="L155" s="57"/>
      <c r="M155" s="57"/>
      <c r="N155" s="57"/>
      <c r="O155" s="57"/>
      <c r="P155" s="57"/>
      <c r="Q155" s="57"/>
      <c r="R155" s="57"/>
      <c r="S155" s="57"/>
      <c r="T155" s="57"/>
      <c r="U155" s="2"/>
      <c r="V155" s="2"/>
      <c r="W155" s="2"/>
      <c r="X155" s="2"/>
      <c r="Y155" s="2"/>
      <c r="Z155" s="2"/>
      <c r="AA155" s="2"/>
      <c r="AB155" s="2"/>
      <c r="AC155" s="2"/>
      <c r="AD155" s="2"/>
      <c r="AE155" s="2"/>
      <c r="AF155" s="2"/>
      <c r="AG155" s="2"/>
    </row>
    <row r="156" spans="1:34" ht="15.75" x14ac:dyDescent="0.3">
      <c r="A156" s="2"/>
      <c r="B156" s="2"/>
      <c r="C156" s="2"/>
      <c r="D156" s="2" t="s">
        <v>622</v>
      </c>
      <c r="E156" s="57"/>
      <c r="F156" s="57"/>
      <c r="G156" s="57"/>
      <c r="H156" s="57"/>
      <c r="I156" s="57"/>
      <c r="J156" s="57"/>
      <c r="K156" s="57"/>
      <c r="L156" s="57"/>
      <c r="M156" s="57"/>
      <c r="N156" s="57"/>
      <c r="O156" s="57"/>
      <c r="P156" s="57"/>
      <c r="Q156" s="57"/>
      <c r="R156" s="57"/>
      <c r="S156" s="57"/>
      <c r="T156" s="57"/>
      <c r="U156" s="2"/>
      <c r="V156" s="2"/>
      <c r="W156" s="2"/>
      <c r="X156" s="2"/>
      <c r="Y156" s="2"/>
      <c r="Z156" s="2"/>
      <c r="AA156" s="2"/>
      <c r="AB156" s="2"/>
      <c r="AC156" s="2"/>
      <c r="AD156" s="2"/>
      <c r="AE156" s="2"/>
      <c r="AF156" s="2"/>
      <c r="AG156" s="2"/>
    </row>
    <row r="157" spans="1:34" ht="15.75" x14ac:dyDescent="0.3">
      <c r="A157" s="2"/>
      <c r="B157" s="2"/>
      <c r="C157" s="2"/>
      <c r="D157" s="2" t="s">
        <v>623</v>
      </c>
      <c r="E157" s="57"/>
      <c r="F157" s="57"/>
      <c r="G157" s="57"/>
      <c r="H157" s="57"/>
      <c r="I157" s="57"/>
      <c r="J157" s="57"/>
      <c r="K157" s="57"/>
      <c r="L157" s="57"/>
      <c r="M157" s="57"/>
      <c r="N157" s="57"/>
      <c r="O157" s="57"/>
      <c r="P157" s="57"/>
      <c r="Q157" s="57"/>
      <c r="R157" s="57"/>
      <c r="S157" s="57"/>
      <c r="T157" s="57"/>
      <c r="U157" s="2"/>
      <c r="V157" s="2"/>
      <c r="W157" s="2"/>
      <c r="X157" s="2"/>
      <c r="Y157" s="2"/>
      <c r="Z157" s="2"/>
      <c r="AA157" s="2"/>
      <c r="AB157" s="2"/>
      <c r="AC157" s="2"/>
      <c r="AD157" s="2"/>
      <c r="AE157" s="2"/>
      <c r="AF157" s="2"/>
      <c r="AG157" s="2"/>
    </row>
    <row r="158" spans="1:34" x14ac:dyDescent="0.2">
      <c r="A158" s="2"/>
      <c r="B158" s="2"/>
      <c r="C158" s="2"/>
      <c r="D158" s="2"/>
      <c r="K158" s="57"/>
      <c r="L158" s="12"/>
      <c r="R158" s="57"/>
      <c r="S158" s="57"/>
      <c r="T158" s="57"/>
      <c r="U158" s="2"/>
      <c r="V158" s="2"/>
      <c r="W158" s="2"/>
      <c r="X158" s="2"/>
      <c r="Y158" s="2"/>
      <c r="Z158" s="2"/>
      <c r="AA158" s="2"/>
      <c r="AB158" s="2"/>
      <c r="AC158" s="2"/>
      <c r="AD158" s="2"/>
      <c r="AE158" s="2"/>
      <c r="AF158" s="2"/>
      <c r="AG158" s="2"/>
    </row>
    <row r="159" spans="1:34" x14ac:dyDescent="0.2">
      <c r="A159" s="2"/>
      <c r="B159" s="2"/>
      <c r="C159" s="2"/>
      <c r="D159" s="2"/>
      <c r="E159" s="25"/>
      <c r="F159" s="12"/>
      <c r="G159" s="47"/>
      <c r="H159" s="47"/>
      <c r="I159" s="47"/>
      <c r="J159" s="3"/>
      <c r="K159" s="3"/>
      <c r="L159" s="12"/>
      <c r="M159" s="47"/>
      <c r="N159" s="47"/>
      <c r="O159" s="47"/>
      <c r="P159" s="57"/>
      <c r="Q159" s="57"/>
      <c r="R159" s="57"/>
      <c r="S159" s="57"/>
      <c r="T159" s="57"/>
      <c r="U159" s="2"/>
      <c r="V159" s="2"/>
      <c r="W159" s="2"/>
      <c r="X159" s="2"/>
      <c r="Y159" s="2"/>
      <c r="Z159" s="2"/>
      <c r="AA159" s="2"/>
      <c r="AB159" s="2"/>
      <c r="AC159" s="2"/>
      <c r="AD159" s="2"/>
      <c r="AE159" s="2"/>
      <c r="AF159" s="2"/>
      <c r="AG159" s="2"/>
    </row>
    <row r="160" spans="1:34" x14ac:dyDescent="0.2">
      <c r="A160" s="2"/>
      <c r="B160" s="2"/>
      <c r="C160" s="48" t="s">
        <v>1318</v>
      </c>
      <c r="D160" s="2"/>
      <c r="E160" s="25"/>
      <c r="F160" s="12"/>
      <c r="G160" s="47"/>
      <c r="H160" s="47"/>
      <c r="I160" s="47"/>
      <c r="J160" s="3"/>
      <c r="K160" s="3"/>
      <c r="L160" s="12"/>
      <c r="M160" s="47"/>
      <c r="N160" s="47"/>
      <c r="O160" s="47"/>
      <c r="P160" s="57"/>
      <c r="Q160" s="57"/>
      <c r="R160" s="57"/>
      <c r="S160" s="57"/>
      <c r="T160" s="57"/>
      <c r="U160" s="2"/>
      <c r="V160" s="2"/>
      <c r="W160" s="2"/>
      <c r="X160" s="2"/>
      <c r="Y160" s="2"/>
      <c r="Z160" s="2"/>
      <c r="AA160" s="2"/>
      <c r="AB160" s="2"/>
      <c r="AC160" s="2"/>
      <c r="AD160" s="2"/>
      <c r="AE160" s="2"/>
      <c r="AF160" s="2"/>
      <c r="AG160" s="2"/>
    </row>
    <row r="161" spans="1:33" x14ac:dyDescent="0.2">
      <c r="A161" s="2"/>
      <c r="B161" s="2"/>
      <c r="C161" s="2" t="s">
        <v>933</v>
      </c>
      <c r="D161" s="2"/>
      <c r="E161" s="25"/>
      <c r="F161" s="12"/>
      <c r="G161" s="47"/>
      <c r="H161" s="47"/>
      <c r="I161" s="47"/>
      <c r="J161" s="3"/>
      <c r="K161" s="3"/>
      <c r="L161" s="12"/>
      <c r="M161" s="47"/>
      <c r="N161" s="47"/>
      <c r="O161" s="47"/>
      <c r="P161" s="57"/>
      <c r="Q161" s="57"/>
      <c r="R161" s="57"/>
      <c r="S161" s="57"/>
      <c r="T161" s="57"/>
      <c r="U161" s="2"/>
      <c r="V161" s="2"/>
      <c r="W161" s="2"/>
      <c r="X161" s="2"/>
      <c r="Y161" s="2"/>
      <c r="Z161" s="2"/>
      <c r="AA161" s="2"/>
      <c r="AB161" s="2"/>
      <c r="AC161" s="2"/>
      <c r="AD161" s="2"/>
      <c r="AE161" s="2"/>
      <c r="AF161" s="2"/>
      <c r="AG161" s="2"/>
    </row>
    <row r="162" spans="1:33" x14ac:dyDescent="0.2">
      <c r="A162" s="2"/>
      <c r="B162" s="2"/>
      <c r="C162" s="2"/>
      <c r="D162" s="2"/>
      <c r="E162" s="25"/>
      <c r="F162" s="12"/>
      <c r="G162" s="47"/>
      <c r="H162" s="47"/>
      <c r="I162" s="47"/>
      <c r="J162" s="3"/>
      <c r="K162" s="3"/>
      <c r="L162" s="12"/>
      <c r="M162" s="47"/>
      <c r="N162" s="47"/>
      <c r="O162" s="47"/>
      <c r="P162" s="57"/>
      <c r="Q162" s="57"/>
      <c r="R162" s="57"/>
      <c r="S162" s="57"/>
      <c r="T162" s="57"/>
      <c r="U162" s="2"/>
      <c r="V162" s="2"/>
      <c r="W162" s="2"/>
      <c r="X162" s="2"/>
      <c r="Y162" s="2"/>
      <c r="Z162" s="2"/>
      <c r="AA162" s="2"/>
      <c r="AB162" s="2"/>
      <c r="AC162" s="2"/>
      <c r="AD162" s="2"/>
      <c r="AE162" s="2"/>
      <c r="AF162" s="2"/>
      <c r="AG162" s="2"/>
    </row>
    <row r="163" spans="1:33" x14ac:dyDescent="0.2">
      <c r="A163" s="2"/>
      <c r="B163" s="2"/>
      <c r="C163" s="2"/>
      <c r="D163" s="2"/>
      <c r="O163" s="57"/>
      <c r="P163" s="57"/>
      <c r="Q163" s="57"/>
      <c r="R163" s="57"/>
      <c r="T163" s="57"/>
      <c r="U163" s="2"/>
      <c r="V163" s="2"/>
      <c r="W163" s="2"/>
      <c r="X163" s="2"/>
      <c r="Y163" s="2"/>
      <c r="Z163" s="2"/>
      <c r="AA163" s="2"/>
      <c r="AB163" s="2"/>
      <c r="AC163" s="2"/>
      <c r="AD163" s="2"/>
      <c r="AE163" s="2"/>
      <c r="AF163" s="2"/>
      <c r="AG163" s="2"/>
    </row>
    <row r="164" spans="1:33" x14ac:dyDescent="0.2">
      <c r="A164" s="2"/>
      <c r="B164" s="2"/>
      <c r="C164" s="2"/>
      <c r="D164" s="2"/>
      <c r="P164" s="57"/>
      <c r="Q164" s="57"/>
      <c r="R164" s="57"/>
      <c r="T164" s="57"/>
      <c r="U164" s="2"/>
      <c r="V164" s="2"/>
      <c r="W164" s="2"/>
      <c r="X164" s="2"/>
      <c r="Y164" s="2"/>
      <c r="Z164" s="2"/>
      <c r="AA164" s="2"/>
      <c r="AB164" s="2"/>
      <c r="AC164" s="2"/>
      <c r="AD164" s="2"/>
      <c r="AE164" s="2"/>
      <c r="AF164" s="2"/>
      <c r="AG164" s="2"/>
    </row>
    <row r="165" spans="1:33" x14ac:dyDescent="0.2">
      <c r="A165" s="2"/>
      <c r="B165" s="2"/>
      <c r="C165" s="2"/>
      <c r="D165" s="2"/>
      <c r="P165" s="57"/>
      <c r="Q165" s="57"/>
      <c r="R165" s="57"/>
      <c r="T165" s="2"/>
      <c r="U165" s="2"/>
      <c r="V165" s="2"/>
      <c r="W165" s="2"/>
      <c r="X165" s="2"/>
      <c r="Y165" s="2"/>
      <c r="Z165" s="2"/>
      <c r="AA165" s="2"/>
      <c r="AB165" s="2"/>
      <c r="AC165" s="2"/>
      <c r="AD165" s="2"/>
      <c r="AE165" s="2"/>
      <c r="AF165" s="2"/>
      <c r="AG165" s="2"/>
    </row>
    <row r="166" spans="1:33" x14ac:dyDescent="0.2">
      <c r="A166" s="2"/>
      <c r="B166" s="2"/>
      <c r="C166" s="2"/>
      <c r="D166" s="2"/>
      <c r="P166" s="57"/>
      <c r="Q166" s="57"/>
      <c r="R166" s="57"/>
      <c r="T166" s="2"/>
      <c r="U166" s="2"/>
      <c r="V166" s="2"/>
      <c r="W166" s="2"/>
      <c r="X166" s="2"/>
      <c r="Y166" s="2"/>
      <c r="Z166" s="2"/>
      <c r="AA166" s="2"/>
      <c r="AB166" s="2"/>
      <c r="AC166" s="2"/>
      <c r="AD166" s="2"/>
      <c r="AE166" s="2"/>
      <c r="AF166" s="2"/>
      <c r="AG166" s="2"/>
    </row>
    <row r="167" spans="1:33" ht="15.75" x14ac:dyDescent="0.2">
      <c r="A167" s="2"/>
      <c r="B167" s="2"/>
      <c r="C167" s="2"/>
      <c r="D167" s="2"/>
      <c r="E167" s="25" t="s">
        <v>560</v>
      </c>
      <c r="F167" s="12" t="s">
        <v>332</v>
      </c>
      <c r="G167" s="290">
        <f>H154</f>
        <v>823.42880626780618</v>
      </c>
      <c r="H167" s="290"/>
      <c r="I167" s="290"/>
      <c r="J167" s="57" t="s">
        <v>524</v>
      </c>
      <c r="K167" s="57"/>
      <c r="L167" s="57"/>
      <c r="M167" s="57"/>
      <c r="N167" s="2" t="s">
        <v>624</v>
      </c>
      <c r="O167" s="57"/>
      <c r="P167" s="57"/>
      <c r="R167" s="57"/>
      <c r="S167" s="57"/>
      <c r="T167" s="2"/>
      <c r="U167" s="2"/>
      <c r="V167" s="2"/>
      <c r="W167" s="2"/>
      <c r="X167" s="2"/>
      <c r="Y167" s="2"/>
      <c r="Z167" s="2"/>
      <c r="AA167" s="2"/>
      <c r="AB167" s="2"/>
      <c r="AC167" s="2"/>
      <c r="AD167" s="2"/>
      <c r="AE167" s="2"/>
      <c r="AF167" s="2"/>
      <c r="AG167" s="2"/>
    </row>
    <row r="168" spans="1:33" x14ac:dyDescent="0.2">
      <c r="A168" s="2"/>
      <c r="B168" s="2"/>
      <c r="C168" s="2"/>
      <c r="D168" s="2"/>
      <c r="Q168" s="2"/>
      <c r="R168" s="2"/>
      <c r="S168" s="2"/>
      <c r="T168" s="2"/>
      <c r="U168" s="2"/>
      <c r="V168" s="2"/>
      <c r="W168" s="2"/>
      <c r="X168" s="2"/>
      <c r="Y168" s="2"/>
      <c r="Z168" s="2"/>
      <c r="AA168" s="2"/>
      <c r="AB168" s="2"/>
      <c r="AC168" s="2"/>
      <c r="AD168" s="2"/>
      <c r="AE168" s="2"/>
      <c r="AF168" s="2"/>
      <c r="AG168" s="2"/>
    </row>
    <row r="169" spans="1:33" x14ac:dyDescent="0.2">
      <c r="A169" s="2"/>
      <c r="B169" s="2"/>
      <c r="C169" s="2"/>
      <c r="D169" s="2"/>
      <c r="Q169" s="2"/>
      <c r="R169" s="2"/>
      <c r="S169" s="2"/>
      <c r="T169" s="2"/>
      <c r="U169" s="2"/>
      <c r="V169" s="2"/>
      <c r="W169" s="2"/>
      <c r="X169" s="2"/>
      <c r="Y169" s="2"/>
      <c r="Z169" s="2"/>
      <c r="AA169" s="2"/>
      <c r="AB169" s="2"/>
      <c r="AC169" s="2"/>
      <c r="AD169" s="2"/>
      <c r="AE169" s="2"/>
      <c r="AF169" s="2"/>
      <c r="AG169" s="2"/>
    </row>
    <row r="170" spans="1:33" x14ac:dyDescent="0.2">
      <c r="A170" s="2"/>
      <c r="B170" s="2"/>
      <c r="C170" s="2" t="s">
        <v>1027</v>
      </c>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row>
    <row r="171" spans="1:33" x14ac:dyDescent="0.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row>
    <row r="172" spans="1:33" x14ac:dyDescent="0.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row>
    <row r="173" spans="1:33" x14ac:dyDescent="0.2">
      <c r="A173" s="2"/>
      <c r="B173" s="2"/>
      <c r="C173" s="2"/>
      <c r="D173" s="2" t="s">
        <v>923</v>
      </c>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row>
    <row r="174" spans="1:33" x14ac:dyDescent="0.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row>
    <row r="175" spans="1:33" ht="15.75" x14ac:dyDescent="0.3">
      <c r="A175" s="2"/>
      <c r="B175" s="2"/>
      <c r="C175" s="2"/>
      <c r="D175" s="2"/>
      <c r="E175" s="2"/>
      <c r="F175" s="21" t="s">
        <v>924</v>
      </c>
      <c r="G175" s="13" t="s">
        <v>332</v>
      </c>
      <c r="H175" s="231">
        <f>'8. Pile Design'!G675</f>
        <v>218.33148558107294</v>
      </c>
      <c r="I175" s="231"/>
      <c r="J175" s="231"/>
      <c r="K175" s="2" t="s">
        <v>335</v>
      </c>
      <c r="L175" s="2"/>
      <c r="M175" s="2"/>
      <c r="N175" s="2" t="s">
        <v>925</v>
      </c>
      <c r="O175" s="2"/>
      <c r="T175" s="2"/>
      <c r="U175" s="2"/>
      <c r="V175" s="2"/>
      <c r="W175" s="2"/>
      <c r="X175" s="2"/>
      <c r="Y175" s="2"/>
      <c r="Z175" s="2"/>
      <c r="AA175" s="2"/>
      <c r="AB175" s="2"/>
      <c r="AC175" s="2"/>
      <c r="AD175" s="2"/>
      <c r="AE175" s="2"/>
      <c r="AF175" s="2"/>
      <c r="AG175" s="2"/>
    </row>
    <row r="176" spans="1:33" ht="15.75" x14ac:dyDescent="0.2">
      <c r="A176" s="2"/>
      <c r="B176" s="2"/>
      <c r="C176" s="2"/>
      <c r="D176" s="2"/>
      <c r="E176" s="2"/>
      <c r="F176" s="25" t="s">
        <v>425</v>
      </c>
      <c r="G176" s="12" t="s">
        <v>332</v>
      </c>
      <c r="H176" s="290">
        <f>'8. Pile Design'!J321</f>
        <v>114.42384000000001</v>
      </c>
      <c r="I176" s="290"/>
      <c r="J176" s="290"/>
      <c r="K176" s="3" t="s">
        <v>335</v>
      </c>
      <c r="L176" s="2"/>
      <c r="M176" s="2"/>
      <c r="N176" s="3" t="s">
        <v>926</v>
      </c>
      <c r="O176" s="2"/>
      <c r="T176" s="2"/>
      <c r="U176" s="2"/>
      <c r="V176" s="2"/>
      <c r="W176" s="2"/>
      <c r="X176" s="2"/>
      <c r="Y176" s="2"/>
      <c r="Z176" s="2"/>
      <c r="AA176" s="2"/>
      <c r="AB176" s="2"/>
      <c r="AC176" s="2"/>
      <c r="AD176" s="2"/>
      <c r="AE176" s="2"/>
      <c r="AF176" s="2"/>
      <c r="AG176" s="2"/>
    </row>
    <row r="177" spans="1:33" ht="15.75" x14ac:dyDescent="0.3">
      <c r="A177" s="2"/>
      <c r="B177" s="2"/>
      <c r="C177" s="2"/>
      <c r="D177" s="2"/>
      <c r="E177" s="2"/>
      <c r="F177" s="25" t="s">
        <v>888</v>
      </c>
      <c r="G177" s="12" t="s">
        <v>332</v>
      </c>
      <c r="H177" s="290">
        <f>(H175-0.9*H176)/'8. Pile Design'!G70</f>
        <v>28.837507395268233</v>
      </c>
      <c r="I177" s="290"/>
      <c r="J177" s="290"/>
      <c r="K177" s="3" t="s">
        <v>335</v>
      </c>
      <c r="L177" s="2"/>
      <c r="N177" s="2" t="s">
        <v>1309</v>
      </c>
      <c r="O177" s="2"/>
      <c r="T177" s="2"/>
      <c r="U177" s="2"/>
      <c r="V177" s="2"/>
      <c r="W177" s="2"/>
      <c r="X177" s="2"/>
      <c r="Y177" s="2"/>
      <c r="Z177" s="2"/>
      <c r="AA177" s="2"/>
      <c r="AB177" s="2"/>
      <c r="AC177" s="2"/>
      <c r="AD177" s="2"/>
      <c r="AE177" s="2"/>
      <c r="AF177" s="2"/>
      <c r="AG177" s="2"/>
    </row>
    <row r="178" spans="1:33" x14ac:dyDescent="0.2">
      <c r="A178" s="2"/>
      <c r="B178" s="2"/>
      <c r="C178" s="2"/>
      <c r="D178" s="2"/>
      <c r="E178" s="2"/>
      <c r="Q178" s="2"/>
      <c r="R178" s="2"/>
      <c r="S178" s="2"/>
      <c r="T178" s="2"/>
      <c r="U178" s="2"/>
      <c r="V178" s="2"/>
      <c r="W178" s="2"/>
      <c r="X178" s="2"/>
      <c r="Y178" s="2"/>
      <c r="Z178" s="2"/>
      <c r="AA178" s="2"/>
      <c r="AB178" s="2"/>
      <c r="AC178" s="2"/>
      <c r="AD178" s="2"/>
      <c r="AE178" s="2"/>
      <c r="AF178" s="2"/>
      <c r="AG178" s="2"/>
    </row>
    <row r="179" spans="1:33" x14ac:dyDescent="0.2">
      <c r="A179" s="2"/>
      <c r="B179" s="2"/>
      <c r="C179" s="2"/>
      <c r="D179" s="2"/>
      <c r="E179" s="2"/>
      <c r="F179" s="2"/>
      <c r="Q179" s="2"/>
      <c r="R179" s="2"/>
      <c r="S179" s="2"/>
      <c r="T179" s="2"/>
      <c r="U179" s="2"/>
      <c r="V179" s="2"/>
      <c r="W179" s="2"/>
      <c r="X179" s="2"/>
      <c r="Y179" s="2"/>
      <c r="Z179" s="2"/>
      <c r="AA179" s="2"/>
      <c r="AB179" s="2"/>
      <c r="AC179" s="2"/>
      <c r="AD179" s="2"/>
      <c r="AE179" s="2"/>
      <c r="AF179" s="2"/>
      <c r="AG179" s="2"/>
    </row>
    <row r="180" spans="1:33" x14ac:dyDescent="0.2">
      <c r="A180" s="2"/>
      <c r="B180" s="2"/>
      <c r="D180" s="2" t="s">
        <v>1310</v>
      </c>
      <c r="F180" s="2"/>
      <c r="Q180" s="2"/>
      <c r="R180" s="2"/>
      <c r="Y180" s="2"/>
      <c r="Z180" s="2"/>
      <c r="AA180" s="2"/>
      <c r="AB180" s="2"/>
      <c r="AC180" s="2"/>
      <c r="AD180" s="2"/>
      <c r="AE180" s="2"/>
      <c r="AF180" s="2"/>
      <c r="AG180" s="2"/>
    </row>
    <row r="181" spans="1:33" x14ac:dyDescent="0.2">
      <c r="A181" s="2"/>
      <c r="B181" s="2"/>
      <c r="Y181" s="2"/>
      <c r="Z181" s="2"/>
      <c r="AA181" s="2"/>
      <c r="AB181" s="2"/>
      <c r="AC181" s="2"/>
      <c r="AD181" s="2"/>
      <c r="AE181" s="2"/>
      <c r="AF181" s="2"/>
      <c r="AG181" s="2"/>
    </row>
    <row r="182" spans="1:33" ht="15.75" x14ac:dyDescent="0.2">
      <c r="A182" s="2"/>
      <c r="B182" s="2"/>
      <c r="F182" s="25" t="s">
        <v>382</v>
      </c>
      <c r="G182" s="12" t="s">
        <v>332</v>
      </c>
      <c r="H182" s="290">
        <f>'8. Pile Design'!H132</f>
        <v>94.563519749129981</v>
      </c>
      <c r="I182" s="290"/>
      <c r="J182" s="290"/>
      <c r="K182" s="2" t="s">
        <v>335</v>
      </c>
      <c r="L182" s="2"/>
      <c r="M182" s="2"/>
      <c r="N182" s="2"/>
      <c r="O182" s="2" t="s">
        <v>889</v>
      </c>
      <c r="P182" s="2"/>
      <c r="Q182" s="2"/>
      <c r="R182" s="2"/>
      <c r="S182" s="2"/>
      <c r="Y182" s="2"/>
      <c r="Z182" s="2"/>
      <c r="AA182" s="2"/>
      <c r="AB182" s="2"/>
      <c r="AC182" s="2"/>
      <c r="AD182" s="2"/>
      <c r="AE182" s="2"/>
      <c r="AF182" s="2"/>
      <c r="AG182" s="2"/>
    </row>
    <row r="183" spans="1:33" x14ac:dyDescent="0.2">
      <c r="A183" s="2"/>
      <c r="B183" s="2"/>
      <c r="Y183" s="2"/>
      <c r="Z183" s="2"/>
      <c r="AA183" s="2"/>
      <c r="AB183" s="2"/>
      <c r="AC183" s="2"/>
      <c r="AD183" s="2"/>
      <c r="AE183" s="2"/>
      <c r="AF183" s="2"/>
      <c r="AG183" s="2"/>
    </row>
    <row r="184" spans="1:33" x14ac:dyDescent="0.2">
      <c r="A184" s="2"/>
      <c r="B184" s="2"/>
      <c r="Y184" s="2"/>
      <c r="Z184" s="2"/>
      <c r="AA184" s="2"/>
      <c r="AB184" s="2"/>
      <c r="AC184" s="2"/>
      <c r="AD184" s="2"/>
      <c r="AE184" s="2"/>
      <c r="AF184" s="2"/>
      <c r="AG184" s="2"/>
    </row>
    <row r="185" spans="1:33" x14ac:dyDescent="0.2">
      <c r="A185" s="2"/>
      <c r="B185" s="2"/>
      <c r="C185" s="2" t="s">
        <v>927</v>
      </c>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row>
    <row r="186" spans="1:33" x14ac:dyDescent="0.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row>
    <row r="187" spans="1:33" x14ac:dyDescent="0.2">
      <c r="A187" s="2"/>
      <c r="B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row>
    <row r="188" spans="1:33" x14ac:dyDescent="0.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row>
    <row r="189" spans="1:33" x14ac:dyDescent="0.2">
      <c r="A189" s="2"/>
      <c r="B189" s="2"/>
      <c r="C189" s="2" t="s">
        <v>931</v>
      </c>
      <c r="D189" s="2"/>
      <c r="S189" s="2"/>
      <c r="T189" s="2"/>
      <c r="U189" s="2"/>
      <c r="V189" s="2"/>
      <c r="W189" s="2"/>
      <c r="X189" s="2"/>
      <c r="Y189" s="2"/>
      <c r="Z189" s="2"/>
      <c r="AA189" s="2"/>
      <c r="AB189" s="2"/>
      <c r="AC189" s="2"/>
      <c r="AD189" s="2"/>
      <c r="AE189" s="2"/>
      <c r="AF189" s="2"/>
      <c r="AG189" s="2"/>
    </row>
    <row r="190" spans="1:33" x14ac:dyDescent="0.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row>
    <row r="191" spans="1:33" x14ac:dyDescent="0.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row>
    <row r="192" spans="1:33" x14ac:dyDescent="0.2">
      <c r="A192" s="2"/>
      <c r="B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row>
    <row r="193" spans="1:33" x14ac:dyDescent="0.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row>
    <row r="194" spans="1:33" x14ac:dyDescent="0.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row>
    <row r="195" spans="1:33" x14ac:dyDescent="0.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row>
    <row r="196" spans="1:33" x14ac:dyDescent="0.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row>
    <row r="197" spans="1:33" x14ac:dyDescent="0.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row>
    <row r="198" spans="1:33" x14ac:dyDescent="0.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row>
    <row r="199" spans="1:33" x14ac:dyDescent="0.2">
      <c r="A199" s="2"/>
      <c r="B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row>
    <row r="200" spans="1:33" x14ac:dyDescent="0.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row>
    <row r="201" spans="1:33" x14ac:dyDescent="0.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row>
    <row r="202" spans="1:33" x14ac:dyDescent="0.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row>
    <row r="203" spans="1:33" x14ac:dyDescent="0.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row>
    <row r="204" spans="1:33" x14ac:dyDescent="0.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row>
    <row r="205" spans="1:33" x14ac:dyDescent="0.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row>
    <row r="206" spans="1:33" ht="15.75" x14ac:dyDescent="0.3">
      <c r="A206" s="2"/>
      <c r="B206" s="2"/>
      <c r="C206" s="2"/>
      <c r="D206" s="2"/>
      <c r="E206" s="21" t="s">
        <v>535</v>
      </c>
      <c r="F206" s="13" t="s">
        <v>332</v>
      </c>
      <c r="G206" s="2" t="s">
        <v>1319</v>
      </c>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row>
    <row r="207" spans="1:33" x14ac:dyDescent="0.2">
      <c r="A207" s="2"/>
      <c r="B207" s="2"/>
      <c r="C207" s="2"/>
      <c r="D207" s="2"/>
      <c r="E207" s="21"/>
      <c r="F207" s="13"/>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row>
    <row r="208" spans="1:33" x14ac:dyDescent="0.2">
      <c r="A208" s="2"/>
      <c r="B208" s="2"/>
      <c r="C208" s="2"/>
      <c r="D208" s="2"/>
      <c r="E208" s="21"/>
      <c r="F208" s="13"/>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row>
    <row r="209" spans="1:34" x14ac:dyDescent="0.2">
      <c r="A209" s="2"/>
      <c r="B209" s="2"/>
      <c r="C209" s="2"/>
      <c r="D209" s="2"/>
      <c r="E209" s="21"/>
      <c r="F209" s="13"/>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row>
    <row r="210" spans="1:34" x14ac:dyDescent="0.2">
      <c r="A210" s="2"/>
      <c r="B210" s="2"/>
      <c r="C210" s="2"/>
      <c r="D210" s="2"/>
      <c r="E210" s="21"/>
      <c r="F210" s="13"/>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row>
    <row r="211" spans="1:34" x14ac:dyDescent="0.2">
      <c r="A211" s="2"/>
      <c r="B211" s="2"/>
      <c r="C211" s="2"/>
      <c r="D211" s="2"/>
      <c r="E211" s="21"/>
      <c r="F211" s="13"/>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row>
    <row r="212" spans="1:34" x14ac:dyDescent="0.2">
      <c r="A212" s="2"/>
      <c r="B212" s="2"/>
      <c r="C212" s="2"/>
      <c r="D212" s="2"/>
      <c r="E212" s="21"/>
      <c r="F212" s="13"/>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row>
    <row r="213" spans="1:34" ht="15.75" x14ac:dyDescent="0.3">
      <c r="A213" s="2"/>
      <c r="B213" s="2"/>
      <c r="C213" s="2"/>
      <c r="D213" s="2"/>
      <c r="E213" s="21" t="s">
        <v>930</v>
      </c>
      <c r="F213" s="13" t="s">
        <v>332</v>
      </c>
      <c r="G213" s="231">
        <f>'7. Load Development'!H65/2-'8. Pile Design'!G619/1000</f>
        <v>1.1000000000000001</v>
      </c>
      <c r="H213" s="231"/>
      <c r="I213" s="231"/>
      <c r="J213" s="2" t="s">
        <v>340</v>
      </c>
      <c r="K213" s="2"/>
      <c r="L213" s="2"/>
      <c r="M213" s="2"/>
      <c r="N213" s="2" t="s">
        <v>1311</v>
      </c>
      <c r="O213" s="2"/>
      <c r="P213" s="2"/>
      <c r="Q213" s="2"/>
      <c r="R213" s="2"/>
      <c r="S213" s="2"/>
      <c r="T213" s="2"/>
      <c r="U213" s="2"/>
      <c r="V213" s="2"/>
      <c r="W213" s="2"/>
      <c r="X213" s="2"/>
      <c r="Y213" s="2"/>
      <c r="Z213" s="2"/>
      <c r="AA213" s="2"/>
      <c r="AB213" s="2"/>
      <c r="AC213" s="2"/>
      <c r="AD213" s="2"/>
      <c r="AE213" s="2"/>
      <c r="AF213" s="2"/>
      <c r="AG213" s="2"/>
    </row>
    <row r="214" spans="1:34" x14ac:dyDescent="0.2">
      <c r="A214" s="2"/>
      <c r="B214" s="2"/>
      <c r="C214" s="2"/>
      <c r="D214" s="2"/>
      <c r="E214" s="21" t="s">
        <v>172</v>
      </c>
      <c r="F214" s="13" t="s">
        <v>332</v>
      </c>
      <c r="G214" s="231">
        <f>'7. Load Development'!H65</f>
        <v>3</v>
      </c>
      <c r="H214" s="231"/>
      <c r="I214" s="231"/>
      <c r="J214" s="2" t="s">
        <v>340</v>
      </c>
      <c r="K214" s="2"/>
      <c r="L214" s="2"/>
      <c r="M214" s="2"/>
      <c r="N214" s="2" t="s">
        <v>552</v>
      </c>
      <c r="O214" s="2"/>
      <c r="P214" s="2"/>
      <c r="Q214" s="2"/>
      <c r="R214" s="2"/>
      <c r="S214" s="2"/>
      <c r="T214" s="2"/>
      <c r="U214" s="2"/>
      <c r="V214" s="2"/>
      <c r="W214" s="2"/>
      <c r="X214" s="2"/>
      <c r="Y214" s="2"/>
      <c r="Z214" s="2"/>
      <c r="AA214" s="2"/>
      <c r="AB214" s="2"/>
      <c r="AC214" s="2"/>
      <c r="AD214" s="2"/>
      <c r="AE214" s="2"/>
      <c r="AF214" s="2"/>
      <c r="AG214" s="2"/>
    </row>
    <row r="215" spans="1:34" x14ac:dyDescent="0.2">
      <c r="A215" s="2"/>
      <c r="B215" s="2"/>
      <c r="C215" s="2"/>
      <c r="D215" s="2"/>
      <c r="E215" s="21" t="s">
        <v>578</v>
      </c>
      <c r="F215" s="13" t="s">
        <v>332</v>
      </c>
      <c r="G215" s="284">
        <f>G214/2</f>
        <v>1.5</v>
      </c>
      <c r="H215" s="284"/>
      <c r="I215" s="284"/>
      <c r="J215" s="2" t="s">
        <v>340</v>
      </c>
      <c r="K215" s="2"/>
      <c r="L215" s="2"/>
      <c r="M215" s="2"/>
      <c r="N215" s="2" t="s">
        <v>934</v>
      </c>
      <c r="O215" s="2"/>
      <c r="P215" s="2"/>
      <c r="Q215" s="2"/>
      <c r="R215" s="2"/>
      <c r="S215" s="2"/>
      <c r="T215" s="2"/>
      <c r="U215" s="2"/>
      <c r="V215" s="2"/>
      <c r="W215" s="2"/>
      <c r="X215" s="2"/>
      <c r="Y215" s="2"/>
      <c r="Z215" s="2"/>
      <c r="AA215" s="2"/>
      <c r="AB215" s="2"/>
      <c r="AC215" s="2"/>
      <c r="AD215" s="2"/>
      <c r="AE215" s="2"/>
      <c r="AF215" s="2"/>
      <c r="AG215" s="2"/>
    </row>
    <row r="216" spans="1:34" x14ac:dyDescent="0.2">
      <c r="A216" s="2"/>
      <c r="B216" s="2"/>
      <c r="C216" s="2"/>
      <c r="D216" s="2"/>
      <c r="E216" s="21"/>
      <c r="F216" s="13"/>
      <c r="G216" s="13"/>
      <c r="H216" s="13"/>
      <c r="I216" s="13"/>
      <c r="J216" s="2"/>
      <c r="K216" s="2"/>
      <c r="L216" s="2"/>
      <c r="M216" s="2"/>
      <c r="N216" s="2"/>
      <c r="O216" s="2"/>
      <c r="P216" s="2"/>
      <c r="Q216" s="2"/>
      <c r="R216" s="2"/>
      <c r="S216" s="2"/>
      <c r="T216" s="2"/>
      <c r="U216" s="2"/>
      <c r="V216" s="2"/>
      <c r="W216" s="2"/>
      <c r="X216" s="2"/>
      <c r="Y216" s="2"/>
      <c r="Z216" s="2"/>
      <c r="AA216" s="2"/>
      <c r="AB216" s="2"/>
      <c r="AC216" s="2"/>
      <c r="AD216" s="2"/>
      <c r="AE216" s="2"/>
      <c r="AF216" s="2"/>
      <c r="AG216" s="2"/>
    </row>
    <row r="217" spans="1:34" x14ac:dyDescent="0.2">
      <c r="A217" s="2"/>
      <c r="B217" s="2"/>
      <c r="C217" s="2"/>
      <c r="D217" s="2"/>
      <c r="E217" s="21" t="s">
        <v>928</v>
      </c>
      <c r="F217" s="13" t="s">
        <v>332</v>
      </c>
      <c r="G217" s="2" t="s">
        <v>929</v>
      </c>
      <c r="H217" s="2"/>
      <c r="I217" s="2"/>
      <c r="J217" s="2"/>
      <c r="K217" s="2"/>
      <c r="L217" s="2"/>
      <c r="M217" s="2"/>
      <c r="N217" s="2" t="s">
        <v>935</v>
      </c>
      <c r="O217" s="2"/>
      <c r="P217" s="2"/>
      <c r="Q217" s="2"/>
      <c r="R217" s="2"/>
      <c r="S217" s="2"/>
      <c r="T217" s="2"/>
      <c r="U217" s="2"/>
      <c r="V217" s="2"/>
      <c r="W217" s="2"/>
      <c r="X217" s="2"/>
      <c r="Y217" s="2"/>
      <c r="Z217" s="2"/>
      <c r="AA217" s="2"/>
      <c r="AB217" s="2"/>
      <c r="AC217" s="2"/>
      <c r="AD217" s="2"/>
      <c r="AE217" s="2"/>
      <c r="AF217" s="2"/>
      <c r="AG217" s="2"/>
    </row>
    <row r="218" spans="1:34" x14ac:dyDescent="0.2">
      <c r="A218" s="2"/>
      <c r="B218" s="2"/>
      <c r="C218" s="2"/>
      <c r="D218" s="2"/>
      <c r="E218" s="2"/>
      <c r="F218" s="13" t="s">
        <v>332</v>
      </c>
      <c r="G218" s="231">
        <f>('8. Pile Design'!G78+'8. Pile Design'!G79)/G214</f>
        <v>62.657999227093342</v>
      </c>
      <c r="H218" s="231"/>
      <c r="I218" s="231"/>
      <c r="J218" s="2" t="s">
        <v>551</v>
      </c>
      <c r="K218" s="2"/>
      <c r="L218" s="2"/>
      <c r="M218" s="2"/>
      <c r="N218" s="2"/>
      <c r="O218" s="2"/>
      <c r="P218" s="2"/>
      <c r="Q218" s="2"/>
      <c r="R218" s="2"/>
      <c r="S218" s="2"/>
      <c r="T218" s="2"/>
      <c r="U218" s="2"/>
      <c r="V218" s="2"/>
      <c r="W218" s="2"/>
      <c r="X218" s="2"/>
      <c r="Y218" s="2"/>
      <c r="Z218" s="2"/>
      <c r="AA218" s="2"/>
      <c r="AB218" s="2"/>
      <c r="AC218" s="2"/>
      <c r="AD218" s="2"/>
      <c r="AE218" s="2"/>
      <c r="AF218" s="2"/>
      <c r="AG218" s="2"/>
    </row>
    <row r="219" spans="1:34" x14ac:dyDescent="0.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row>
    <row r="220" spans="1:34" ht="15.75" x14ac:dyDescent="0.3">
      <c r="A220" s="2"/>
      <c r="B220" s="2"/>
      <c r="C220" s="2"/>
      <c r="D220" s="2"/>
      <c r="E220" s="21" t="s">
        <v>535</v>
      </c>
      <c r="F220" s="13" t="s">
        <v>332</v>
      </c>
      <c r="G220" s="231">
        <f>2*H182*G213-G218*G215^2/2</f>
        <v>137.54949431760596</v>
      </c>
      <c r="H220" s="231"/>
      <c r="I220" s="231"/>
      <c r="J220" s="2" t="s">
        <v>524</v>
      </c>
      <c r="K220" s="2"/>
      <c r="L220" s="2"/>
      <c r="M220" s="2"/>
      <c r="N220" s="2" t="s">
        <v>936</v>
      </c>
      <c r="O220" s="2"/>
      <c r="P220" s="2"/>
      <c r="Q220" s="2"/>
      <c r="R220" s="2"/>
      <c r="S220" s="2"/>
      <c r="T220" s="2"/>
      <c r="U220" s="2"/>
      <c r="V220" s="2"/>
      <c r="W220" s="2"/>
      <c r="X220" s="2"/>
      <c r="Y220" s="2"/>
      <c r="Z220" s="2"/>
      <c r="AA220" s="2"/>
      <c r="AB220" s="2"/>
      <c r="AC220" s="2"/>
      <c r="AD220" s="2"/>
      <c r="AE220" s="2"/>
      <c r="AF220" s="2"/>
      <c r="AG220" s="2"/>
    </row>
    <row r="221" spans="1:34" x14ac:dyDescent="0.2">
      <c r="A221" s="2"/>
      <c r="B221" s="2"/>
      <c r="C221" s="2"/>
      <c r="D221" s="2"/>
      <c r="O221" s="2"/>
      <c r="P221" s="2"/>
      <c r="Q221" s="2"/>
      <c r="R221" s="2"/>
      <c r="S221" s="2"/>
      <c r="T221" s="2"/>
      <c r="U221" s="2"/>
      <c r="V221" s="2"/>
      <c r="W221" s="2"/>
      <c r="X221" s="2"/>
      <c r="Y221" s="2"/>
      <c r="Z221" s="2"/>
      <c r="AA221" s="2"/>
      <c r="AB221" s="2"/>
      <c r="AC221" s="2"/>
      <c r="AD221" s="2"/>
      <c r="AE221" s="2"/>
      <c r="AF221" s="2"/>
      <c r="AG221" s="2"/>
    </row>
    <row r="222" spans="1:34" ht="15" x14ac:dyDescent="0.25">
      <c r="A222" s="2"/>
      <c r="B222" s="2"/>
      <c r="C222" s="2"/>
      <c r="D222" s="2"/>
      <c r="E222" s="32" t="s">
        <v>629</v>
      </c>
      <c r="F222" s="62" t="s">
        <v>332</v>
      </c>
      <c r="G222" s="367">
        <f>G220/G167</f>
        <v>0.16704479278670065</v>
      </c>
      <c r="H222" s="367"/>
      <c r="I222" s="367"/>
      <c r="J222" s="18" t="s">
        <v>625</v>
      </c>
      <c r="K222" s="18"/>
      <c r="L222" s="18"/>
      <c r="M222" s="2"/>
      <c r="N222" s="2"/>
      <c r="O222" s="2"/>
      <c r="P222" s="2"/>
      <c r="Q222" s="2"/>
      <c r="R222" s="2"/>
      <c r="S222" s="2"/>
      <c r="T222" s="2"/>
      <c r="U222" s="2"/>
      <c r="V222" s="2"/>
      <c r="W222" s="2"/>
      <c r="X222" s="2"/>
      <c r="Y222" s="2"/>
      <c r="Z222" s="2"/>
      <c r="AA222" s="2"/>
      <c r="AB222" s="2"/>
      <c r="AC222" s="2"/>
      <c r="AD222" s="2"/>
      <c r="AE222" s="2"/>
      <c r="AF222" s="2"/>
      <c r="AG222" s="2"/>
      <c r="AH222" s="87">
        <f>1/G222</f>
        <v>5.9864182733124709</v>
      </c>
    </row>
    <row r="223" spans="1:34" x14ac:dyDescent="0.2">
      <c r="A223" s="2"/>
      <c r="B223" s="2"/>
      <c r="C223" s="2"/>
      <c r="D223" s="2"/>
      <c r="J223" s="2"/>
      <c r="K223" s="2"/>
      <c r="L223" s="2"/>
      <c r="M223" s="2"/>
      <c r="N223" s="2"/>
      <c r="O223" s="2"/>
      <c r="P223" s="2"/>
      <c r="Q223" s="2"/>
      <c r="R223" s="2"/>
      <c r="S223" s="2"/>
      <c r="T223" s="2"/>
      <c r="U223" s="2"/>
      <c r="V223" s="2"/>
      <c r="W223" s="2"/>
      <c r="X223" s="2"/>
      <c r="Y223" s="2"/>
      <c r="Z223" s="2"/>
      <c r="AA223" s="2"/>
      <c r="AB223" s="2"/>
      <c r="AC223" s="2"/>
      <c r="AD223" s="2"/>
      <c r="AE223" s="2"/>
      <c r="AF223" s="2"/>
      <c r="AG223" s="2"/>
    </row>
    <row r="224" spans="1:34" x14ac:dyDescent="0.2">
      <c r="A224" s="2"/>
      <c r="B224" s="2"/>
      <c r="C224" s="2"/>
      <c r="D224" s="2"/>
      <c r="J224" s="2"/>
      <c r="K224" s="2"/>
      <c r="L224" s="2"/>
      <c r="M224" s="2"/>
      <c r="N224" s="2"/>
      <c r="O224" s="2"/>
      <c r="P224" s="2"/>
      <c r="Q224" s="2"/>
      <c r="R224" s="2"/>
      <c r="S224" s="2"/>
      <c r="T224" s="2"/>
      <c r="U224" s="2"/>
      <c r="V224" s="2"/>
      <c r="W224" s="2"/>
      <c r="X224" s="2"/>
      <c r="Y224" s="2"/>
      <c r="Z224" s="2"/>
      <c r="AA224" s="2"/>
      <c r="AB224" s="2"/>
      <c r="AC224" s="2"/>
      <c r="AD224" s="2"/>
      <c r="AE224" s="2"/>
      <c r="AF224" s="2"/>
      <c r="AG224" s="2"/>
    </row>
    <row r="225" spans="1:33" x14ac:dyDescent="0.2">
      <c r="A225" s="2"/>
      <c r="B225" s="2"/>
      <c r="C225" s="2"/>
      <c r="D225" s="2"/>
      <c r="J225" s="2"/>
      <c r="K225" s="2"/>
      <c r="L225" s="2"/>
      <c r="M225" s="2"/>
      <c r="N225" s="2"/>
      <c r="O225" s="2"/>
      <c r="P225" s="2"/>
      <c r="Q225" s="2"/>
      <c r="R225" s="2"/>
      <c r="S225" s="2"/>
      <c r="T225" s="2"/>
      <c r="U225" s="2"/>
      <c r="V225" s="2"/>
      <c r="W225" s="2"/>
      <c r="X225" s="2"/>
      <c r="Y225" s="2"/>
      <c r="Z225" s="2"/>
      <c r="AA225" s="2"/>
      <c r="AB225" s="2"/>
      <c r="AC225" s="2"/>
      <c r="AD225" s="2"/>
      <c r="AE225" s="2"/>
      <c r="AF225" s="2"/>
      <c r="AG225" s="2"/>
    </row>
    <row r="226" spans="1:33" ht="14.25" customHeight="1" x14ac:dyDescent="0.2">
      <c r="A226" s="2"/>
      <c r="B226" s="2"/>
      <c r="C226" s="232" t="s">
        <v>1312</v>
      </c>
      <c r="D226" s="232"/>
      <c r="E226" s="232"/>
      <c r="F226" s="232"/>
      <c r="G226" s="232"/>
      <c r="H226" s="232"/>
      <c r="I226" s="232"/>
      <c r="J226" s="232"/>
      <c r="K226" s="232"/>
      <c r="L226" s="232"/>
      <c r="M226" s="232"/>
      <c r="N226" s="232"/>
      <c r="O226" s="232"/>
      <c r="P226" s="232"/>
      <c r="Q226" s="232"/>
      <c r="R226" s="232"/>
      <c r="S226" s="232"/>
      <c r="T226" s="232"/>
      <c r="U226" s="232"/>
      <c r="V226" s="232"/>
      <c r="W226" s="232"/>
      <c r="X226" s="232"/>
      <c r="Y226" s="232"/>
      <c r="Z226" s="232"/>
      <c r="AA226" s="232"/>
      <c r="AB226" s="232"/>
      <c r="AC226" s="232"/>
      <c r="AD226" s="232"/>
      <c r="AE226" s="232"/>
      <c r="AF226" s="232"/>
      <c r="AG226" s="232"/>
    </row>
    <row r="227" spans="1:33" x14ac:dyDescent="0.2">
      <c r="A227" s="2"/>
      <c r="B227" s="2"/>
      <c r="C227" s="232"/>
      <c r="D227" s="232"/>
      <c r="E227" s="232"/>
      <c r="F227" s="232"/>
      <c r="G227" s="232"/>
      <c r="H227" s="232"/>
      <c r="I227" s="232"/>
      <c r="J227" s="232"/>
      <c r="K227" s="232"/>
      <c r="L227" s="232"/>
      <c r="M227" s="232"/>
      <c r="N227" s="232"/>
      <c r="O227" s="232"/>
      <c r="P227" s="232"/>
      <c r="Q227" s="232"/>
      <c r="R227" s="232"/>
      <c r="S227" s="232"/>
      <c r="T227" s="232"/>
      <c r="U227" s="232"/>
      <c r="V227" s="232"/>
      <c r="W227" s="232"/>
      <c r="X227" s="232"/>
      <c r="Y227" s="232"/>
      <c r="Z227" s="232"/>
      <c r="AA227" s="232"/>
      <c r="AB227" s="232"/>
      <c r="AC227" s="232"/>
      <c r="AD227" s="232"/>
      <c r="AE227" s="232"/>
      <c r="AF227" s="232"/>
      <c r="AG227" s="232"/>
    </row>
    <row r="228" spans="1:33" x14ac:dyDescent="0.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row>
    <row r="229" spans="1:33" x14ac:dyDescent="0.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row>
    <row r="230" spans="1:33" ht="15.75" customHeight="1" x14ac:dyDescent="0.2">
      <c r="A230" s="2"/>
      <c r="B230" s="2"/>
      <c r="C230" s="232" t="s">
        <v>932</v>
      </c>
      <c r="D230" s="232"/>
      <c r="E230" s="232"/>
      <c r="F230" s="232"/>
      <c r="G230" s="232"/>
      <c r="H230" s="232"/>
      <c r="I230" s="232"/>
      <c r="J230" s="232"/>
      <c r="K230" s="232"/>
      <c r="L230" s="232"/>
      <c r="M230" s="232"/>
      <c r="N230" s="232"/>
      <c r="O230" s="232"/>
      <c r="P230" s="232"/>
      <c r="Q230" s="232"/>
      <c r="R230" s="232"/>
      <c r="S230" s="232"/>
      <c r="T230" s="232"/>
      <c r="U230" s="232"/>
      <c r="V230" s="232"/>
      <c r="W230" s="232"/>
      <c r="X230" s="232"/>
      <c r="Y230" s="232"/>
      <c r="Z230" s="232"/>
      <c r="AA230" s="232"/>
      <c r="AB230" s="232"/>
      <c r="AC230" s="232"/>
      <c r="AD230" s="232"/>
      <c r="AE230" s="232"/>
      <c r="AF230" s="232"/>
      <c r="AG230" s="232"/>
    </row>
    <row r="231" spans="1:33" x14ac:dyDescent="0.2">
      <c r="A231" s="2"/>
      <c r="B231" s="2"/>
      <c r="C231" s="232"/>
      <c r="D231" s="232"/>
      <c r="E231" s="232"/>
      <c r="F231" s="232"/>
      <c r="G231" s="232"/>
      <c r="H231" s="232"/>
      <c r="I231" s="232"/>
      <c r="J231" s="232"/>
      <c r="K231" s="232"/>
      <c r="L231" s="232"/>
      <c r="M231" s="232"/>
      <c r="N231" s="232"/>
      <c r="O231" s="232"/>
      <c r="P231" s="232"/>
      <c r="Q231" s="232"/>
      <c r="R231" s="232"/>
      <c r="S231" s="232"/>
      <c r="T231" s="232"/>
      <c r="U231" s="232"/>
      <c r="V231" s="232"/>
      <c r="W231" s="232"/>
      <c r="X231" s="232"/>
      <c r="Y231" s="232"/>
      <c r="Z231" s="232"/>
      <c r="AA231" s="232"/>
      <c r="AB231" s="232"/>
      <c r="AC231" s="232"/>
      <c r="AD231" s="232"/>
      <c r="AE231" s="232"/>
      <c r="AF231" s="232"/>
      <c r="AG231" s="232"/>
    </row>
    <row r="232" spans="1:33" x14ac:dyDescent="0.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row>
    <row r="233" spans="1:33" x14ac:dyDescent="0.2">
      <c r="A233" s="2"/>
      <c r="B233" s="2"/>
      <c r="C233" s="2" t="s">
        <v>626</v>
      </c>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row>
    <row r="234" spans="1:33" x14ac:dyDescent="0.2">
      <c r="A234" s="2"/>
      <c r="B234" s="2"/>
    </row>
    <row r="235" spans="1:33" x14ac:dyDescent="0.2">
      <c r="A235" s="2"/>
      <c r="B235" s="2"/>
      <c r="C235" s="232" t="s">
        <v>1522</v>
      </c>
      <c r="D235" s="232"/>
      <c r="E235" s="232"/>
      <c r="F235" s="232"/>
      <c r="G235" s="232"/>
      <c r="H235" s="232"/>
      <c r="I235" s="232"/>
      <c r="J235" s="232"/>
      <c r="K235" s="232"/>
      <c r="L235" s="232"/>
      <c r="M235" s="232"/>
      <c r="N235" s="232"/>
      <c r="O235" s="232"/>
      <c r="P235" s="232"/>
      <c r="Q235" s="232"/>
      <c r="R235" s="232"/>
      <c r="S235" s="232"/>
      <c r="T235" s="232"/>
      <c r="U235" s="232"/>
      <c r="V235" s="232"/>
      <c r="W235" s="232"/>
      <c r="X235" s="232"/>
      <c r="Y235" s="232"/>
      <c r="Z235" s="232"/>
      <c r="AA235" s="232"/>
      <c r="AB235" s="232"/>
      <c r="AC235" s="232"/>
      <c r="AD235" s="232"/>
      <c r="AE235" s="232"/>
      <c r="AF235" s="232"/>
      <c r="AG235" s="232"/>
    </row>
    <row r="236" spans="1:33" x14ac:dyDescent="0.2">
      <c r="A236" s="2"/>
      <c r="B236" s="2"/>
      <c r="C236" s="232"/>
      <c r="D236" s="232"/>
      <c r="E236" s="232"/>
      <c r="F236" s="232"/>
      <c r="G236" s="232"/>
      <c r="H236" s="232"/>
      <c r="I236" s="232"/>
      <c r="J236" s="232"/>
      <c r="K236" s="232"/>
      <c r="L236" s="232"/>
      <c r="M236" s="232"/>
      <c r="N236" s="232"/>
      <c r="O236" s="232"/>
      <c r="P236" s="232"/>
      <c r="Q236" s="232"/>
      <c r="R236" s="232"/>
      <c r="S236" s="232"/>
      <c r="T236" s="232"/>
      <c r="U236" s="232"/>
      <c r="V236" s="232"/>
      <c r="W236" s="232"/>
      <c r="X236" s="232"/>
      <c r="Y236" s="232"/>
      <c r="Z236" s="232"/>
      <c r="AA236" s="232"/>
      <c r="AB236" s="232"/>
      <c r="AC236" s="232"/>
      <c r="AD236" s="232"/>
      <c r="AE236" s="232"/>
      <c r="AF236" s="232"/>
      <c r="AG236" s="232"/>
    </row>
    <row r="237" spans="1:33" x14ac:dyDescent="0.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row>
    <row r="238" spans="1:33" x14ac:dyDescent="0.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row>
    <row r="239" spans="1:33" x14ac:dyDescent="0.2">
      <c r="A239" s="2"/>
      <c r="B239" s="2"/>
    </row>
    <row r="240" spans="1:33" x14ac:dyDescent="0.2">
      <c r="A240" s="2"/>
      <c r="B240" s="2"/>
    </row>
    <row r="241" spans="1:33" x14ac:dyDescent="0.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row>
    <row r="242" spans="1:33" x14ac:dyDescent="0.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row>
    <row r="243" spans="1:33" x14ac:dyDescent="0.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row>
    <row r="244" spans="1:33" x14ac:dyDescent="0.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row>
    <row r="245" spans="1:33" x14ac:dyDescent="0.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row>
    <row r="246" spans="1:33" x14ac:dyDescent="0.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row>
    <row r="247" spans="1:33" x14ac:dyDescent="0.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row>
    <row r="248" spans="1:33" x14ac:dyDescent="0.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row>
    <row r="249" spans="1:33" x14ac:dyDescent="0.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row>
    <row r="250" spans="1:33" x14ac:dyDescent="0.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row>
    <row r="251" spans="1:33" x14ac:dyDescent="0.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row>
    <row r="252" spans="1:33" x14ac:dyDescent="0.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row>
    <row r="253" spans="1:33" x14ac:dyDescent="0.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row>
    <row r="254" spans="1:33" x14ac:dyDescent="0.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row>
    <row r="255" spans="1:33" x14ac:dyDescent="0.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row>
    <row r="256" spans="1:33" x14ac:dyDescent="0.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row>
    <row r="257" spans="1:33" x14ac:dyDescent="0.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row>
    <row r="258" spans="1:33" x14ac:dyDescent="0.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row>
    <row r="259" spans="1:33" x14ac:dyDescent="0.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row>
    <row r="260" spans="1:33" x14ac:dyDescent="0.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row>
    <row r="261" spans="1:33" x14ac:dyDescent="0.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row>
    <row r="262" spans="1:33" x14ac:dyDescent="0.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row>
    <row r="263" spans="1:33" x14ac:dyDescent="0.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row>
    <row r="264" spans="1:33" x14ac:dyDescent="0.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row>
    <row r="265" spans="1:33" x14ac:dyDescent="0.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row>
    <row r="266" spans="1:33" x14ac:dyDescent="0.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row>
    <row r="267" spans="1:33" x14ac:dyDescent="0.2">
      <c r="A267" s="2"/>
      <c r="B267" s="2"/>
      <c r="C267" s="48" t="s">
        <v>1317</v>
      </c>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row>
    <row r="268" spans="1:33" ht="14.25" customHeight="1" x14ac:dyDescent="0.2">
      <c r="A268" s="2"/>
      <c r="B268" s="2"/>
      <c r="C268" s="232" t="s">
        <v>1028</v>
      </c>
      <c r="D268" s="232"/>
      <c r="E268" s="232"/>
      <c r="F268" s="232"/>
      <c r="G268" s="232"/>
      <c r="H268" s="232"/>
      <c r="I268" s="232"/>
      <c r="J268" s="232"/>
      <c r="K268" s="232"/>
      <c r="L268" s="232"/>
      <c r="M268" s="232"/>
      <c r="N268" s="232"/>
      <c r="O268" s="232"/>
      <c r="P268" s="232"/>
      <c r="Q268" s="232"/>
      <c r="R268" s="232"/>
      <c r="S268" s="232"/>
      <c r="T268" s="232"/>
      <c r="U268" s="232"/>
      <c r="V268" s="232"/>
      <c r="W268" s="232"/>
      <c r="X268" s="232"/>
      <c r="Y268" s="232"/>
      <c r="Z268" s="232"/>
      <c r="AA268" s="232"/>
      <c r="AB268" s="232"/>
      <c r="AC268" s="232"/>
      <c r="AD268" s="232"/>
      <c r="AE268" s="232"/>
      <c r="AF268" s="232"/>
      <c r="AG268" s="232"/>
    </row>
    <row r="269" spans="1:33" x14ac:dyDescent="0.2">
      <c r="A269" s="2"/>
      <c r="B269" s="2"/>
      <c r="C269" s="232"/>
      <c r="D269" s="232"/>
      <c r="E269" s="232"/>
      <c r="F269" s="232"/>
      <c r="G269" s="232"/>
      <c r="H269" s="232"/>
      <c r="I269" s="232"/>
      <c r="J269" s="232"/>
      <c r="K269" s="232"/>
      <c r="L269" s="232"/>
      <c r="M269" s="232"/>
      <c r="N269" s="232"/>
      <c r="O269" s="232"/>
      <c r="P269" s="232"/>
      <c r="Q269" s="232"/>
      <c r="R269" s="232"/>
      <c r="S269" s="232"/>
      <c r="T269" s="232"/>
      <c r="U269" s="232"/>
      <c r="V269" s="232"/>
      <c r="W269" s="232"/>
      <c r="X269" s="232"/>
      <c r="Y269" s="232"/>
      <c r="Z269" s="232"/>
      <c r="AA269" s="232"/>
      <c r="AB269" s="232"/>
      <c r="AC269" s="232"/>
      <c r="AD269" s="232"/>
      <c r="AE269" s="232"/>
      <c r="AF269" s="232"/>
      <c r="AG269" s="232"/>
    </row>
    <row r="270" spans="1:33" x14ac:dyDescent="0.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row>
    <row r="271" spans="1:33" ht="15.75" x14ac:dyDescent="0.3">
      <c r="A271" s="2"/>
      <c r="B271" s="2"/>
      <c r="C271" s="2"/>
      <c r="D271" s="25" t="s">
        <v>533</v>
      </c>
      <c r="E271" s="12" t="s">
        <v>332</v>
      </c>
      <c r="F271" s="290">
        <f>2*H182</f>
        <v>189.12703949825996</v>
      </c>
      <c r="G271" s="290"/>
      <c r="H271" s="290"/>
      <c r="I271" s="57" t="s">
        <v>335</v>
      </c>
      <c r="J271" s="2"/>
      <c r="K271" s="2"/>
      <c r="L271" s="2"/>
      <c r="M271" s="2" t="s">
        <v>937</v>
      </c>
      <c r="N271" s="2"/>
      <c r="O271" s="2"/>
      <c r="P271" s="2"/>
      <c r="Q271" s="2"/>
      <c r="R271" s="2"/>
      <c r="S271" s="2"/>
      <c r="T271" s="2"/>
      <c r="U271" s="2"/>
      <c r="V271" s="2"/>
      <c r="W271" s="2"/>
      <c r="X271" s="2"/>
      <c r="Y271" s="2"/>
      <c r="Z271" s="2"/>
      <c r="AA271" s="2"/>
      <c r="AB271" s="2"/>
      <c r="AC271" s="2"/>
      <c r="AD271" s="2"/>
      <c r="AE271" s="2"/>
      <c r="AF271" s="2"/>
      <c r="AG271" s="2"/>
    </row>
    <row r="272" spans="1:33" x14ac:dyDescent="0.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row>
    <row r="273" spans="1:33" x14ac:dyDescent="0.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row>
    <row r="274" spans="1:33" x14ac:dyDescent="0.2">
      <c r="A274" s="2"/>
      <c r="B274" s="2"/>
      <c r="C274" s="2" t="s">
        <v>630</v>
      </c>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row>
    <row r="275" spans="1:33" x14ac:dyDescent="0.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row>
    <row r="276" spans="1:33" ht="15.75" x14ac:dyDescent="0.2">
      <c r="A276" s="2"/>
      <c r="B276" s="2"/>
      <c r="C276" s="2"/>
      <c r="D276" s="2"/>
      <c r="E276" s="25" t="s">
        <v>631</v>
      </c>
      <c r="F276" s="12" t="s">
        <v>332</v>
      </c>
      <c r="G276" s="57" t="s">
        <v>632</v>
      </c>
      <c r="H276" s="57"/>
      <c r="I276" s="57"/>
      <c r="J276" s="2"/>
      <c r="K276" s="2"/>
      <c r="L276" s="2"/>
      <c r="M276" s="2"/>
      <c r="N276" s="2" t="s">
        <v>633</v>
      </c>
      <c r="O276" s="2"/>
      <c r="P276" s="2"/>
      <c r="Q276" s="2"/>
      <c r="R276" s="2"/>
      <c r="S276" s="2"/>
      <c r="T276" s="2"/>
      <c r="U276" s="2"/>
      <c r="V276" s="2"/>
      <c r="W276" s="2"/>
      <c r="X276" s="2"/>
      <c r="Y276" s="2"/>
      <c r="Z276" s="2"/>
      <c r="AA276" s="2"/>
      <c r="AB276" s="2"/>
      <c r="AC276" s="2"/>
      <c r="AD276" s="2"/>
      <c r="AE276" s="2"/>
      <c r="AF276" s="2"/>
      <c r="AG276" s="2"/>
    </row>
    <row r="277" spans="1:33" x14ac:dyDescent="0.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row>
    <row r="278" spans="1:33" ht="15.75" x14ac:dyDescent="0.25">
      <c r="A278" s="2"/>
      <c r="B278" s="2"/>
      <c r="C278" s="2"/>
      <c r="D278" s="2"/>
      <c r="E278" s="12" t="s">
        <v>627</v>
      </c>
      <c r="F278" s="12" t="s">
        <v>332</v>
      </c>
      <c r="G278" s="368">
        <f>MAX(0.9*G44,0.72*G37)</f>
        <v>648</v>
      </c>
      <c r="H278" s="368"/>
      <c r="I278" s="368"/>
      <c r="J278" s="57" t="s">
        <v>337</v>
      </c>
      <c r="K278"/>
      <c r="L278"/>
      <c r="M278"/>
      <c r="N278" s="57" t="s">
        <v>649</v>
      </c>
      <c r="O278"/>
      <c r="P278"/>
      <c r="R278" s="57"/>
      <c r="S278" s="2"/>
      <c r="T278" s="2"/>
      <c r="U278" s="2"/>
      <c r="V278" s="2"/>
      <c r="W278" s="2"/>
      <c r="X278" s="2"/>
      <c r="Y278" s="2"/>
      <c r="Z278" s="2"/>
      <c r="AA278" s="2"/>
      <c r="AB278" s="2"/>
      <c r="AC278" s="2"/>
      <c r="AD278" s="2"/>
      <c r="AE278" s="2"/>
      <c r="AF278" s="2"/>
      <c r="AG278" s="2"/>
    </row>
    <row r="279" spans="1:33" ht="15.75" x14ac:dyDescent="0.25">
      <c r="A279" s="2"/>
      <c r="B279" s="2"/>
      <c r="C279" s="2"/>
      <c r="D279" s="2"/>
      <c r="E279" s="25" t="s">
        <v>634</v>
      </c>
      <c r="F279" s="12" t="s">
        <v>332</v>
      </c>
      <c r="G279" s="363">
        <f>G36</f>
        <v>1800</v>
      </c>
      <c r="H279" s="363"/>
      <c r="I279" s="363"/>
      <c r="J279" s="57" t="s">
        <v>337</v>
      </c>
      <c r="K279"/>
      <c r="L279"/>
      <c r="M279"/>
      <c r="N279" s="3" t="s">
        <v>628</v>
      </c>
      <c r="O279"/>
      <c r="P279"/>
      <c r="R279" s="57"/>
      <c r="S279" s="2"/>
      <c r="T279" s="2"/>
      <c r="U279" s="2"/>
      <c r="V279" s="2"/>
      <c r="W279" s="2"/>
      <c r="X279" s="2"/>
      <c r="Y279" s="2"/>
      <c r="Z279" s="2"/>
      <c r="AA279" s="2"/>
      <c r="AB279" s="2"/>
      <c r="AC279" s="2"/>
      <c r="AD279" s="2"/>
      <c r="AE279" s="2"/>
      <c r="AF279" s="2"/>
      <c r="AG279" s="2"/>
    </row>
    <row r="280" spans="1:33" ht="15.75" x14ac:dyDescent="0.25">
      <c r="A280" s="2"/>
      <c r="B280" s="2"/>
      <c r="C280" s="2"/>
      <c r="D280" s="2"/>
      <c r="E280" s="25" t="s">
        <v>613</v>
      </c>
      <c r="F280" s="12" t="s">
        <v>332</v>
      </c>
      <c r="G280" s="369">
        <f>230/(1000+G278)</f>
        <v>0.1395631067961165</v>
      </c>
      <c r="H280" s="369"/>
      <c r="I280" s="369"/>
      <c r="J280" s="57"/>
      <c r="K280"/>
      <c r="L280"/>
      <c r="M280"/>
      <c r="N280" s="3" t="s">
        <v>636</v>
      </c>
      <c r="O280" s="57"/>
      <c r="Q280" s="3"/>
      <c r="R280" s="3"/>
      <c r="S280" s="2"/>
      <c r="T280" s="2"/>
      <c r="U280" s="2"/>
      <c r="V280" s="2"/>
      <c r="W280" s="2"/>
      <c r="X280" s="2"/>
      <c r="Y280" s="2"/>
      <c r="Z280" s="2"/>
      <c r="AA280" s="2"/>
      <c r="AB280" s="2"/>
      <c r="AC280" s="2"/>
      <c r="AD280" s="2"/>
      <c r="AE280" s="2"/>
      <c r="AF280" s="2"/>
      <c r="AG280" s="2"/>
    </row>
    <row r="281" spans="1:33" x14ac:dyDescent="0.2">
      <c r="A281" s="2"/>
      <c r="B281" s="2"/>
      <c r="C281" s="2"/>
      <c r="D281" s="2"/>
      <c r="E281" s="57"/>
      <c r="F281" s="57"/>
      <c r="G281" s="57"/>
      <c r="H281" s="57"/>
      <c r="I281" s="57"/>
      <c r="J281" s="57"/>
      <c r="K281" s="57"/>
      <c r="L281" s="57"/>
      <c r="M281" s="57"/>
      <c r="N281" s="57"/>
      <c r="O281" s="57"/>
      <c r="P281" s="57"/>
      <c r="Q281" s="57"/>
      <c r="R281" s="57"/>
      <c r="S281" s="2"/>
      <c r="T281" s="2"/>
      <c r="U281" s="2"/>
      <c r="V281" s="2"/>
      <c r="W281" s="2"/>
      <c r="X281" s="2"/>
      <c r="Y281" s="2"/>
      <c r="Z281" s="2"/>
      <c r="AA281" s="2"/>
      <c r="AB281" s="2"/>
      <c r="AC281" s="2"/>
      <c r="AD281" s="2"/>
      <c r="AE281" s="2"/>
      <c r="AF281" s="2"/>
      <c r="AG281" s="2"/>
    </row>
    <row r="282" spans="1:33" ht="15.75" x14ac:dyDescent="0.2">
      <c r="A282" s="2"/>
      <c r="B282" s="2"/>
      <c r="C282" s="2"/>
      <c r="D282" s="2"/>
      <c r="E282" s="25" t="s">
        <v>631</v>
      </c>
      <c r="F282" s="12" t="s">
        <v>332</v>
      </c>
      <c r="G282" s="290">
        <f>H68*H72*G280*SQRT(H69)*G279*G278/1000</f>
        <v>579.55161932989597</v>
      </c>
      <c r="H282" s="290"/>
      <c r="I282" s="290"/>
      <c r="J282" s="57" t="s">
        <v>335</v>
      </c>
      <c r="K282" s="57"/>
      <c r="L282" s="57"/>
      <c r="M282" s="57"/>
      <c r="N282" s="57"/>
      <c r="O282" s="57"/>
      <c r="P282" s="3"/>
      <c r="Q282" s="3"/>
      <c r="R282" s="57"/>
      <c r="S282" s="2"/>
      <c r="T282" s="2"/>
      <c r="U282" s="2"/>
      <c r="V282" s="2"/>
      <c r="W282" s="2"/>
      <c r="X282" s="2"/>
      <c r="Y282" s="2"/>
      <c r="Z282" s="2"/>
      <c r="AA282" s="2"/>
      <c r="AB282" s="2"/>
      <c r="AC282" s="2"/>
      <c r="AD282" s="2"/>
      <c r="AE282" s="2"/>
      <c r="AF282" s="2"/>
      <c r="AG282" s="2"/>
    </row>
    <row r="283" spans="1:33" x14ac:dyDescent="0.2">
      <c r="A283" s="2"/>
      <c r="B283" s="2"/>
      <c r="C283" s="2"/>
      <c r="D283" s="2"/>
      <c r="E283" s="25"/>
      <c r="F283" s="57"/>
      <c r="G283" s="57"/>
      <c r="H283" s="57"/>
      <c r="I283" s="57"/>
      <c r="J283" s="57"/>
      <c r="K283" s="57"/>
      <c r="L283" s="3"/>
      <c r="M283" s="3"/>
      <c r="N283" s="3"/>
      <c r="O283" s="3"/>
      <c r="P283" s="3"/>
      <c r="Q283" s="57"/>
      <c r="R283" s="57"/>
      <c r="S283" s="2"/>
      <c r="T283" s="2"/>
      <c r="U283" s="2"/>
      <c r="V283" s="2"/>
      <c r="W283" s="2"/>
      <c r="X283" s="2"/>
      <c r="Y283" s="2"/>
      <c r="Z283" s="2"/>
      <c r="AA283" s="2"/>
      <c r="AB283" s="2"/>
      <c r="AC283" s="2"/>
      <c r="AD283" s="2"/>
      <c r="AE283" s="2"/>
      <c r="AF283" s="2"/>
      <c r="AG283" s="2"/>
    </row>
    <row r="284" spans="1:33" x14ac:dyDescent="0.2">
      <c r="A284" s="2"/>
      <c r="B284" s="2"/>
      <c r="C284" s="2"/>
      <c r="D284" s="2"/>
      <c r="E284" s="61" t="s">
        <v>635</v>
      </c>
      <c r="F284" s="62" t="s">
        <v>332</v>
      </c>
      <c r="G284" s="367">
        <f>F271/G282</f>
        <v>0.32633338116963123</v>
      </c>
      <c r="H284" s="367"/>
      <c r="I284" s="367"/>
      <c r="J284" s="63" t="s">
        <v>573</v>
      </c>
      <c r="K284" s="7"/>
      <c r="L284" s="7"/>
      <c r="M284" s="3"/>
      <c r="N284" s="57"/>
      <c r="O284" s="57"/>
      <c r="P284" s="57"/>
      <c r="Q284" s="57"/>
      <c r="R284" s="57"/>
      <c r="S284" s="2"/>
      <c r="T284" s="2"/>
      <c r="U284" s="2"/>
      <c r="V284" s="2"/>
      <c r="W284" s="2"/>
      <c r="X284" s="2"/>
      <c r="Y284" s="2"/>
      <c r="Z284" s="2"/>
      <c r="AA284" s="2"/>
      <c r="AB284" s="2"/>
      <c r="AC284" s="2"/>
      <c r="AD284" s="2"/>
      <c r="AE284" s="2"/>
      <c r="AF284" s="2"/>
      <c r="AG284" s="2"/>
    </row>
    <row r="285" spans="1:33" x14ac:dyDescent="0.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row>
    <row r="286" spans="1:33" x14ac:dyDescent="0.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row>
    <row r="287" spans="1:33" x14ac:dyDescent="0.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row>
    <row r="288" spans="1:33" x14ac:dyDescent="0.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row>
    <row r="289" spans="1:33" x14ac:dyDescent="0.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row>
    <row r="290" spans="1:33" x14ac:dyDescent="0.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row>
    <row r="291" spans="1:33" x14ac:dyDescent="0.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row>
    <row r="292" spans="1:33" x14ac:dyDescent="0.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row>
    <row r="293" spans="1:33" x14ac:dyDescent="0.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row>
    <row r="294" spans="1:33" x14ac:dyDescent="0.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row>
    <row r="295" spans="1:33" x14ac:dyDescent="0.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row>
    <row r="296" spans="1:33" x14ac:dyDescent="0.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row>
    <row r="297" spans="1:33" x14ac:dyDescent="0.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row>
    <row r="298" spans="1:33" x14ac:dyDescent="0.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row>
    <row r="299" spans="1:33" x14ac:dyDescent="0.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row>
    <row r="300" spans="1:33" x14ac:dyDescent="0.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row>
    <row r="301" spans="1:33" x14ac:dyDescent="0.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row>
    <row r="302" spans="1:33" x14ac:dyDescent="0.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row>
    <row r="303" spans="1:33" x14ac:dyDescent="0.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row>
    <row r="304" spans="1:33" x14ac:dyDescent="0.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row>
    <row r="305" spans="1:33"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row>
    <row r="306" spans="1:33"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row>
    <row r="307" spans="1:33"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row>
    <row r="308" spans="1:33"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row>
    <row r="309" spans="1:33"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row>
    <row r="310" spans="1:33"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row>
    <row r="311" spans="1:33"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row>
    <row r="312" spans="1:33"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row>
    <row r="313" spans="1:33"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row>
    <row r="314" spans="1:33"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row>
    <row r="315" spans="1:33"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row>
    <row r="316" spans="1:33"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row>
    <row r="317" spans="1:33"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row>
    <row r="318" spans="1:33"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row>
    <row r="319" spans="1:33"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row>
    <row r="320" spans="1:33" x14ac:dyDescent="0.2">
      <c r="A320" s="2"/>
      <c r="B320" s="2"/>
      <c r="C320" s="48" t="s">
        <v>1316</v>
      </c>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row>
    <row r="321" spans="1:33" x14ac:dyDescent="0.2">
      <c r="A321" s="2"/>
      <c r="B321" s="2"/>
      <c r="C321" s="2" t="s">
        <v>1429</v>
      </c>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row>
    <row r="322" spans="1:33"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row>
    <row r="323" spans="1:33" ht="15.75" x14ac:dyDescent="0.3">
      <c r="A323" s="2"/>
      <c r="B323" s="2"/>
      <c r="C323" s="2"/>
      <c r="D323" s="2"/>
      <c r="E323" s="21" t="s">
        <v>382</v>
      </c>
      <c r="F323" s="13" t="s">
        <v>332</v>
      </c>
      <c r="G323" s="231">
        <f>H182</f>
        <v>94.563519749129981</v>
      </c>
      <c r="H323" s="284"/>
      <c r="I323" s="284"/>
      <c r="J323" s="2" t="s">
        <v>335</v>
      </c>
      <c r="K323" s="2"/>
      <c r="L323" s="2"/>
      <c r="M323" s="2"/>
      <c r="N323" s="2"/>
      <c r="O323" s="2" t="s">
        <v>938</v>
      </c>
      <c r="P323" s="2"/>
      <c r="Q323" s="2"/>
      <c r="R323" s="2"/>
      <c r="S323" s="2"/>
      <c r="T323" s="2"/>
      <c r="U323" s="2"/>
      <c r="V323" s="2"/>
      <c r="W323" s="2"/>
      <c r="X323" s="2"/>
      <c r="Y323" s="2"/>
      <c r="Z323" s="2"/>
      <c r="AA323" s="2"/>
      <c r="AB323" s="2"/>
      <c r="AC323" s="2"/>
      <c r="AD323" s="2"/>
      <c r="AE323" s="2"/>
      <c r="AF323" s="2"/>
      <c r="AG323" s="2"/>
    </row>
    <row r="324" spans="1:33"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row>
    <row r="325" spans="1:33" x14ac:dyDescent="0.2">
      <c r="A325" s="2"/>
      <c r="B325" s="2"/>
      <c r="C325" s="2" t="s">
        <v>645</v>
      </c>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row>
    <row r="326" spans="1:33" x14ac:dyDescent="0.2">
      <c r="A326" s="2"/>
      <c r="B326" s="2"/>
      <c r="C326" s="232" t="s">
        <v>939</v>
      </c>
      <c r="D326" s="232"/>
      <c r="E326" s="232"/>
      <c r="F326" s="232"/>
      <c r="G326" s="232"/>
      <c r="H326" s="232"/>
      <c r="I326" s="232"/>
      <c r="J326" s="232"/>
      <c r="K326" s="232"/>
      <c r="L326" s="232"/>
      <c r="M326" s="232"/>
      <c r="N326" s="232"/>
      <c r="O326" s="232"/>
      <c r="P326" s="232"/>
      <c r="Q326" s="232"/>
      <c r="R326" s="232"/>
      <c r="S326" s="232"/>
      <c r="T326" s="232"/>
      <c r="U326" s="232"/>
      <c r="V326" s="232"/>
      <c r="W326" s="232"/>
      <c r="X326" s="232"/>
      <c r="Y326" s="232"/>
      <c r="Z326" s="232"/>
      <c r="AA326" s="232"/>
      <c r="AB326" s="232"/>
      <c r="AC326" s="232"/>
      <c r="AD326" s="232"/>
      <c r="AE326" s="232"/>
      <c r="AF326" s="232"/>
      <c r="AG326" s="232"/>
    </row>
    <row r="327" spans="1:33"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row>
    <row r="328" spans="1:33"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row>
    <row r="329" spans="1:33"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row>
    <row r="330" spans="1:33"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row>
    <row r="331" spans="1:33"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row>
    <row r="332" spans="1:33"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row>
    <row r="333" spans="1:33"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row>
    <row r="334" spans="1:33"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row>
    <row r="335" spans="1:33"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row>
    <row r="336" spans="1:33"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row>
    <row r="337" spans="1:33"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row>
    <row r="338" spans="1:33"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row>
    <row r="339" spans="1:33"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row>
    <row r="340" spans="1:33" x14ac:dyDescent="0.2">
      <c r="A340" s="2"/>
      <c r="B340" s="2"/>
      <c r="C340" s="2"/>
      <c r="D340" s="16" t="s">
        <v>673</v>
      </c>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row>
    <row r="341" spans="1:33" x14ac:dyDescent="0.2">
      <c r="A341" s="2"/>
      <c r="B341" s="2"/>
      <c r="C341" s="2"/>
      <c r="D341" s="232" t="s">
        <v>674</v>
      </c>
      <c r="E341" s="232"/>
      <c r="F341" s="232"/>
      <c r="G341" s="232"/>
      <c r="H341" s="232"/>
      <c r="I341" s="232"/>
      <c r="J341" s="232"/>
      <c r="K341" s="232"/>
      <c r="L341" s="232"/>
      <c r="M341" s="232"/>
      <c r="N341" s="232"/>
      <c r="O341" s="232"/>
      <c r="P341" s="232"/>
      <c r="Q341" s="232"/>
      <c r="R341" s="232"/>
      <c r="S341" s="232"/>
      <c r="T341" s="232"/>
      <c r="U341" s="232"/>
      <c r="V341" s="232"/>
      <c r="W341" s="232"/>
      <c r="X341" s="232"/>
      <c r="Y341" s="232"/>
      <c r="Z341" s="232"/>
      <c r="AA341" s="232"/>
      <c r="AB341" s="232"/>
      <c r="AC341" s="232"/>
      <c r="AD341" s="232"/>
      <c r="AE341" s="232"/>
      <c r="AF341" s="232"/>
      <c r="AG341" s="232"/>
    </row>
    <row r="342" spans="1:33" x14ac:dyDescent="0.2">
      <c r="A342" s="2"/>
      <c r="B342" s="2"/>
      <c r="C342" s="2"/>
      <c r="D342" s="232"/>
      <c r="E342" s="232"/>
      <c r="F342" s="232"/>
      <c r="G342" s="232"/>
      <c r="H342" s="232"/>
      <c r="I342" s="232"/>
      <c r="J342" s="232"/>
      <c r="K342" s="232"/>
      <c r="L342" s="232"/>
      <c r="M342" s="232"/>
      <c r="N342" s="232"/>
      <c r="O342" s="232"/>
      <c r="P342" s="232"/>
      <c r="Q342" s="232"/>
      <c r="R342" s="232"/>
      <c r="S342" s="232"/>
      <c r="T342" s="232"/>
      <c r="U342" s="232"/>
      <c r="V342" s="232"/>
      <c r="W342" s="232"/>
      <c r="X342" s="232"/>
      <c r="Y342" s="232"/>
      <c r="Z342" s="232"/>
      <c r="AA342" s="232"/>
      <c r="AB342" s="232"/>
      <c r="AC342" s="232"/>
      <c r="AD342" s="232"/>
      <c r="AE342" s="232"/>
      <c r="AF342" s="232"/>
      <c r="AG342" s="232"/>
    </row>
    <row r="343" spans="1:33"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row>
    <row r="344" spans="1:33" ht="15.75" x14ac:dyDescent="0.3">
      <c r="A344" s="2"/>
      <c r="B344" s="2"/>
      <c r="C344" s="2"/>
      <c r="D344" s="2"/>
      <c r="E344" s="21" t="s">
        <v>639</v>
      </c>
      <c r="F344" s="13" t="s">
        <v>332</v>
      </c>
      <c r="G344" s="368">
        <f>'8. Pile Design'!H187*1000</f>
        <v>219</v>
      </c>
      <c r="H344" s="368"/>
      <c r="I344" s="368"/>
      <c r="J344" s="57" t="s">
        <v>337</v>
      </c>
      <c r="K344" s="2"/>
      <c r="L344" s="2"/>
      <c r="M344" s="2"/>
      <c r="N344" s="2" t="s">
        <v>675</v>
      </c>
      <c r="O344" s="2"/>
      <c r="P344" s="2"/>
      <c r="Q344" s="2"/>
      <c r="R344" s="2"/>
      <c r="S344" s="2"/>
      <c r="T344" s="2"/>
      <c r="U344" s="2"/>
      <c r="V344" s="2"/>
      <c r="W344" s="2"/>
      <c r="X344" s="2"/>
      <c r="Y344" s="2"/>
      <c r="Z344" s="2"/>
      <c r="AA344" s="2"/>
      <c r="AB344" s="2"/>
      <c r="AC344" s="2"/>
      <c r="AD344" s="2"/>
      <c r="AE344" s="2"/>
      <c r="AF344" s="2"/>
      <c r="AG344" s="2"/>
    </row>
    <row r="345" spans="1:33" ht="15.75" x14ac:dyDescent="0.3">
      <c r="A345" s="2"/>
      <c r="B345" s="2"/>
      <c r="C345" s="2"/>
      <c r="D345" s="2"/>
      <c r="E345" s="21" t="s">
        <v>677</v>
      </c>
      <c r="F345" s="13" t="s">
        <v>332</v>
      </c>
      <c r="G345" s="364">
        <f>PI()/4*G344^2</f>
        <v>37668.481314705015</v>
      </c>
      <c r="H345" s="364"/>
      <c r="I345" s="364"/>
      <c r="J345" s="57" t="s">
        <v>555</v>
      </c>
      <c r="K345" s="2"/>
      <c r="L345" s="2"/>
      <c r="M345" s="2"/>
      <c r="N345" s="2" t="s">
        <v>676</v>
      </c>
      <c r="O345" s="2"/>
      <c r="P345" s="2"/>
      <c r="Q345" s="2"/>
      <c r="R345" s="2"/>
      <c r="S345" s="2"/>
      <c r="T345" s="2"/>
      <c r="U345" s="2"/>
      <c r="V345" s="2"/>
      <c r="W345" s="2"/>
      <c r="X345" s="2"/>
      <c r="Y345" s="2"/>
      <c r="Z345" s="2"/>
      <c r="AA345" s="2"/>
      <c r="AB345" s="2"/>
      <c r="AC345" s="2"/>
      <c r="AD345" s="2"/>
      <c r="AE345" s="2"/>
      <c r="AF345" s="2"/>
      <c r="AG345" s="2"/>
    </row>
    <row r="346" spans="1:33" ht="15.75" x14ac:dyDescent="0.3">
      <c r="A346" s="2"/>
      <c r="B346" s="2"/>
      <c r="C346" s="2"/>
      <c r="D346" s="2"/>
      <c r="E346" s="21" t="s">
        <v>678</v>
      </c>
      <c r="F346" s="13" t="s">
        <v>332</v>
      </c>
      <c r="G346" s="368">
        <f>SQRT(G345)</f>
        <v>194.083696674154</v>
      </c>
      <c r="H346" s="368"/>
      <c r="I346" s="368"/>
      <c r="J346" s="57" t="s">
        <v>337</v>
      </c>
      <c r="K346" s="2"/>
      <c r="L346" s="2"/>
      <c r="M346" s="2"/>
      <c r="N346" s="2" t="s">
        <v>679</v>
      </c>
      <c r="O346" s="2"/>
      <c r="P346" s="2"/>
      <c r="Q346" s="2"/>
      <c r="R346" s="2"/>
      <c r="S346" s="2"/>
      <c r="T346" s="2"/>
      <c r="U346" s="2"/>
      <c r="V346" s="2"/>
      <c r="W346" s="2"/>
      <c r="X346" s="2"/>
      <c r="Y346" s="2"/>
      <c r="Z346" s="2"/>
      <c r="AA346" s="2"/>
      <c r="AB346" s="2"/>
      <c r="AC346" s="2"/>
      <c r="AD346" s="2"/>
      <c r="AE346" s="2"/>
      <c r="AF346" s="2"/>
      <c r="AG346" s="2"/>
    </row>
    <row r="347" spans="1:33"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row>
    <row r="348" spans="1:33"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row>
    <row r="349" spans="1:33" x14ac:dyDescent="0.2">
      <c r="A349" s="2"/>
      <c r="B349" s="2"/>
      <c r="C349" s="2"/>
      <c r="D349" s="16" t="s">
        <v>940</v>
      </c>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row>
    <row r="350" spans="1:33"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row>
    <row r="351" spans="1:33" ht="15.75" x14ac:dyDescent="0.2">
      <c r="A351" s="2"/>
      <c r="B351" s="2"/>
      <c r="C351" s="2"/>
      <c r="D351" s="2"/>
      <c r="E351" s="25" t="s">
        <v>631</v>
      </c>
      <c r="F351" s="12" t="s">
        <v>332</v>
      </c>
      <c r="G351" s="57" t="s">
        <v>648</v>
      </c>
      <c r="H351" s="57"/>
      <c r="I351" s="57"/>
      <c r="J351" s="2"/>
      <c r="K351" s="2"/>
      <c r="L351" s="2"/>
      <c r="M351" s="2"/>
      <c r="N351" s="2" t="s">
        <v>646</v>
      </c>
      <c r="O351" s="2"/>
      <c r="P351" s="2"/>
      <c r="Q351" s="2"/>
      <c r="R351" s="2"/>
      <c r="S351" s="2"/>
      <c r="T351" s="2"/>
      <c r="U351" s="2"/>
      <c r="V351" s="2"/>
      <c r="W351" s="2"/>
      <c r="X351" s="2"/>
      <c r="Y351" s="2"/>
      <c r="Z351" s="2"/>
      <c r="AA351" s="2"/>
      <c r="AB351" s="2"/>
      <c r="AC351" s="2"/>
      <c r="AD351" s="2"/>
      <c r="AE351" s="2"/>
      <c r="AF351" s="2"/>
      <c r="AG351" s="2"/>
    </row>
    <row r="352" spans="1:33"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row>
    <row r="353" spans="1:33" ht="15" x14ac:dyDescent="0.25">
      <c r="A353" s="2"/>
      <c r="B353" s="2"/>
      <c r="C353" s="2"/>
      <c r="D353" s="2"/>
      <c r="E353" s="12" t="s">
        <v>590</v>
      </c>
      <c r="F353" s="12" t="s">
        <v>332</v>
      </c>
      <c r="G353" s="368">
        <f>G44</f>
        <v>711.9</v>
      </c>
      <c r="H353" s="368"/>
      <c r="I353" s="368"/>
      <c r="J353" s="57" t="s">
        <v>337</v>
      </c>
      <c r="K353"/>
      <c r="L353"/>
      <c r="M353"/>
      <c r="N353" s="57" t="s">
        <v>666</v>
      </c>
      <c r="O353" s="2"/>
      <c r="P353" s="2"/>
      <c r="Q353" s="2"/>
      <c r="R353" s="2"/>
      <c r="S353" s="2"/>
      <c r="T353" s="2"/>
      <c r="U353" s="2"/>
      <c r="V353" s="2"/>
      <c r="W353" s="2"/>
      <c r="X353" s="2"/>
      <c r="Y353" s="2"/>
      <c r="Z353" s="2"/>
      <c r="AA353" s="2"/>
      <c r="AB353" s="2"/>
      <c r="AC353" s="2"/>
      <c r="AD353" s="2"/>
      <c r="AE353" s="2"/>
      <c r="AF353" s="2"/>
      <c r="AG353" s="2"/>
    </row>
    <row r="354" spans="1:33" ht="15" x14ac:dyDescent="0.25">
      <c r="A354" s="2"/>
      <c r="B354" s="2"/>
      <c r="C354" s="2"/>
      <c r="D354" s="2"/>
      <c r="E354" s="12" t="s">
        <v>680</v>
      </c>
      <c r="F354" s="12" t="s">
        <v>332</v>
      </c>
      <c r="G354" s="368">
        <f>G353/2</f>
        <v>355.95</v>
      </c>
      <c r="H354" s="368"/>
      <c r="I354" s="368"/>
      <c r="J354" s="57" t="s">
        <v>337</v>
      </c>
      <c r="K354"/>
      <c r="L354"/>
      <c r="M354"/>
      <c r="N354" s="57" t="s">
        <v>681</v>
      </c>
      <c r="O354" s="2"/>
      <c r="P354" s="2"/>
      <c r="Q354" s="2"/>
      <c r="R354" s="2"/>
      <c r="S354" s="2"/>
      <c r="T354" s="2"/>
      <c r="U354" s="2"/>
      <c r="V354" s="2"/>
      <c r="W354" s="2"/>
      <c r="X354" s="2"/>
      <c r="Y354" s="2"/>
      <c r="Z354" s="2"/>
      <c r="AA354" s="2"/>
      <c r="AB354" s="2"/>
      <c r="AC354" s="2"/>
      <c r="AD354" s="2"/>
      <c r="AE354" s="2"/>
      <c r="AF354" s="2"/>
      <c r="AG354" s="2"/>
    </row>
    <row r="355" spans="1:33" ht="15" x14ac:dyDescent="0.25">
      <c r="A355" s="2"/>
      <c r="B355" s="2"/>
      <c r="C355" s="2"/>
      <c r="D355" s="2"/>
      <c r="E355" s="12"/>
      <c r="F355" s="12"/>
      <c r="G355" s="65"/>
      <c r="H355" s="65"/>
      <c r="I355" s="65"/>
      <c r="J355" s="57"/>
      <c r="K355"/>
      <c r="L355"/>
      <c r="M355"/>
      <c r="N355" s="57"/>
      <c r="O355" s="2"/>
      <c r="P355" s="2"/>
      <c r="Q355" s="2"/>
      <c r="R355" s="2"/>
      <c r="S355" s="2"/>
      <c r="T355" s="2"/>
      <c r="U355" s="2"/>
      <c r="V355" s="2"/>
      <c r="W355" s="2"/>
      <c r="X355" s="2"/>
      <c r="Y355" s="2"/>
      <c r="Z355" s="2"/>
      <c r="AA355" s="2"/>
      <c r="AB355" s="2"/>
      <c r="AC355" s="2"/>
      <c r="AD355" s="2"/>
      <c r="AE355" s="2"/>
      <c r="AF355" s="2"/>
      <c r="AG355" s="2"/>
    </row>
    <row r="356" spans="1:33" ht="15" x14ac:dyDescent="0.25">
      <c r="A356" s="2"/>
      <c r="B356" s="2"/>
      <c r="C356" s="2"/>
      <c r="D356" s="2"/>
      <c r="E356" s="12"/>
      <c r="F356" s="12"/>
      <c r="G356" s="65"/>
      <c r="H356" s="65"/>
      <c r="I356" s="65"/>
      <c r="J356" s="57"/>
      <c r="K356"/>
      <c r="L356"/>
      <c r="M356"/>
      <c r="N356" s="57"/>
      <c r="O356" s="2"/>
      <c r="P356" s="2"/>
      <c r="Q356" s="2"/>
      <c r="R356" s="2"/>
      <c r="S356" s="2"/>
      <c r="T356" s="2"/>
      <c r="U356" s="2"/>
      <c r="V356" s="2"/>
      <c r="W356" s="2"/>
      <c r="X356" s="2"/>
      <c r="Y356" s="2"/>
      <c r="Z356" s="2"/>
      <c r="AA356" s="2"/>
      <c r="AB356" s="2"/>
      <c r="AC356" s="2"/>
      <c r="AD356" s="2"/>
      <c r="AE356" s="2"/>
      <c r="AF356" s="2"/>
      <c r="AG356" s="2"/>
    </row>
    <row r="357" spans="1:33" ht="15" x14ac:dyDescent="0.25">
      <c r="A357" s="2"/>
      <c r="B357" s="2"/>
      <c r="C357" s="2"/>
      <c r="D357" s="2"/>
      <c r="E357" s="12"/>
      <c r="F357" s="12"/>
      <c r="G357" s="65"/>
      <c r="H357" s="65"/>
      <c r="I357" s="65"/>
      <c r="J357" s="57"/>
      <c r="K357"/>
      <c r="L357"/>
      <c r="M357"/>
      <c r="N357" s="57"/>
      <c r="O357" s="2"/>
      <c r="P357" s="2"/>
      <c r="Q357" s="2"/>
      <c r="R357" s="2"/>
      <c r="S357" s="2"/>
      <c r="T357" s="2"/>
      <c r="U357" s="2"/>
      <c r="V357" s="2"/>
      <c r="W357" s="2"/>
      <c r="X357" s="2"/>
      <c r="Y357" s="2"/>
      <c r="Z357" s="2"/>
      <c r="AA357" s="2"/>
      <c r="AB357" s="2"/>
      <c r="AC357" s="2"/>
      <c r="AD357" s="2"/>
      <c r="AE357" s="2"/>
      <c r="AF357" s="2"/>
      <c r="AG357" s="2"/>
    </row>
    <row r="358" spans="1:33" ht="15" x14ac:dyDescent="0.25">
      <c r="A358" s="2"/>
      <c r="B358" s="2"/>
      <c r="C358" s="2"/>
      <c r="D358" s="2"/>
      <c r="E358" s="12"/>
      <c r="F358" s="12"/>
      <c r="G358" s="65"/>
      <c r="H358" s="65"/>
      <c r="I358" s="65"/>
      <c r="J358" s="57"/>
      <c r="K358"/>
      <c r="L358"/>
      <c r="M358"/>
      <c r="N358" s="57"/>
      <c r="O358" s="2"/>
      <c r="P358" s="2"/>
      <c r="Q358" s="2"/>
      <c r="R358" s="2"/>
      <c r="S358" s="2"/>
      <c r="T358" s="2"/>
      <c r="U358" s="2"/>
      <c r="V358" s="2"/>
      <c r="W358" s="2"/>
      <c r="X358" s="2"/>
      <c r="Y358" s="2"/>
      <c r="Z358" s="2"/>
      <c r="AA358" s="2"/>
      <c r="AB358" s="2"/>
      <c r="AC358" s="2"/>
      <c r="AD358" s="2"/>
      <c r="AE358" s="2"/>
      <c r="AF358" s="2"/>
      <c r="AG358" s="2"/>
    </row>
    <row r="359" spans="1:33" ht="15" x14ac:dyDescent="0.25">
      <c r="A359" s="2"/>
      <c r="B359" s="2"/>
      <c r="C359" s="2"/>
      <c r="D359" s="2"/>
      <c r="E359" s="12"/>
      <c r="F359" s="12"/>
      <c r="G359" s="65"/>
      <c r="H359" s="65"/>
      <c r="I359" s="65"/>
      <c r="J359" s="57"/>
      <c r="K359"/>
      <c r="L359"/>
      <c r="M359"/>
      <c r="N359" s="57"/>
      <c r="O359" s="2"/>
      <c r="P359" s="2"/>
      <c r="Q359" s="2"/>
      <c r="R359" s="2"/>
      <c r="S359" s="2"/>
      <c r="T359" s="2"/>
      <c r="U359" s="2"/>
      <c r="V359" s="2"/>
      <c r="W359" s="2"/>
      <c r="X359" s="2"/>
      <c r="Y359" s="2"/>
      <c r="Z359" s="2"/>
      <c r="AA359" s="2"/>
      <c r="AB359" s="2"/>
      <c r="AC359" s="2"/>
      <c r="AD359" s="2"/>
      <c r="AE359" s="2"/>
      <c r="AF359" s="2"/>
      <c r="AG359" s="2"/>
    </row>
    <row r="360" spans="1:33" ht="15" x14ac:dyDescent="0.25">
      <c r="A360" s="2"/>
      <c r="B360" s="2"/>
      <c r="C360" s="2"/>
      <c r="D360" s="2"/>
      <c r="E360" s="12"/>
      <c r="F360" s="12"/>
      <c r="G360" s="65"/>
      <c r="H360" s="65"/>
      <c r="I360" s="65"/>
      <c r="J360" s="57"/>
      <c r="K360"/>
      <c r="L360"/>
      <c r="M360"/>
      <c r="N360" s="57"/>
      <c r="O360" s="2"/>
      <c r="P360" s="2"/>
      <c r="Q360" s="2"/>
      <c r="R360" s="2"/>
      <c r="S360" s="2"/>
      <c r="T360" s="2"/>
      <c r="U360" s="2"/>
      <c r="V360" s="2"/>
      <c r="W360" s="2"/>
      <c r="X360" s="2"/>
      <c r="Y360" s="2"/>
      <c r="Z360" s="2"/>
      <c r="AA360" s="2"/>
      <c r="AB360" s="2"/>
      <c r="AC360" s="2"/>
      <c r="AD360" s="2"/>
      <c r="AE360" s="2"/>
      <c r="AF360" s="2"/>
      <c r="AG360" s="2"/>
    </row>
    <row r="361" spans="1:33" ht="15" x14ac:dyDescent="0.25">
      <c r="A361" s="2"/>
      <c r="B361" s="2"/>
      <c r="C361" s="2"/>
      <c r="D361" s="2"/>
      <c r="E361" s="12"/>
      <c r="F361" s="12"/>
      <c r="G361" s="65"/>
      <c r="H361" s="65"/>
      <c r="I361" s="65"/>
      <c r="J361" s="57"/>
      <c r="K361"/>
      <c r="L361"/>
      <c r="M361"/>
      <c r="N361" s="57"/>
      <c r="O361" s="2"/>
      <c r="P361" s="2"/>
      <c r="Q361" s="2"/>
      <c r="R361" s="2"/>
      <c r="S361" s="2"/>
      <c r="T361" s="2"/>
      <c r="U361" s="2"/>
      <c r="V361" s="2"/>
      <c r="W361" s="2"/>
      <c r="X361" s="2"/>
      <c r="Y361" s="2"/>
      <c r="Z361" s="2"/>
      <c r="AA361" s="2"/>
      <c r="AB361" s="2"/>
      <c r="AC361" s="2"/>
      <c r="AD361" s="2"/>
      <c r="AE361" s="2"/>
      <c r="AF361" s="2"/>
      <c r="AG361" s="2"/>
    </row>
    <row r="362" spans="1:33" ht="15" x14ac:dyDescent="0.25">
      <c r="A362" s="2"/>
      <c r="B362" s="2"/>
      <c r="C362" s="2"/>
      <c r="D362" s="2"/>
      <c r="E362" s="12"/>
      <c r="F362" s="12"/>
      <c r="G362" s="65"/>
      <c r="H362" s="65"/>
      <c r="I362" s="65"/>
      <c r="J362" s="57"/>
      <c r="K362"/>
      <c r="L362"/>
      <c r="M362"/>
      <c r="N362" s="57"/>
      <c r="O362" s="2"/>
      <c r="P362" s="2"/>
      <c r="Q362" s="2"/>
      <c r="R362" s="2"/>
      <c r="S362" s="2"/>
      <c r="T362" s="2"/>
      <c r="U362" s="2"/>
      <c r="V362" s="2"/>
      <c r="W362" s="2"/>
      <c r="X362" s="2"/>
      <c r="Y362" s="2"/>
      <c r="Z362" s="2"/>
      <c r="AA362" s="2"/>
      <c r="AB362" s="2"/>
      <c r="AC362" s="2"/>
      <c r="AD362" s="2"/>
      <c r="AE362" s="2"/>
      <c r="AF362" s="2"/>
      <c r="AG362" s="2"/>
    </row>
    <row r="363" spans="1:33" ht="15" x14ac:dyDescent="0.25">
      <c r="A363" s="2"/>
      <c r="B363" s="2"/>
      <c r="C363" s="2"/>
      <c r="D363" s="2"/>
      <c r="E363" s="12"/>
      <c r="F363" s="12"/>
      <c r="G363" s="65"/>
      <c r="H363" s="65"/>
      <c r="I363" s="65"/>
      <c r="J363" s="57"/>
      <c r="K363"/>
      <c r="L363"/>
      <c r="M363"/>
      <c r="N363" s="57"/>
      <c r="O363" s="2"/>
      <c r="P363" s="2"/>
      <c r="Q363" s="2"/>
      <c r="R363" s="2"/>
      <c r="S363" s="2"/>
      <c r="T363" s="2"/>
      <c r="U363" s="2"/>
      <c r="V363" s="2"/>
      <c r="W363" s="2"/>
      <c r="X363" s="2"/>
      <c r="Y363" s="2"/>
      <c r="Z363" s="2"/>
      <c r="AA363" s="2"/>
      <c r="AB363" s="2"/>
      <c r="AC363" s="2"/>
      <c r="AD363" s="2"/>
      <c r="AE363" s="2"/>
      <c r="AF363" s="2"/>
      <c r="AG363" s="2"/>
    </row>
    <row r="364" spans="1:33" ht="15" x14ac:dyDescent="0.25">
      <c r="A364" s="2"/>
      <c r="B364" s="2"/>
      <c r="C364" s="2"/>
      <c r="D364" s="2"/>
      <c r="E364" s="12"/>
      <c r="F364" s="12"/>
      <c r="G364" s="65"/>
      <c r="H364" s="65"/>
      <c r="I364" s="65"/>
      <c r="J364" s="57"/>
      <c r="K364"/>
      <c r="L364"/>
      <c r="M364"/>
      <c r="N364" s="57"/>
      <c r="O364" s="2"/>
      <c r="P364" s="2"/>
      <c r="Q364" s="2"/>
      <c r="R364" s="2"/>
      <c r="S364" s="2"/>
      <c r="T364" s="2"/>
      <c r="U364" s="2"/>
      <c r="V364" s="2"/>
      <c r="W364" s="2"/>
      <c r="X364" s="2"/>
      <c r="Y364" s="2"/>
      <c r="Z364" s="2"/>
      <c r="AA364" s="2"/>
      <c r="AB364" s="2"/>
      <c r="AC364" s="2"/>
      <c r="AD364" s="2"/>
      <c r="AE364" s="2"/>
      <c r="AF364" s="2"/>
      <c r="AG364" s="2"/>
    </row>
    <row r="365" spans="1:33" ht="15.75" x14ac:dyDescent="0.25">
      <c r="A365" s="2"/>
      <c r="B365" s="2"/>
      <c r="C365" s="2"/>
      <c r="D365" s="2"/>
      <c r="E365" s="12" t="s">
        <v>627</v>
      </c>
      <c r="F365" s="12" t="s">
        <v>332</v>
      </c>
      <c r="G365" s="368">
        <f>MAX(0.9*G44,0.72*G37)</f>
        <v>648</v>
      </c>
      <c r="H365" s="368"/>
      <c r="I365" s="368"/>
      <c r="J365" s="57" t="s">
        <v>337</v>
      </c>
      <c r="K365"/>
      <c r="L365"/>
      <c r="M365"/>
      <c r="N365" s="57" t="s">
        <v>649</v>
      </c>
      <c r="O365"/>
      <c r="P365" s="2"/>
      <c r="Q365" s="2"/>
      <c r="R365" s="2"/>
      <c r="S365" s="2"/>
      <c r="T365" s="2"/>
      <c r="U365" s="2"/>
      <c r="V365" s="2"/>
      <c r="W365" s="2"/>
      <c r="X365" s="2"/>
      <c r="Y365" s="2"/>
      <c r="Z365" s="2"/>
      <c r="AA365" s="2"/>
      <c r="AB365" s="2"/>
      <c r="AC365" s="2"/>
      <c r="AD365" s="2"/>
      <c r="AE365" s="2"/>
      <c r="AF365" s="2"/>
      <c r="AG365" s="2"/>
    </row>
    <row r="366" spans="1:33" ht="15.75" x14ac:dyDescent="0.25">
      <c r="A366" s="2"/>
      <c r="B366" s="2"/>
      <c r="C366" s="2"/>
      <c r="D366" s="2"/>
      <c r="E366" s="25" t="s">
        <v>647</v>
      </c>
      <c r="F366" s="12" t="s">
        <v>332</v>
      </c>
      <c r="G366" s="363">
        <f>853+853</f>
        <v>1706</v>
      </c>
      <c r="H366" s="363"/>
      <c r="I366" s="363"/>
      <c r="J366" s="57" t="s">
        <v>337</v>
      </c>
      <c r="K366"/>
      <c r="L366"/>
      <c r="M366"/>
      <c r="N366" s="3" t="s">
        <v>1320</v>
      </c>
      <c r="O366"/>
      <c r="P366" s="2"/>
      <c r="Q366" s="2"/>
      <c r="R366" s="2"/>
      <c r="S366" s="2"/>
      <c r="T366" s="2"/>
      <c r="U366" s="2"/>
      <c r="V366" s="2"/>
      <c r="W366" s="2"/>
      <c r="X366" s="2"/>
      <c r="Y366" s="2"/>
      <c r="Z366" s="2"/>
      <c r="AA366" s="2"/>
      <c r="AB366" s="2"/>
      <c r="AC366" s="2"/>
      <c r="AD366" s="2"/>
      <c r="AE366" s="2"/>
      <c r="AF366" s="2"/>
      <c r="AG366" s="2"/>
    </row>
    <row r="367" spans="1:33" ht="15.75" x14ac:dyDescent="0.25">
      <c r="A367" s="2"/>
      <c r="B367" s="2"/>
      <c r="C367" s="2"/>
      <c r="D367" s="2"/>
      <c r="E367" s="25" t="s">
        <v>613</v>
      </c>
      <c r="F367" s="12" t="s">
        <v>332</v>
      </c>
      <c r="G367" s="369">
        <f>230/(1000+G365)</f>
        <v>0.1395631067961165</v>
      </c>
      <c r="H367" s="369"/>
      <c r="I367" s="369"/>
      <c r="J367" s="57"/>
      <c r="K367"/>
      <c r="L367"/>
      <c r="M367"/>
      <c r="N367" s="3" t="s">
        <v>636</v>
      </c>
      <c r="O367" s="57"/>
      <c r="P367" s="2"/>
      <c r="Q367" s="2"/>
      <c r="R367" s="2"/>
      <c r="S367" s="2"/>
      <c r="T367" s="2"/>
      <c r="U367" s="2"/>
      <c r="V367" s="2"/>
      <c r="W367" s="2"/>
      <c r="X367" s="2"/>
      <c r="Y367" s="2"/>
      <c r="Z367" s="2"/>
      <c r="AA367" s="2"/>
      <c r="AB367" s="2"/>
      <c r="AC367" s="2"/>
      <c r="AD367" s="2"/>
      <c r="AE367" s="2"/>
      <c r="AF367" s="2"/>
      <c r="AG367" s="2"/>
    </row>
    <row r="368" spans="1:33" x14ac:dyDescent="0.2">
      <c r="A368" s="2"/>
      <c r="B368" s="2"/>
      <c r="C368" s="2"/>
      <c r="D368" s="2"/>
      <c r="E368" s="57"/>
      <c r="F368" s="57"/>
      <c r="G368" s="57"/>
      <c r="H368" s="57"/>
      <c r="I368" s="57"/>
      <c r="J368" s="57"/>
      <c r="K368" s="57"/>
      <c r="L368" s="57"/>
      <c r="M368" s="57"/>
      <c r="N368" s="57"/>
      <c r="O368" s="57"/>
      <c r="P368" s="2"/>
      <c r="Q368" s="2"/>
      <c r="R368" s="2"/>
      <c r="S368" s="2"/>
      <c r="T368" s="2"/>
      <c r="U368" s="2"/>
      <c r="V368" s="2"/>
      <c r="W368" s="2"/>
      <c r="X368" s="2"/>
      <c r="Y368" s="2"/>
      <c r="Z368" s="2"/>
      <c r="AA368" s="2"/>
      <c r="AB368" s="2"/>
      <c r="AC368" s="2"/>
      <c r="AD368" s="2"/>
      <c r="AE368" s="2"/>
      <c r="AF368" s="2"/>
      <c r="AG368" s="2"/>
    </row>
    <row r="369" spans="1:33" ht="15.75" x14ac:dyDescent="0.2">
      <c r="A369" s="2"/>
      <c r="B369" s="2"/>
      <c r="C369" s="2"/>
      <c r="D369" s="2"/>
      <c r="E369" s="25" t="s">
        <v>631</v>
      </c>
      <c r="F369" s="12" t="s">
        <v>332</v>
      </c>
      <c r="G369" s="290">
        <f>H68*H72*G367*SQRT(H69)*G366*G365/1000</f>
        <v>549.28614587600134</v>
      </c>
      <c r="H369" s="290"/>
      <c r="I369" s="290"/>
      <c r="J369" s="57" t="s">
        <v>335</v>
      </c>
      <c r="K369" s="57"/>
      <c r="L369" s="57"/>
      <c r="M369" s="57"/>
      <c r="N369" s="57"/>
      <c r="O369" s="57"/>
      <c r="P369" s="2"/>
      <c r="Q369" s="2"/>
      <c r="R369" s="2"/>
      <c r="S369" s="2"/>
      <c r="T369" s="2"/>
      <c r="U369" s="2"/>
      <c r="V369" s="2"/>
      <c r="W369" s="2"/>
      <c r="X369" s="2"/>
      <c r="Y369" s="2"/>
      <c r="Z369" s="2"/>
      <c r="AA369" s="2"/>
      <c r="AB369" s="2"/>
      <c r="AC369" s="2"/>
      <c r="AD369" s="2"/>
      <c r="AE369" s="2"/>
      <c r="AF369" s="2"/>
      <c r="AG369" s="2"/>
    </row>
    <row r="370" spans="1:33"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row>
    <row r="371" spans="1:33"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row>
    <row r="372" spans="1:33" ht="14.25" customHeight="1" x14ac:dyDescent="0.2">
      <c r="A372" s="2"/>
      <c r="B372" s="2"/>
      <c r="D372" s="232" t="s">
        <v>1430</v>
      </c>
      <c r="E372" s="232"/>
      <c r="F372" s="232"/>
      <c r="G372" s="232"/>
      <c r="H372" s="232"/>
      <c r="I372" s="232"/>
      <c r="J372" s="232"/>
      <c r="K372" s="232"/>
      <c r="L372" s="232"/>
      <c r="M372" s="232"/>
      <c r="N372" s="232"/>
      <c r="O372" s="232"/>
      <c r="P372" s="232"/>
      <c r="Q372" s="232"/>
      <c r="R372" s="232"/>
      <c r="S372" s="232"/>
      <c r="T372" s="232"/>
      <c r="U372" s="232"/>
      <c r="V372" s="232"/>
      <c r="W372" s="232"/>
      <c r="X372" s="232"/>
      <c r="Y372" s="232"/>
      <c r="Z372" s="232"/>
      <c r="AA372" s="232"/>
      <c r="AB372" s="232"/>
      <c r="AC372" s="232"/>
      <c r="AD372" s="232"/>
      <c r="AE372" s="232"/>
      <c r="AF372" s="232"/>
      <c r="AG372" s="232"/>
    </row>
    <row r="373" spans="1:33" x14ac:dyDescent="0.2">
      <c r="A373" s="2"/>
      <c r="B373" s="2"/>
      <c r="C373" s="23"/>
      <c r="D373" s="232"/>
      <c r="E373" s="232"/>
      <c r="F373" s="232"/>
      <c r="G373" s="232"/>
      <c r="H373" s="232"/>
      <c r="I373" s="232"/>
      <c r="J373" s="232"/>
      <c r="K373" s="232"/>
      <c r="L373" s="232"/>
      <c r="M373" s="232"/>
      <c r="N373" s="232"/>
      <c r="O373" s="232"/>
      <c r="P373" s="232"/>
      <c r="Q373" s="232"/>
      <c r="R373" s="232"/>
      <c r="S373" s="232"/>
      <c r="T373" s="232"/>
      <c r="U373" s="232"/>
      <c r="V373" s="232"/>
      <c r="W373" s="232"/>
      <c r="X373" s="232"/>
      <c r="Y373" s="232"/>
      <c r="Z373" s="232"/>
      <c r="AA373" s="232"/>
      <c r="AB373" s="232"/>
      <c r="AC373" s="232"/>
      <c r="AD373" s="232"/>
      <c r="AE373" s="232"/>
      <c r="AF373" s="232"/>
      <c r="AG373" s="232"/>
    </row>
    <row r="374" spans="1:33"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row>
    <row r="375" spans="1:33" x14ac:dyDescent="0.2">
      <c r="A375" s="2"/>
      <c r="B375" s="2"/>
      <c r="C375" s="2"/>
      <c r="D375" s="2"/>
      <c r="E375" s="21" t="s">
        <v>650</v>
      </c>
      <c r="F375" s="13" t="s">
        <v>332</v>
      </c>
      <c r="G375" s="2" t="s">
        <v>651</v>
      </c>
      <c r="H375" s="2"/>
      <c r="I375" s="2"/>
      <c r="J375" s="2"/>
      <c r="K375" s="2"/>
      <c r="L375" s="2"/>
      <c r="M375" s="2"/>
      <c r="N375" s="2" t="s">
        <v>652</v>
      </c>
      <c r="O375" s="2"/>
      <c r="P375" s="2"/>
      <c r="Q375" s="2"/>
      <c r="R375" s="2"/>
      <c r="S375" s="2"/>
      <c r="T375" s="2"/>
      <c r="U375" s="2"/>
      <c r="V375" s="2"/>
      <c r="W375" s="2"/>
      <c r="X375" s="2"/>
      <c r="Y375" s="2"/>
      <c r="Z375" s="2"/>
      <c r="AA375" s="2"/>
      <c r="AB375" s="2"/>
      <c r="AC375" s="2"/>
      <c r="AD375" s="2"/>
      <c r="AE375" s="2"/>
      <c r="AF375" s="2"/>
      <c r="AG375" s="2"/>
    </row>
    <row r="376" spans="1:33" x14ac:dyDescent="0.2">
      <c r="A376" s="2"/>
      <c r="B376" s="2"/>
      <c r="C376" s="2"/>
      <c r="D376" s="2"/>
      <c r="E376" s="2"/>
      <c r="F376" s="13" t="s">
        <v>332</v>
      </c>
      <c r="G376" s="298">
        <f>1300/(1000+G353)</f>
        <v>0.75939015129388399</v>
      </c>
      <c r="H376" s="298"/>
      <c r="I376" s="298"/>
      <c r="J376" s="2"/>
      <c r="K376" s="2"/>
      <c r="L376" s="2"/>
      <c r="M376" s="2"/>
      <c r="N376" s="2"/>
      <c r="O376" s="2"/>
      <c r="P376" s="2"/>
      <c r="Q376" s="2"/>
      <c r="R376" s="2"/>
      <c r="S376" s="2"/>
      <c r="T376" s="2"/>
      <c r="U376" s="2"/>
      <c r="V376" s="2"/>
      <c r="W376" s="2"/>
      <c r="X376" s="2"/>
      <c r="Y376" s="2"/>
      <c r="Z376" s="2"/>
      <c r="AA376" s="2"/>
      <c r="AB376" s="2"/>
      <c r="AC376" s="2"/>
      <c r="AD376" s="2"/>
      <c r="AE376" s="2"/>
      <c r="AF376" s="2"/>
      <c r="AG376" s="2"/>
    </row>
    <row r="377" spans="1:33"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row>
    <row r="378" spans="1:33" ht="15.75" x14ac:dyDescent="0.3">
      <c r="A378" s="2"/>
      <c r="B378" s="2"/>
      <c r="C378" s="2"/>
      <c r="D378" s="2"/>
      <c r="E378" s="25" t="s">
        <v>655</v>
      </c>
      <c r="F378" s="12" t="s">
        <v>332</v>
      </c>
      <c r="G378" s="290">
        <f>G369*G376</f>
        <v>417.12248942041111</v>
      </c>
      <c r="H378" s="290"/>
      <c r="I378" s="290"/>
      <c r="J378" s="57" t="s">
        <v>335</v>
      </c>
      <c r="K378" s="2"/>
      <c r="L378" s="2"/>
      <c r="M378" s="2"/>
      <c r="N378" s="2" t="s">
        <v>654</v>
      </c>
      <c r="O378" s="2"/>
      <c r="P378" s="2"/>
      <c r="Q378" s="2"/>
      <c r="R378" s="2"/>
      <c r="S378" s="2"/>
      <c r="T378" s="2"/>
      <c r="U378" s="2"/>
      <c r="V378" s="2"/>
      <c r="W378" s="2"/>
      <c r="X378" s="2"/>
      <c r="Y378" s="2"/>
      <c r="Z378" s="2"/>
      <c r="AA378" s="2"/>
      <c r="AB378" s="2"/>
      <c r="AC378" s="2"/>
      <c r="AD378" s="2"/>
      <c r="AE378" s="2"/>
      <c r="AF378" s="2"/>
      <c r="AG378" s="2"/>
    </row>
    <row r="379" spans="1:33" ht="15.75" x14ac:dyDescent="0.3">
      <c r="A379" s="2"/>
      <c r="B379" s="2"/>
      <c r="C379" s="2"/>
      <c r="D379" s="2"/>
      <c r="E379" s="21" t="s">
        <v>656</v>
      </c>
      <c r="F379" s="2" t="s">
        <v>332</v>
      </c>
      <c r="G379" s="298">
        <f>G323/G378</f>
        <v>0.22670443849845007</v>
      </c>
      <c r="H379" s="298"/>
      <c r="I379" s="298"/>
      <c r="J379" s="2" t="s">
        <v>653</v>
      </c>
      <c r="K379" s="2"/>
      <c r="L379" s="2"/>
      <c r="M379" s="2"/>
      <c r="N379" s="2"/>
      <c r="O379" s="2"/>
      <c r="P379" s="2"/>
      <c r="Q379" s="2"/>
      <c r="R379" s="2"/>
      <c r="S379" s="2"/>
      <c r="T379" s="2"/>
      <c r="U379" s="2"/>
      <c r="V379" s="2"/>
      <c r="W379" s="2"/>
      <c r="X379" s="2"/>
      <c r="Y379" s="2"/>
      <c r="Z379" s="2"/>
      <c r="AA379" s="2"/>
      <c r="AB379" s="2"/>
      <c r="AC379" s="2"/>
      <c r="AD379" s="2"/>
      <c r="AE379" s="2"/>
      <c r="AF379" s="2"/>
      <c r="AG379" s="2"/>
    </row>
    <row r="380" spans="1:33"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row>
    <row r="381" spans="1:33" x14ac:dyDescent="0.2">
      <c r="A381" s="2"/>
      <c r="B381" s="2"/>
      <c r="C381" s="232" t="s">
        <v>1321</v>
      </c>
      <c r="D381" s="232"/>
      <c r="E381" s="232"/>
      <c r="F381" s="232"/>
      <c r="G381" s="232"/>
      <c r="H381" s="232"/>
      <c r="I381" s="232"/>
      <c r="J381" s="232"/>
      <c r="K381" s="232"/>
      <c r="L381" s="232"/>
      <c r="M381" s="232"/>
      <c r="N381" s="232"/>
      <c r="O381" s="232"/>
      <c r="P381" s="232"/>
      <c r="Q381" s="232"/>
      <c r="R381" s="232"/>
      <c r="S381" s="232"/>
      <c r="T381" s="232"/>
      <c r="U381" s="232"/>
      <c r="V381" s="232"/>
      <c r="W381" s="232"/>
      <c r="X381" s="232"/>
      <c r="Y381" s="232"/>
      <c r="Z381" s="232"/>
      <c r="AA381" s="232"/>
      <c r="AB381" s="232"/>
      <c r="AC381" s="232"/>
      <c r="AD381" s="232"/>
      <c r="AE381" s="232"/>
      <c r="AF381" s="232"/>
      <c r="AG381" s="232"/>
    </row>
    <row r="382" spans="1:33"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row>
    <row r="383" spans="1:33" ht="15" x14ac:dyDescent="0.25">
      <c r="A383" s="2"/>
      <c r="B383"/>
      <c r="C383"/>
      <c r="D383"/>
      <c r="E383"/>
      <c r="F383"/>
      <c r="G383"/>
      <c r="H383"/>
      <c r="I383"/>
      <c r="J383"/>
      <c r="K383"/>
      <c r="L383"/>
      <c r="M383"/>
      <c r="N383"/>
      <c r="O383"/>
      <c r="P383"/>
      <c r="Q383"/>
      <c r="R383"/>
      <c r="S383"/>
      <c r="T383"/>
      <c r="U383"/>
      <c r="V383"/>
      <c r="W383"/>
      <c r="X383"/>
      <c r="Y383"/>
      <c r="Z383"/>
      <c r="AA383"/>
      <c r="AB383"/>
      <c r="AC383"/>
      <c r="AD383"/>
      <c r="AE383"/>
      <c r="AF383"/>
      <c r="AG383"/>
    </row>
    <row r="384" spans="1:33" ht="15" x14ac:dyDescent="0.25">
      <c r="A384" s="2"/>
      <c r="B384"/>
      <c r="C384"/>
      <c r="D384"/>
      <c r="E384"/>
      <c r="F384"/>
      <c r="G384"/>
      <c r="H384"/>
      <c r="I384"/>
      <c r="J384"/>
      <c r="K384"/>
      <c r="L384"/>
      <c r="M384"/>
      <c r="N384"/>
      <c r="O384"/>
      <c r="P384"/>
      <c r="Q384"/>
      <c r="R384"/>
      <c r="S384"/>
      <c r="T384"/>
      <c r="U384"/>
      <c r="V384"/>
      <c r="W384"/>
      <c r="X384"/>
      <c r="Y384"/>
      <c r="Z384"/>
      <c r="AA384"/>
      <c r="AB384"/>
      <c r="AC384"/>
      <c r="AD384"/>
      <c r="AE384"/>
      <c r="AF384"/>
      <c r="AG384"/>
    </row>
    <row r="385" spans="1:33" x14ac:dyDescent="0.2">
      <c r="A385" s="2"/>
      <c r="B385" s="2"/>
      <c r="C385" s="48" t="s">
        <v>1315</v>
      </c>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row>
    <row r="386" spans="1:33" x14ac:dyDescent="0.2">
      <c r="A386" s="2"/>
      <c r="B386" s="2"/>
      <c r="C386" s="232" t="s">
        <v>657</v>
      </c>
      <c r="D386" s="232"/>
      <c r="E386" s="232"/>
      <c r="F386" s="232"/>
      <c r="G386" s="232"/>
      <c r="H386" s="232"/>
      <c r="I386" s="232"/>
      <c r="J386" s="232"/>
      <c r="K386" s="232"/>
      <c r="L386" s="232"/>
      <c r="M386" s="232"/>
      <c r="N386" s="232"/>
      <c r="O386" s="232"/>
      <c r="P386" s="232"/>
      <c r="Q386" s="232"/>
      <c r="R386" s="232"/>
      <c r="S386" s="232"/>
      <c r="T386" s="232"/>
      <c r="U386" s="232"/>
      <c r="V386" s="232"/>
      <c r="W386" s="232"/>
      <c r="X386" s="232"/>
      <c r="Y386" s="232"/>
      <c r="Z386" s="232"/>
      <c r="AA386" s="232"/>
      <c r="AB386" s="232"/>
      <c r="AC386" s="232"/>
      <c r="AD386" s="232"/>
      <c r="AE386" s="232"/>
      <c r="AF386" s="232"/>
      <c r="AG386" s="232"/>
    </row>
    <row r="387" spans="1:33" x14ac:dyDescent="0.2">
      <c r="A387" s="2"/>
      <c r="B387" s="2"/>
      <c r="C387" s="232"/>
      <c r="D387" s="232"/>
      <c r="E387" s="232"/>
      <c r="F387" s="232"/>
      <c r="G387" s="232"/>
      <c r="H387" s="232"/>
      <c r="I387" s="232"/>
      <c r="J387" s="232"/>
      <c r="K387" s="232"/>
      <c r="L387" s="232"/>
      <c r="M387" s="232"/>
      <c r="N387" s="232"/>
      <c r="O387" s="232"/>
      <c r="P387" s="232"/>
      <c r="Q387" s="232"/>
      <c r="R387" s="232"/>
      <c r="S387" s="232"/>
      <c r="T387" s="232"/>
      <c r="U387" s="232"/>
      <c r="V387" s="232"/>
      <c r="W387" s="232"/>
      <c r="X387" s="232"/>
      <c r="Y387" s="232"/>
      <c r="Z387" s="232"/>
      <c r="AA387" s="232"/>
      <c r="AB387" s="232"/>
      <c r="AC387" s="232"/>
      <c r="AD387" s="232"/>
      <c r="AE387" s="232"/>
      <c r="AF387" s="232"/>
      <c r="AG387" s="232"/>
    </row>
    <row r="388" spans="1:33"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row>
    <row r="389" spans="1:33" ht="15" x14ac:dyDescent="0.25">
      <c r="A389" s="2"/>
      <c r="B389" s="2"/>
      <c r="C389" s="2"/>
      <c r="D389" s="2"/>
      <c r="E389" s="25" t="s">
        <v>579</v>
      </c>
      <c r="F389" s="12" t="s">
        <v>332</v>
      </c>
      <c r="G389" s="241">
        <f>'7. Load Development'!P65*1000</f>
        <v>900</v>
      </c>
      <c r="H389" s="241"/>
      <c r="I389" s="241"/>
      <c r="J389" s="29" t="s">
        <v>337</v>
      </c>
      <c r="K389"/>
      <c r="L389"/>
      <c r="M389"/>
      <c r="N389" s="29" t="s">
        <v>671</v>
      </c>
      <c r="O389"/>
      <c r="P389"/>
      <c r="R389" s="29"/>
      <c r="S389" s="29"/>
      <c r="T389" s="29"/>
      <c r="U389" s="29"/>
      <c r="V389" s="29"/>
      <c r="W389" s="29"/>
      <c r="X389" s="29"/>
      <c r="Y389" s="29"/>
      <c r="Z389" s="29"/>
      <c r="AA389" s="29"/>
      <c r="AB389" s="29"/>
      <c r="AC389" s="29"/>
      <c r="AD389" s="29"/>
      <c r="AE389" s="29"/>
      <c r="AF389" s="29"/>
    </row>
    <row r="390" spans="1:33" ht="15" x14ac:dyDescent="0.25">
      <c r="A390" s="2"/>
      <c r="B390" s="2"/>
      <c r="C390" s="2"/>
      <c r="D390" s="2"/>
      <c r="E390" s="25"/>
      <c r="F390" s="12"/>
      <c r="G390" s="64"/>
      <c r="H390" s="64"/>
      <c r="I390" s="64"/>
      <c r="J390" s="29"/>
      <c r="K390"/>
      <c r="L390"/>
      <c r="M390"/>
      <c r="N390" s="29"/>
      <c r="O390"/>
      <c r="P390"/>
      <c r="R390" s="29"/>
      <c r="S390" s="29"/>
      <c r="T390" s="29"/>
      <c r="U390" s="29"/>
      <c r="V390" s="29"/>
      <c r="W390" s="29"/>
      <c r="X390" s="29"/>
      <c r="Y390" s="29"/>
      <c r="Z390" s="29"/>
      <c r="AA390" s="29"/>
      <c r="AB390" s="29"/>
      <c r="AC390" s="29"/>
      <c r="AD390" s="29"/>
      <c r="AE390" s="29"/>
      <c r="AF390" s="29"/>
    </row>
    <row r="391" spans="1:33" ht="15" x14ac:dyDescent="0.25">
      <c r="A391" s="2"/>
      <c r="B391" s="2"/>
      <c r="C391" s="2"/>
      <c r="D391" s="2"/>
      <c r="E391" s="25" t="s">
        <v>590</v>
      </c>
      <c r="F391" s="12" t="s">
        <v>332</v>
      </c>
      <c r="G391" s="365">
        <f>G44</f>
        <v>711.9</v>
      </c>
      <c r="H391" s="365"/>
      <c r="I391" s="365"/>
      <c r="J391" s="29" t="s">
        <v>337</v>
      </c>
      <c r="K391"/>
      <c r="L391"/>
      <c r="M391"/>
      <c r="N391" s="29" t="s">
        <v>666</v>
      </c>
      <c r="O391"/>
      <c r="P391"/>
      <c r="R391" s="29"/>
      <c r="S391" s="29"/>
      <c r="T391" s="29"/>
      <c r="U391" s="29"/>
      <c r="V391" s="29"/>
      <c r="W391" s="29"/>
      <c r="X391" s="29"/>
      <c r="Y391" s="29"/>
      <c r="Z391" s="29"/>
      <c r="AA391" s="29"/>
      <c r="AB391" s="29"/>
      <c r="AC391" s="29"/>
      <c r="AD391" s="29"/>
      <c r="AE391" s="29"/>
      <c r="AF391" s="29"/>
    </row>
    <row r="392" spans="1:33" ht="15.75" x14ac:dyDescent="0.25">
      <c r="A392" s="2"/>
      <c r="B392" s="2"/>
      <c r="C392" s="2"/>
      <c r="D392" s="2"/>
      <c r="E392" s="25" t="s">
        <v>571</v>
      </c>
      <c r="F392" s="12" t="s">
        <v>332</v>
      </c>
      <c r="G392" s="365">
        <v>16</v>
      </c>
      <c r="H392" s="365"/>
      <c r="I392" s="365"/>
      <c r="J392" s="29" t="s">
        <v>337</v>
      </c>
      <c r="K392"/>
      <c r="L392"/>
      <c r="M392"/>
      <c r="N392" s="29" t="s">
        <v>1313</v>
      </c>
      <c r="O392"/>
      <c r="P392"/>
      <c r="R392" s="29"/>
      <c r="S392" s="29"/>
      <c r="T392" s="29"/>
      <c r="U392" s="29"/>
      <c r="V392" s="29"/>
      <c r="W392" s="29"/>
      <c r="X392" s="29"/>
      <c r="Y392" s="29"/>
      <c r="Z392" s="29"/>
      <c r="AA392" s="29"/>
      <c r="AB392" s="29"/>
      <c r="AC392" s="29"/>
      <c r="AD392" s="29"/>
      <c r="AE392" s="29"/>
      <c r="AF392" s="29"/>
    </row>
    <row r="393" spans="1:33" ht="15.75" x14ac:dyDescent="0.25">
      <c r="A393" s="2"/>
      <c r="B393" s="2"/>
      <c r="C393" s="2"/>
      <c r="D393" s="2"/>
      <c r="E393" s="25" t="s">
        <v>572</v>
      </c>
      <c r="F393" s="12" t="s">
        <v>332</v>
      </c>
      <c r="G393" s="371">
        <v>200</v>
      </c>
      <c r="H393" s="371"/>
      <c r="I393" s="371"/>
      <c r="J393" s="29" t="s">
        <v>337</v>
      </c>
      <c r="K393"/>
      <c r="L393"/>
      <c r="M393"/>
      <c r="N393" s="29" t="s">
        <v>1314</v>
      </c>
      <c r="O393"/>
      <c r="P393"/>
      <c r="R393" s="29"/>
      <c r="S393" s="29"/>
      <c r="T393" s="29"/>
      <c r="U393" s="29"/>
      <c r="V393" s="29"/>
      <c r="W393" s="29"/>
      <c r="X393" s="29"/>
      <c r="Y393" s="29"/>
      <c r="Z393" s="29"/>
      <c r="AA393" s="29"/>
      <c r="AB393" s="29"/>
      <c r="AC393" s="29"/>
      <c r="AD393" s="29"/>
      <c r="AE393" s="29"/>
      <c r="AF393" s="29"/>
    </row>
    <row r="394" spans="1:33" ht="15.75" x14ac:dyDescent="0.25">
      <c r="A394" s="2"/>
      <c r="B394" s="2"/>
      <c r="C394" s="2"/>
      <c r="D394" s="2"/>
      <c r="E394" s="25" t="s">
        <v>658</v>
      </c>
      <c r="F394" s="12" t="s">
        <v>332</v>
      </c>
      <c r="G394" s="372">
        <f>0.5*G389-2*(G389-G391)</f>
        <v>73.799999999999955</v>
      </c>
      <c r="H394" s="372"/>
      <c r="I394" s="372"/>
      <c r="J394" s="29" t="s">
        <v>337</v>
      </c>
      <c r="K394"/>
      <c r="L394"/>
      <c r="M394"/>
      <c r="N394" s="29" t="s">
        <v>667</v>
      </c>
      <c r="O394"/>
      <c r="P394"/>
      <c r="R394" s="29"/>
      <c r="S394" s="29"/>
      <c r="T394" s="29"/>
      <c r="U394" s="29"/>
      <c r="V394" s="29"/>
      <c r="W394" s="29"/>
      <c r="X394" s="29"/>
      <c r="Y394" s="29"/>
      <c r="Z394" s="29"/>
      <c r="AA394" s="29"/>
      <c r="AB394" s="29"/>
      <c r="AC394" s="29"/>
      <c r="AD394" s="29"/>
      <c r="AE394" s="29"/>
      <c r="AF394" s="29"/>
    </row>
    <row r="395" spans="1:33" ht="15.75" x14ac:dyDescent="0.25">
      <c r="A395" s="2"/>
      <c r="B395" s="2"/>
      <c r="C395" s="2"/>
      <c r="D395" s="2"/>
      <c r="E395" s="25" t="s">
        <v>659</v>
      </c>
      <c r="F395" s="12" t="s">
        <v>332</v>
      </c>
      <c r="G395" s="241">
        <f>2*(G42+G392/2)</f>
        <v>116</v>
      </c>
      <c r="H395" s="241"/>
      <c r="I395" s="241"/>
      <c r="J395" s="29" t="s">
        <v>337</v>
      </c>
      <c r="K395"/>
      <c r="L395"/>
      <c r="M395"/>
      <c r="N395" s="232" t="s">
        <v>1433</v>
      </c>
      <c r="O395" s="232"/>
      <c r="P395" s="232"/>
      <c r="Q395" s="232"/>
      <c r="R395" s="232"/>
      <c r="S395" s="232"/>
      <c r="T395" s="232"/>
      <c r="U395" s="232"/>
      <c r="V395" s="232"/>
      <c r="W395" s="232"/>
      <c r="X395" s="232"/>
      <c r="Y395" s="232"/>
      <c r="Z395" s="232"/>
      <c r="AA395" s="232"/>
      <c r="AB395" s="232"/>
      <c r="AC395" s="232"/>
    </row>
    <row r="396" spans="1:33" ht="15.75" x14ac:dyDescent="0.25">
      <c r="A396" s="2"/>
      <c r="B396" s="2"/>
      <c r="C396" s="2"/>
      <c r="D396" s="2"/>
      <c r="E396" s="25" t="s">
        <v>660</v>
      </c>
      <c r="F396" s="12" t="s">
        <v>332</v>
      </c>
      <c r="G396" s="241">
        <f>G394*G395</f>
        <v>8560.7999999999956</v>
      </c>
      <c r="H396" s="241"/>
      <c r="I396" s="241"/>
      <c r="J396" s="29" t="s">
        <v>337</v>
      </c>
      <c r="K396"/>
      <c r="L396"/>
      <c r="M396"/>
      <c r="N396" s="57" t="s">
        <v>669</v>
      </c>
      <c r="O396"/>
      <c r="P396"/>
      <c r="R396" s="29"/>
      <c r="S396" s="29"/>
      <c r="T396" s="29"/>
      <c r="U396" s="29"/>
      <c r="V396" s="29"/>
      <c r="W396" s="29"/>
      <c r="X396" s="29"/>
      <c r="Y396" s="29"/>
      <c r="Z396" s="29"/>
      <c r="AA396" s="29"/>
      <c r="AB396" s="29"/>
      <c r="AC396" s="29"/>
      <c r="AD396" s="29"/>
      <c r="AE396" s="29"/>
      <c r="AF396" s="29"/>
    </row>
    <row r="397" spans="1:33" ht="15.75" x14ac:dyDescent="0.25">
      <c r="A397" s="2"/>
      <c r="B397" s="2"/>
      <c r="C397" s="2"/>
      <c r="D397" s="2"/>
      <c r="E397" s="25" t="s">
        <v>668</v>
      </c>
      <c r="F397" s="12" t="s">
        <v>332</v>
      </c>
      <c r="G397" s="241">
        <v>0.01</v>
      </c>
      <c r="H397" s="241"/>
      <c r="I397" s="241"/>
      <c r="J397" s="29"/>
      <c r="K397"/>
      <c r="L397"/>
      <c r="M397"/>
      <c r="N397" s="57" t="s">
        <v>670</v>
      </c>
      <c r="O397"/>
      <c r="P397"/>
      <c r="R397" s="29"/>
      <c r="S397" s="29"/>
      <c r="T397" s="29"/>
      <c r="U397" s="29"/>
      <c r="V397" s="29"/>
      <c r="W397" s="29"/>
      <c r="X397" s="29"/>
      <c r="Y397" s="29"/>
      <c r="Z397" s="29"/>
      <c r="AA397" s="29"/>
      <c r="AB397" s="29"/>
      <c r="AC397" s="29"/>
      <c r="AD397" s="29"/>
      <c r="AE397" s="29"/>
      <c r="AF397" s="29"/>
    </row>
    <row r="398" spans="1:33" ht="15" x14ac:dyDescent="0.25">
      <c r="A398" s="2"/>
      <c r="B398" s="2"/>
      <c r="C398" s="2"/>
      <c r="D398" s="2"/>
      <c r="E398" s="25"/>
      <c r="F398" s="12"/>
      <c r="G398" s="64"/>
      <c r="H398" s="64"/>
      <c r="I398" s="64"/>
      <c r="J398" s="29"/>
      <c r="K398"/>
      <c r="L398"/>
      <c r="M398"/>
      <c r="N398" s="57"/>
      <c r="O398"/>
      <c r="P398"/>
      <c r="R398" s="29"/>
      <c r="S398" s="29"/>
      <c r="T398" s="29"/>
      <c r="U398" s="29"/>
      <c r="V398" s="29"/>
      <c r="W398" s="29"/>
      <c r="X398" s="29"/>
      <c r="Y398" s="29"/>
      <c r="Z398" s="29"/>
      <c r="AA398" s="29"/>
      <c r="AB398" s="29"/>
      <c r="AC398" s="29"/>
      <c r="AD398" s="29"/>
      <c r="AE398" s="29"/>
      <c r="AF398" s="29"/>
    </row>
    <row r="399" spans="1:33" ht="15.75" x14ac:dyDescent="0.25">
      <c r="A399" s="2"/>
      <c r="B399" s="2"/>
      <c r="C399" s="2"/>
      <c r="D399" s="2"/>
      <c r="E399" s="25" t="s">
        <v>661</v>
      </c>
      <c r="F399" s="12" t="s">
        <v>332</v>
      </c>
      <c r="G399" s="347">
        <f>G396*(G397)</f>
        <v>85.607999999999961</v>
      </c>
      <c r="H399" s="347"/>
      <c r="I399" s="347"/>
      <c r="J399" s="29" t="s">
        <v>555</v>
      </c>
      <c r="K399"/>
      <c r="L399"/>
      <c r="M399"/>
      <c r="N399" s="29" t="s">
        <v>941</v>
      </c>
      <c r="O399"/>
      <c r="P399"/>
      <c r="R399" s="29"/>
      <c r="S399" s="29"/>
      <c r="T399" s="29"/>
      <c r="U399" s="29"/>
      <c r="V399" s="29"/>
      <c r="W399" s="29"/>
      <c r="X399" s="29"/>
      <c r="Y399" s="29"/>
      <c r="Z399" s="29"/>
      <c r="AA399" s="29"/>
      <c r="AB399" s="29"/>
      <c r="AC399" s="29"/>
      <c r="AD399" s="29"/>
      <c r="AE399" s="29"/>
      <c r="AF399" s="29"/>
    </row>
    <row r="400" spans="1:33" ht="15.75" x14ac:dyDescent="0.25">
      <c r="A400" s="2"/>
      <c r="B400" s="2"/>
      <c r="C400" s="2"/>
      <c r="D400" s="2"/>
      <c r="E400" s="25" t="s">
        <v>662</v>
      </c>
      <c r="F400" s="12" t="s">
        <v>332</v>
      </c>
      <c r="G400" s="347">
        <v>200</v>
      </c>
      <c r="H400" s="347"/>
      <c r="I400" s="347"/>
      <c r="J400" s="29" t="s">
        <v>555</v>
      </c>
      <c r="K400"/>
      <c r="L400"/>
      <c r="M400"/>
      <c r="N400" s="29" t="s">
        <v>1431</v>
      </c>
      <c r="O400"/>
      <c r="P400"/>
      <c r="R400" s="29"/>
      <c r="S400" s="29"/>
      <c r="T400" s="29"/>
      <c r="U400" s="29"/>
      <c r="V400" s="29"/>
      <c r="W400" s="29"/>
      <c r="X400" s="29"/>
      <c r="Y400" s="29"/>
      <c r="Z400" s="29"/>
      <c r="AA400" s="29"/>
      <c r="AB400" s="29"/>
      <c r="AC400" s="29"/>
      <c r="AD400" s="29"/>
      <c r="AE400" s="29"/>
      <c r="AF400" s="29"/>
    </row>
    <row r="401" spans="1:33" x14ac:dyDescent="0.2">
      <c r="A401" s="2"/>
      <c r="B401" s="29"/>
      <c r="C401" s="29"/>
      <c r="D401" s="29"/>
      <c r="E401" s="2"/>
      <c r="F401" s="2"/>
      <c r="G401" s="2"/>
      <c r="H401" s="2"/>
      <c r="I401" s="2"/>
      <c r="J401" s="2"/>
      <c r="K401" s="22"/>
      <c r="L401" s="22"/>
      <c r="M401" s="22"/>
      <c r="N401" s="2"/>
      <c r="O401" s="2"/>
      <c r="P401" s="2"/>
      <c r="Q401" s="2"/>
      <c r="R401" s="2"/>
      <c r="S401" s="2"/>
      <c r="T401" s="2"/>
      <c r="U401" s="2"/>
      <c r="V401" s="2"/>
      <c r="W401" s="2"/>
      <c r="X401" s="2"/>
      <c r="Y401" s="2"/>
      <c r="Z401" s="2"/>
      <c r="AA401" s="2"/>
      <c r="AB401" s="2"/>
      <c r="AC401" s="2"/>
      <c r="AD401" s="2"/>
      <c r="AE401" s="2"/>
      <c r="AF401" s="2"/>
      <c r="AG401" s="2"/>
    </row>
    <row r="402" spans="1:33" ht="15.75" x14ac:dyDescent="0.3">
      <c r="A402" s="2"/>
      <c r="B402" s="29"/>
      <c r="C402" s="29"/>
      <c r="D402" s="29"/>
      <c r="E402" s="2" t="s">
        <v>1432</v>
      </c>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row>
    <row r="403" spans="1:33" x14ac:dyDescent="0.2">
      <c r="A403" s="2"/>
      <c r="B403" s="29"/>
      <c r="C403" s="29"/>
      <c r="D403" s="29"/>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row>
    <row r="404" spans="1:33" x14ac:dyDescent="0.2">
      <c r="A404" s="2"/>
      <c r="B404" s="29"/>
      <c r="C404" s="29"/>
      <c r="D404" s="29"/>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row>
    <row r="405" spans="1:33" x14ac:dyDescent="0.2">
      <c r="A405" s="2"/>
      <c r="B405" s="29"/>
      <c r="C405" s="29" t="s">
        <v>672</v>
      </c>
      <c r="D405" s="29"/>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row>
    <row r="406" spans="1:33" x14ac:dyDescent="0.2">
      <c r="A406" s="2"/>
      <c r="B406" s="29"/>
      <c r="C406" s="29"/>
      <c r="D406" s="29"/>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row>
    <row r="407" spans="1:33" x14ac:dyDescent="0.2">
      <c r="A407" s="2"/>
      <c r="B407" s="29"/>
      <c r="C407" s="29"/>
      <c r="D407" s="29"/>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row>
    <row r="408" spans="1:33" x14ac:dyDescent="0.2">
      <c r="A408" s="2"/>
      <c r="B408" s="29"/>
      <c r="C408" s="29"/>
      <c r="D408" s="29"/>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row>
    <row r="409" spans="1:33" x14ac:dyDescent="0.2">
      <c r="A409" s="2"/>
      <c r="B409" s="29"/>
      <c r="C409" s="29"/>
      <c r="D409" s="29"/>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row>
    <row r="410" spans="1:33" x14ac:dyDescent="0.2">
      <c r="A410" s="2"/>
      <c r="B410" s="29"/>
      <c r="C410" s="29"/>
      <c r="D410" s="29"/>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row>
    <row r="411" spans="1:33" x14ac:dyDescent="0.2">
      <c r="A411" s="2"/>
      <c r="B411" s="29"/>
      <c r="C411" s="29"/>
      <c r="D411" s="29"/>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row>
    <row r="412" spans="1:33" x14ac:dyDescent="0.2">
      <c r="A412" s="2"/>
      <c r="B412" s="29"/>
      <c r="C412" s="29"/>
      <c r="D412" s="29"/>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row>
    <row r="413" spans="1:33" x14ac:dyDescent="0.2">
      <c r="A413" s="2"/>
      <c r="B413" s="29"/>
      <c r="C413" s="29"/>
      <c r="D413" s="29"/>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row>
    <row r="414" spans="1:33" x14ac:dyDescent="0.2">
      <c r="A414" s="2"/>
      <c r="B414" s="29"/>
      <c r="C414" s="29"/>
      <c r="D414" s="29"/>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row>
    <row r="415" spans="1:33" x14ac:dyDescent="0.2">
      <c r="A415" s="2"/>
      <c r="B415" s="29"/>
      <c r="C415" s="29"/>
      <c r="D415" s="29"/>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row>
    <row r="416" spans="1:33" x14ac:dyDescent="0.2">
      <c r="A416" s="2"/>
      <c r="B416" s="29"/>
      <c r="C416" s="29"/>
      <c r="D416" s="29"/>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row>
    <row r="417" spans="1:33" x14ac:dyDescent="0.2">
      <c r="A417" s="2"/>
      <c r="B417" s="29"/>
      <c r="C417" s="29"/>
      <c r="D417" s="29"/>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row>
    <row r="418" spans="1:33" x14ac:dyDescent="0.2">
      <c r="A418" s="2"/>
      <c r="B418" s="29"/>
      <c r="C418" s="29"/>
      <c r="D418" s="29"/>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row>
    <row r="419" spans="1:33" x14ac:dyDescent="0.2">
      <c r="A419" s="2"/>
      <c r="B419" s="29"/>
      <c r="C419" s="29"/>
      <c r="D419" s="29"/>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row>
    <row r="420" spans="1:33" x14ac:dyDescent="0.2">
      <c r="A420" s="2"/>
      <c r="B420" s="29"/>
      <c r="C420" s="29"/>
      <c r="D420" s="29"/>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row>
    <row r="421" spans="1:33" x14ac:dyDescent="0.2">
      <c r="A421" s="2"/>
      <c r="B421" s="29"/>
      <c r="C421" s="29"/>
      <c r="D421" s="29"/>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row>
    <row r="422" spans="1:33" x14ac:dyDescent="0.2">
      <c r="A422" s="2"/>
      <c r="B422" s="29"/>
      <c r="C422" s="29"/>
      <c r="D422" s="29"/>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row>
    <row r="423" spans="1:33"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row>
    <row r="424" spans="1:33" ht="15" x14ac:dyDescent="0.25">
      <c r="A424" s="2"/>
      <c r="B424" s="4" t="s">
        <v>1322</v>
      </c>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row>
    <row r="425" spans="1:33" x14ac:dyDescent="0.2">
      <c r="A425" s="2"/>
      <c r="B425" s="2" t="s">
        <v>686</v>
      </c>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row>
    <row r="426" spans="1:33" x14ac:dyDescent="0.2">
      <c r="A426" s="2"/>
      <c r="B426" s="2" t="s">
        <v>1324</v>
      </c>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row>
    <row r="427" spans="1:33"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row>
    <row r="428" spans="1:33"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row>
    <row r="429" spans="1:33" x14ac:dyDescent="0.2">
      <c r="A429" s="2"/>
      <c r="B429" s="2"/>
      <c r="C429" s="48" t="s">
        <v>1323</v>
      </c>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row>
    <row r="430" spans="1:33" x14ac:dyDescent="0.2">
      <c r="A430" s="2"/>
      <c r="B430" s="2"/>
      <c r="C430" s="232" t="s">
        <v>1029</v>
      </c>
      <c r="D430" s="232"/>
      <c r="E430" s="232"/>
      <c r="F430" s="232"/>
      <c r="G430" s="232"/>
      <c r="H430" s="232"/>
      <c r="I430" s="232"/>
      <c r="J430" s="232"/>
      <c r="K430" s="232"/>
      <c r="L430" s="232"/>
      <c r="M430" s="232"/>
      <c r="N430" s="232"/>
      <c r="O430" s="232"/>
      <c r="P430" s="232"/>
      <c r="Q430" s="232"/>
      <c r="R430" s="232"/>
      <c r="S430" s="232"/>
      <c r="T430" s="232"/>
      <c r="U430" s="232"/>
      <c r="V430" s="232"/>
      <c r="W430" s="232"/>
      <c r="X430" s="232"/>
      <c r="Y430" s="232"/>
      <c r="Z430" s="232"/>
      <c r="AA430" s="232"/>
      <c r="AB430" s="232"/>
      <c r="AC430" s="232"/>
      <c r="AD430" s="232"/>
      <c r="AE430" s="232"/>
      <c r="AF430" s="232"/>
      <c r="AG430" s="232"/>
    </row>
    <row r="431" spans="1:33" x14ac:dyDescent="0.2">
      <c r="A431" s="2"/>
      <c r="B431" s="2"/>
      <c r="C431" s="232"/>
      <c r="D431" s="232"/>
      <c r="E431" s="232"/>
      <c r="F431" s="232"/>
      <c r="G431" s="232"/>
      <c r="H431" s="232"/>
      <c r="I431" s="232"/>
      <c r="J431" s="232"/>
      <c r="K431" s="232"/>
      <c r="L431" s="232"/>
      <c r="M431" s="232"/>
      <c r="N431" s="232"/>
      <c r="O431" s="232"/>
      <c r="P431" s="232"/>
      <c r="Q431" s="232"/>
      <c r="R431" s="232"/>
      <c r="S431" s="232"/>
      <c r="T431" s="232"/>
      <c r="U431" s="232"/>
      <c r="V431" s="232"/>
      <c r="W431" s="232"/>
      <c r="X431" s="232"/>
      <c r="Y431" s="232"/>
      <c r="Z431" s="232"/>
      <c r="AA431" s="232"/>
      <c r="AB431" s="232"/>
      <c r="AC431" s="232"/>
      <c r="AD431" s="232"/>
      <c r="AE431" s="232"/>
      <c r="AF431" s="232"/>
      <c r="AG431" s="232"/>
    </row>
    <row r="432" spans="1:33"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row>
    <row r="433" spans="1:33" ht="15.75" x14ac:dyDescent="0.3">
      <c r="A433" s="2"/>
      <c r="B433" s="2"/>
      <c r="C433" s="2" t="s">
        <v>687</v>
      </c>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row>
    <row r="434" spans="1:33" ht="15.75" x14ac:dyDescent="0.3">
      <c r="A434" s="2"/>
      <c r="B434" s="2"/>
      <c r="C434" s="2" t="s">
        <v>688</v>
      </c>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row>
    <row r="435" spans="1:33"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row>
    <row r="436" spans="1:33" ht="15.75" x14ac:dyDescent="0.3">
      <c r="A436" s="2"/>
      <c r="B436" s="2"/>
      <c r="C436" s="2"/>
      <c r="D436" s="2"/>
      <c r="E436" s="21" t="s">
        <v>532</v>
      </c>
      <c r="F436" s="13" t="s">
        <v>332</v>
      </c>
      <c r="G436" s="2" t="s">
        <v>536</v>
      </c>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row>
    <row r="437" spans="1:33" ht="15.75" x14ac:dyDescent="0.3">
      <c r="A437" s="2"/>
      <c r="B437" s="2"/>
      <c r="C437" s="2"/>
      <c r="D437" s="2"/>
      <c r="E437" s="21" t="s">
        <v>533</v>
      </c>
      <c r="F437" s="13" t="s">
        <v>332</v>
      </c>
      <c r="G437" s="2" t="s">
        <v>537</v>
      </c>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row>
    <row r="438" spans="1:33" ht="15.75" x14ac:dyDescent="0.3">
      <c r="A438" s="2"/>
      <c r="C438" s="2"/>
      <c r="D438" s="2"/>
      <c r="E438" s="21" t="s">
        <v>535</v>
      </c>
      <c r="F438" s="13" t="s">
        <v>332</v>
      </c>
      <c r="G438" s="2" t="s">
        <v>695</v>
      </c>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row>
    <row r="439" spans="1:33" x14ac:dyDescent="0.2">
      <c r="A439" s="2"/>
      <c r="B439" s="2"/>
      <c r="C439" s="2"/>
      <c r="D439" s="2"/>
      <c r="E439" s="21"/>
      <c r="F439" s="13"/>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row>
    <row r="440" spans="1:33" ht="15.75" x14ac:dyDescent="0.3">
      <c r="A440" s="2"/>
      <c r="B440" s="2"/>
      <c r="C440" s="2"/>
      <c r="D440" s="2"/>
      <c r="E440" s="21" t="s">
        <v>689</v>
      </c>
      <c r="F440" s="13" t="s">
        <v>332</v>
      </c>
      <c r="G440" s="284">
        <f>'6. Pump Info'!J39</f>
        <v>10</v>
      </c>
      <c r="H440" s="284"/>
      <c r="I440" s="284"/>
      <c r="J440" s="2"/>
      <c r="K440" s="2"/>
      <c r="L440" s="2" t="s">
        <v>692</v>
      </c>
      <c r="M440" s="2"/>
      <c r="N440" s="2"/>
      <c r="O440" s="2"/>
      <c r="P440" s="2"/>
      <c r="Q440" s="2"/>
      <c r="R440" s="2"/>
      <c r="S440" s="2"/>
      <c r="T440" s="2"/>
      <c r="U440" s="2"/>
      <c r="V440" s="2"/>
      <c r="W440" s="2"/>
      <c r="X440" s="2"/>
      <c r="Y440" s="2"/>
      <c r="Z440" s="2"/>
      <c r="AA440" s="2"/>
      <c r="AB440" s="2"/>
      <c r="AC440" s="2"/>
      <c r="AD440" s="2"/>
      <c r="AE440" s="2"/>
      <c r="AF440" s="2"/>
      <c r="AG440" s="2"/>
    </row>
    <row r="441" spans="1:33" ht="15.75" x14ac:dyDescent="0.3">
      <c r="A441" s="2"/>
      <c r="B441" s="2"/>
      <c r="C441" s="2"/>
      <c r="D441" s="2"/>
      <c r="E441" s="21" t="s">
        <v>541</v>
      </c>
      <c r="F441" s="13" t="s">
        <v>332</v>
      </c>
      <c r="G441" s="284">
        <f>G440/2</f>
        <v>5</v>
      </c>
      <c r="H441" s="284"/>
      <c r="I441" s="284"/>
      <c r="J441" s="2"/>
      <c r="K441" s="2"/>
      <c r="L441" s="2" t="s">
        <v>690</v>
      </c>
      <c r="M441" s="2"/>
      <c r="N441" s="2"/>
      <c r="O441" s="2"/>
      <c r="P441" s="2"/>
      <c r="Q441" s="2"/>
      <c r="R441" s="2"/>
      <c r="S441" s="2"/>
      <c r="T441" s="2"/>
      <c r="U441" s="2"/>
      <c r="V441" s="2"/>
      <c r="W441" s="2"/>
      <c r="X441" s="2"/>
      <c r="Y441" s="2"/>
      <c r="Z441" s="2"/>
      <c r="AA441" s="2"/>
      <c r="AB441" s="2"/>
      <c r="AC441" s="2"/>
      <c r="AD441" s="2"/>
      <c r="AE441" s="2"/>
      <c r="AF441" s="2"/>
      <c r="AG441" s="2"/>
    </row>
    <row r="442" spans="1:33" x14ac:dyDescent="0.2">
      <c r="A442" s="2"/>
      <c r="B442" s="2"/>
      <c r="C442" s="2"/>
      <c r="D442" s="2"/>
      <c r="E442" s="21" t="s">
        <v>513</v>
      </c>
      <c r="F442" s="13" t="s">
        <v>332</v>
      </c>
      <c r="G442" s="285">
        <f>'6. Pump Info'!J37</f>
        <v>1.429</v>
      </c>
      <c r="H442" s="285"/>
      <c r="I442" s="285"/>
      <c r="J442" s="2" t="s">
        <v>340</v>
      </c>
      <c r="K442" s="2"/>
      <c r="L442" s="2" t="s">
        <v>691</v>
      </c>
      <c r="M442" s="2"/>
      <c r="N442" s="2"/>
      <c r="O442" s="2"/>
      <c r="P442" s="2"/>
      <c r="Q442" s="2"/>
      <c r="R442" s="2"/>
      <c r="S442" s="2"/>
      <c r="T442" s="2"/>
      <c r="U442" s="2"/>
      <c r="V442" s="2"/>
      <c r="W442" s="2"/>
      <c r="X442" s="2"/>
      <c r="Y442" s="2"/>
      <c r="Z442" s="2"/>
      <c r="AA442" s="2"/>
      <c r="AB442" s="2"/>
      <c r="AC442" s="2"/>
      <c r="AD442" s="2"/>
      <c r="AE442" s="2"/>
      <c r="AF442" s="2"/>
      <c r="AG442" s="2"/>
    </row>
    <row r="443" spans="1:33"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row>
    <row r="444" spans="1:33"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row>
    <row r="445" spans="1:33" x14ac:dyDescent="0.2">
      <c r="A445" s="2"/>
      <c r="B445" s="2"/>
      <c r="C445" s="2"/>
      <c r="D445" s="24" t="s">
        <v>1330</v>
      </c>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row>
    <row r="446" spans="1:33" x14ac:dyDescent="0.2">
      <c r="A446" s="2"/>
      <c r="B446" s="2"/>
      <c r="C446" s="2"/>
      <c r="D446" s="2" t="s">
        <v>1434</v>
      </c>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row>
    <row r="447" spans="1:33"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row>
    <row r="448" spans="1:33" x14ac:dyDescent="0.2">
      <c r="A448" s="2"/>
      <c r="B448" s="2"/>
      <c r="D448" s="2"/>
      <c r="E448" s="2"/>
      <c r="F448" s="2"/>
      <c r="G448" s="239" t="s">
        <v>887</v>
      </c>
      <c r="H448" s="239"/>
      <c r="I448" s="239"/>
      <c r="J448" s="239"/>
      <c r="K448" s="239"/>
      <c r="L448" s="239"/>
      <c r="M448" s="239"/>
      <c r="N448" s="239"/>
      <c r="O448" s="239"/>
      <c r="P448" s="2"/>
      <c r="Q448" s="239" t="s">
        <v>707</v>
      </c>
      <c r="R448" s="239"/>
      <c r="S448" s="239"/>
      <c r="T448" s="239"/>
      <c r="U448" s="239"/>
      <c r="V448" s="239"/>
      <c r="W448" s="2"/>
      <c r="X448" s="2"/>
      <c r="Y448" s="2"/>
      <c r="Z448" s="2"/>
      <c r="AA448" s="2"/>
      <c r="AB448" s="2"/>
      <c r="AC448" s="2"/>
      <c r="AD448" s="2"/>
      <c r="AE448" s="2"/>
      <c r="AF448" s="2"/>
      <c r="AG448" s="2"/>
    </row>
    <row r="449" spans="1:33" x14ac:dyDescent="0.2">
      <c r="A449" s="2"/>
      <c r="B449" s="2"/>
      <c r="D449" s="2"/>
      <c r="E449" s="2"/>
      <c r="F449" s="2"/>
      <c r="G449" s="358" t="s">
        <v>544</v>
      </c>
      <c r="H449" s="358"/>
      <c r="I449" s="358"/>
      <c r="J449" s="358" t="s">
        <v>545</v>
      </c>
      <c r="K449" s="358"/>
      <c r="L449" s="358"/>
      <c r="M449" s="358" t="s">
        <v>1247</v>
      </c>
      <c r="N449" s="358"/>
      <c r="O449" s="358"/>
      <c r="P449" s="2"/>
      <c r="Q449" s="358" t="s">
        <v>544</v>
      </c>
      <c r="R449" s="358"/>
      <c r="S449" s="358"/>
      <c r="T449" s="358" t="s">
        <v>545</v>
      </c>
      <c r="U449" s="358"/>
      <c r="V449" s="358"/>
      <c r="W449" s="2"/>
      <c r="X449" s="2"/>
      <c r="Y449" s="2"/>
      <c r="Z449" s="2"/>
      <c r="AA449" s="2"/>
      <c r="AB449" s="2"/>
      <c r="AC449" s="2"/>
      <c r="AD449" s="2"/>
      <c r="AE449" s="2"/>
      <c r="AF449" s="2"/>
      <c r="AG449" s="2"/>
    </row>
    <row r="450" spans="1:33" x14ac:dyDescent="0.2">
      <c r="A450" s="2"/>
      <c r="B450" s="2"/>
      <c r="D450" s="2"/>
      <c r="E450" s="2"/>
      <c r="F450" s="2"/>
      <c r="G450" s="359"/>
      <c r="H450" s="359"/>
      <c r="I450" s="359"/>
      <c r="J450" s="359"/>
      <c r="K450" s="359"/>
      <c r="L450" s="359"/>
      <c r="M450" s="359"/>
      <c r="N450" s="359"/>
      <c r="O450" s="359"/>
      <c r="P450" s="2"/>
      <c r="Q450" s="359"/>
      <c r="R450" s="359"/>
      <c r="S450" s="359"/>
      <c r="T450" s="359"/>
      <c r="U450" s="359"/>
      <c r="V450" s="359"/>
      <c r="W450" s="2"/>
      <c r="X450" s="2"/>
      <c r="Y450" s="2"/>
      <c r="Z450" s="2"/>
      <c r="AA450" s="2"/>
      <c r="AB450" s="2"/>
      <c r="AC450" s="2"/>
      <c r="AD450" s="2"/>
      <c r="AE450" s="2"/>
      <c r="AF450" s="2"/>
      <c r="AG450" s="2"/>
    </row>
    <row r="451" spans="1:33" x14ac:dyDescent="0.2">
      <c r="A451" s="2"/>
      <c r="B451" s="2"/>
      <c r="D451" s="239" t="s">
        <v>131</v>
      </c>
      <c r="E451" s="239"/>
      <c r="F451" s="239"/>
      <c r="G451" s="296">
        <v>0</v>
      </c>
      <c r="H451" s="296"/>
      <c r="I451" s="296"/>
      <c r="J451" s="239">
        <v>0</v>
      </c>
      <c r="K451" s="239"/>
      <c r="L451" s="239"/>
      <c r="M451" s="239">
        <v>0</v>
      </c>
      <c r="N451" s="239"/>
      <c r="O451" s="239"/>
      <c r="P451" s="2"/>
      <c r="Q451" s="360">
        <f>G451/$G$440+M451/$G$442/$G$441</f>
        <v>0</v>
      </c>
      <c r="R451" s="360"/>
      <c r="S451" s="360"/>
      <c r="T451" s="360">
        <f>J451/$G$440</f>
        <v>0</v>
      </c>
      <c r="U451" s="360"/>
      <c r="V451" s="360"/>
      <c r="W451" s="2" t="s">
        <v>1435</v>
      </c>
      <c r="X451" s="2"/>
      <c r="Y451" s="2"/>
      <c r="Z451" s="2"/>
      <c r="AA451" s="2"/>
      <c r="AB451" s="2"/>
      <c r="AC451" s="2"/>
      <c r="AD451" s="2"/>
      <c r="AE451" s="2"/>
      <c r="AF451" s="2"/>
      <c r="AG451" s="2"/>
    </row>
    <row r="452" spans="1:33" x14ac:dyDescent="0.2">
      <c r="A452" s="2"/>
      <c r="B452" s="2"/>
      <c r="D452" s="239" t="s">
        <v>135</v>
      </c>
      <c r="E452" s="239"/>
      <c r="F452" s="239"/>
      <c r="G452" s="296">
        <f>'7. Load Development'!H148</f>
        <v>50.097999999999999</v>
      </c>
      <c r="H452" s="296"/>
      <c r="I452" s="296"/>
      <c r="J452" s="239">
        <v>0</v>
      </c>
      <c r="K452" s="239"/>
      <c r="L452" s="239"/>
      <c r="M452" s="239">
        <v>0</v>
      </c>
      <c r="N452" s="239"/>
      <c r="O452" s="239"/>
      <c r="P452" s="2"/>
      <c r="Q452" s="296">
        <f t="shared" ref="Q452:Q454" si="0">G452/$G$440+M452/$G$442/$G$441</f>
        <v>5.0098000000000003</v>
      </c>
      <c r="R452" s="296"/>
      <c r="S452" s="296"/>
      <c r="T452" s="360">
        <f t="shared" ref="T452:T454" si="1">J452/$G$440</f>
        <v>0</v>
      </c>
      <c r="U452" s="360"/>
      <c r="V452" s="360"/>
      <c r="W452" s="2"/>
      <c r="X452" s="2"/>
      <c r="Y452" s="2"/>
      <c r="Z452" s="2"/>
      <c r="AA452" s="2"/>
      <c r="AB452" s="2"/>
      <c r="AC452" s="2"/>
      <c r="AD452" s="2"/>
      <c r="AE452" s="2"/>
      <c r="AF452" s="2"/>
      <c r="AG452" s="2"/>
    </row>
    <row r="453" spans="1:33" x14ac:dyDescent="0.2">
      <c r="A453" s="2"/>
      <c r="B453" s="2"/>
      <c r="D453" s="239" t="s">
        <v>136</v>
      </c>
      <c r="E453" s="239"/>
      <c r="F453" s="239"/>
      <c r="G453" s="296">
        <f>'7. Load Development'!H155</f>
        <v>36.679590000000005</v>
      </c>
      <c r="H453" s="296"/>
      <c r="I453" s="296"/>
      <c r="J453" s="239">
        <v>0</v>
      </c>
      <c r="K453" s="239"/>
      <c r="L453" s="239"/>
      <c r="M453" s="239">
        <v>0</v>
      </c>
      <c r="N453" s="239"/>
      <c r="O453" s="239"/>
      <c r="P453" s="2"/>
      <c r="Q453" s="296">
        <f t="shared" si="0"/>
        <v>3.6679590000000006</v>
      </c>
      <c r="R453" s="296"/>
      <c r="S453" s="296"/>
      <c r="T453" s="360">
        <f t="shared" si="1"/>
        <v>0</v>
      </c>
      <c r="U453" s="360"/>
      <c r="V453" s="360"/>
      <c r="W453" s="2"/>
      <c r="X453" s="2"/>
      <c r="Y453" s="2"/>
      <c r="Z453" s="2"/>
      <c r="AA453" s="2"/>
      <c r="AB453" s="2"/>
      <c r="AC453" s="2"/>
      <c r="AD453" s="2"/>
      <c r="AE453" s="2"/>
      <c r="AF453" s="2"/>
      <c r="AG453" s="2"/>
    </row>
    <row r="454" spans="1:33" x14ac:dyDescent="0.2">
      <c r="A454" s="2"/>
      <c r="B454" s="2"/>
      <c r="D454" s="239" t="s">
        <v>174</v>
      </c>
      <c r="E454" s="239"/>
      <c r="F454" s="239"/>
      <c r="G454" s="360">
        <v>0</v>
      </c>
      <c r="H454" s="360"/>
      <c r="I454" s="360"/>
      <c r="J454" s="296">
        <f>'7. Load Development'!H257</f>
        <v>9.3841063056000014</v>
      </c>
      <c r="K454" s="296"/>
      <c r="L454" s="296"/>
      <c r="M454" s="296">
        <f>'7. Load Development'!H292</f>
        <v>5.5929273581376009</v>
      </c>
      <c r="N454" s="296"/>
      <c r="O454" s="296"/>
      <c r="P454" s="2"/>
      <c r="Q454" s="296">
        <f t="shared" si="0"/>
        <v>0.78277499763997205</v>
      </c>
      <c r="R454" s="296"/>
      <c r="S454" s="296"/>
      <c r="T454" s="296">
        <f t="shared" si="1"/>
        <v>0.93841063056000018</v>
      </c>
      <c r="U454" s="296"/>
      <c r="V454" s="296"/>
      <c r="W454" s="2"/>
      <c r="X454" s="2"/>
      <c r="Y454" s="2"/>
      <c r="Z454" s="2"/>
      <c r="AA454" s="2"/>
      <c r="AB454" s="2"/>
      <c r="AC454" s="2"/>
      <c r="AD454" s="2"/>
      <c r="AE454" s="2"/>
      <c r="AF454" s="2"/>
      <c r="AG454" s="2"/>
    </row>
    <row r="455" spans="1:33" ht="15.75" x14ac:dyDescent="0.3">
      <c r="A455" s="2"/>
      <c r="B455" s="2"/>
      <c r="D455" s="239" t="s">
        <v>1246</v>
      </c>
      <c r="E455" s="239"/>
      <c r="F455" s="239"/>
      <c r="G455" s="296">
        <f>'7. Load Development'!H402</f>
        <v>5.1070000000000002</v>
      </c>
      <c r="H455" s="296"/>
      <c r="I455" s="296"/>
      <c r="J455" s="296">
        <f>'7. Load Development'!H403</f>
        <v>4.7886502624671916</v>
      </c>
      <c r="K455" s="296"/>
      <c r="L455" s="296"/>
      <c r="M455" s="296">
        <f>'7. Load Development'!G822</f>
        <v>0</v>
      </c>
      <c r="N455" s="296"/>
      <c r="O455" s="296"/>
      <c r="P455" s="2"/>
      <c r="Q455" s="296">
        <f>G455</f>
        <v>5.1070000000000002</v>
      </c>
      <c r="R455" s="296"/>
      <c r="S455" s="296"/>
      <c r="T455" s="296">
        <f>J455</f>
        <v>4.7886502624671916</v>
      </c>
      <c r="U455" s="296"/>
      <c r="V455" s="296"/>
      <c r="W455" s="2" t="s">
        <v>1341</v>
      </c>
      <c r="X455" s="2"/>
      <c r="Z455" s="2"/>
      <c r="AA455" s="2"/>
      <c r="AB455" s="2"/>
      <c r="AC455" s="2"/>
      <c r="AD455" s="2"/>
      <c r="AE455" s="2"/>
      <c r="AF455" s="2"/>
      <c r="AG455" s="2"/>
    </row>
    <row r="456" spans="1:33" x14ac:dyDescent="0.2">
      <c r="A456" s="2"/>
      <c r="B456" s="2"/>
      <c r="C456" s="2"/>
      <c r="AC456" s="2"/>
      <c r="AD456" s="2"/>
      <c r="AE456" s="2"/>
      <c r="AF456" s="2"/>
      <c r="AG456" s="2"/>
    </row>
    <row r="457" spans="1:33" x14ac:dyDescent="0.2">
      <c r="A457" s="2"/>
      <c r="B457" s="2"/>
      <c r="C457" s="2"/>
      <c r="AC457" s="2"/>
      <c r="AD457" s="2"/>
      <c r="AE457" s="2"/>
      <c r="AF457" s="2"/>
      <c r="AG457" s="2"/>
    </row>
    <row r="458" spans="1:33" x14ac:dyDescent="0.2">
      <c r="A458" s="2"/>
      <c r="B458" s="2"/>
      <c r="C458" s="2"/>
      <c r="AC458" s="2"/>
      <c r="AD458" s="2"/>
      <c r="AE458" s="2"/>
      <c r="AF458" s="2"/>
      <c r="AG458" s="2"/>
    </row>
    <row r="459" spans="1:33" x14ac:dyDescent="0.2">
      <c r="A459" s="2"/>
      <c r="B459" s="2"/>
      <c r="C459" s="2"/>
      <c r="D459" s="24" t="s">
        <v>1331</v>
      </c>
      <c r="AC459" s="2"/>
      <c r="AD459" s="2"/>
      <c r="AE459" s="2"/>
      <c r="AF459" s="2"/>
      <c r="AG459" s="2"/>
    </row>
    <row r="460" spans="1:33" x14ac:dyDescent="0.2">
      <c r="A460" s="2"/>
      <c r="B460" s="2"/>
      <c r="C460" s="2"/>
      <c r="AC460" s="2"/>
      <c r="AD460" s="2"/>
      <c r="AE460" s="2"/>
      <c r="AF460" s="2"/>
      <c r="AG460" s="2"/>
    </row>
    <row r="461" spans="1:33" x14ac:dyDescent="0.2">
      <c r="A461" s="2"/>
      <c r="B461" s="2"/>
      <c r="C461" s="2"/>
      <c r="D461" s="2"/>
      <c r="E461" s="2"/>
      <c r="F461" s="2"/>
      <c r="G461" s="366" t="s">
        <v>707</v>
      </c>
      <c r="H461" s="366"/>
      <c r="I461" s="366"/>
      <c r="J461" s="366"/>
      <c r="K461" s="366"/>
      <c r="L461" s="366"/>
      <c r="AC461" s="2"/>
      <c r="AD461" s="2"/>
      <c r="AE461" s="2"/>
      <c r="AF461" s="2"/>
      <c r="AG461" s="2"/>
    </row>
    <row r="462" spans="1:33" x14ac:dyDescent="0.2">
      <c r="A462" s="2"/>
      <c r="B462" s="2"/>
      <c r="C462" s="2"/>
      <c r="D462" s="2"/>
      <c r="E462" s="2"/>
      <c r="F462" s="2"/>
      <c r="G462" s="358" t="s">
        <v>544</v>
      </c>
      <c r="H462" s="358"/>
      <c r="I462" s="358"/>
      <c r="J462" s="358" t="s">
        <v>545</v>
      </c>
      <c r="K462" s="358"/>
      <c r="L462" s="358"/>
      <c r="AC462" s="2"/>
      <c r="AD462" s="2"/>
      <c r="AE462" s="2"/>
      <c r="AF462" s="2"/>
      <c r="AG462" s="2"/>
    </row>
    <row r="463" spans="1:33" x14ac:dyDescent="0.2">
      <c r="A463" s="2"/>
      <c r="B463" s="2"/>
      <c r="C463" s="2"/>
      <c r="D463" s="2"/>
      <c r="E463" s="2"/>
      <c r="F463" s="2"/>
      <c r="G463" s="359"/>
      <c r="H463" s="359"/>
      <c r="I463" s="359"/>
      <c r="J463" s="359"/>
      <c r="K463" s="359"/>
      <c r="L463" s="359"/>
      <c r="AC463" s="2"/>
      <c r="AD463" s="2"/>
      <c r="AE463" s="2"/>
      <c r="AF463" s="2"/>
      <c r="AG463" s="2"/>
    </row>
    <row r="464" spans="1:33" x14ac:dyDescent="0.2">
      <c r="A464" s="2"/>
      <c r="B464" s="2"/>
      <c r="C464" s="2"/>
      <c r="D464" s="239" t="s">
        <v>548</v>
      </c>
      <c r="E464" s="239"/>
      <c r="F464" s="239"/>
      <c r="G464" s="296">
        <f>1.4*(Q451+Q452)</f>
        <v>7.0137200000000002</v>
      </c>
      <c r="H464" s="296"/>
      <c r="I464" s="296"/>
      <c r="J464" s="296">
        <f>1.4*(T451+T452)</f>
        <v>0</v>
      </c>
      <c r="K464" s="296"/>
      <c r="L464" s="296"/>
      <c r="AC464" s="2"/>
      <c r="AD464" s="2"/>
      <c r="AE464" s="2"/>
      <c r="AF464" s="2"/>
      <c r="AG464" s="2"/>
    </row>
    <row r="465" spans="1:33" x14ac:dyDescent="0.2">
      <c r="A465" s="2"/>
      <c r="B465" s="2"/>
      <c r="C465" s="2"/>
      <c r="D465" s="239" t="s">
        <v>549</v>
      </c>
      <c r="E465" s="239"/>
      <c r="F465" s="239"/>
      <c r="G465" s="296">
        <f>1.25*(Q451+Q452)+1.5*Q455</f>
        <v>13.922750000000001</v>
      </c>
      <c r="H465" s="296"/>
      <c r="I465" s="296"/>
      <c r="J465" s="296">
        <f>1.25*(T451+T452)+1.5*T455</f>
        <v>7.1829753937007874</v>
      </c>
      <c r="K465" s="296"/>
      <c r="L465" s="296"/>
      <c r="M465" s="2"/>
      <c r="N465" s="2"/>
      <c r="O465" s="2"/>
      <c r="P465" s="2"/>
      <c r="Q465" s="2"/>
      <c r="R465" s="2"/>
      <c r="S465" s="2"/>
      <c r="T465" s="2"/>
      <c r="U465" s="2"/>
      <c r="V465" s="2"/>
      <c r="W465" s="2"/>
      <c r="X465" s="2"/>
      <c r="Y465" s="2"/>
      <c r="Z465" s="2"/>
      <c r="AA465" s="2"/>
      <c r="AB465" s="2"/>
      <c r="AC465" s="2"/>
      <c r="AD465" s="2"/>
      <c r="AE465" s="2"/>
      <c r="AF465" s="2"/>
      <c r="AG465" s="2"/>
    </row>
    <row r="466" spans="1:33" x14ac:dyDescent="0.2">
      <c r="A466" s="2"/>
      <c r="B466" s="2"/>
      <c r="C466" s="2"/>
      <c r="D466" s="239" t="s">
        <v>550</v>
      </c>
      <c r="E466" s="239"/>
      <c r="F466" s="239"/>
      <c r="G466" s="236">
        <f>0.9*(Q451+Q453)-1.5*Q455</f>
        <v>-4.3593369000000006</v>
      </c>
      <c r="H466" s="237"/>
      <c r="I466" s="238"/>
      <c r="J466" s="236">
        <f>ABS(0.9*(T451+T453)-1.5*T455)</f>
        <v>7.1829753937007874</v>
      </c>
      <c r="K466" s="237"/>
      <c r="L466" s="238"/>
      <c r="M466" s="2"/>
      <c r="N466" s="2"/>
      <c r="O466" s="2"/>
      <c r="P466" s="2"/>
      <c r="Q466" s="2"/>
      <c r="R466" s="2"/>
      <c r="S466" s="2"/>
      <c r="T466" s="2"/>
      <c r="U466" s="2"/>
      <c r="V466" s="2"/>
      <c r="W466" s="2"/>
      <c r="X466" s="2"/>
      <c r="Y466" s="2"/>
      <c r="Z466" s="2"/>
      <c r="AA466" s="2"/>
      <c r="AB466" s="2"/>
      <c r="AC466" s="2"/>
      <c r="AD466" s="2"/>
      <c r="AE466" s="2"/>
      <c r="AF466" s="2"/>
      <c r="AG466" s="2"/>
    </row>
    <row r="467" spans="1:33" x14ac:dyDescent="0.2">
      <c r="A467" s="2"/>
      <c r="B467" s="2"/>
      <c r="C467" s="2"/>
      <c r="D467" s="239" t="s">
        <v>694</v>
      </c>
      <c r="E467" s="239"/>
      <c r="F467" s="239"/>
      <c r="G467" s="236">
        <f>1*(Q451+Q452)+1*Q454+1.5*Q455</f>
        <v>13.453074997639973</v>
      </c>
      <c r="H467" s="237"/>
      <c r="I467" s="238"/>
      <c r="J467" s="236">
        <f>1*(T451+T452)+1*T454+1.5*T455</f>
        <v>8.1213860242607883</v>
      </c>
      <c r="K467" s="237"/>
      <c r="L467" s="238"/>
      <c r="M467" s="2"/>
      <c r="N467" s="2"/>
      <c r="O467" s="2"/>
      <c r="P467" s="2"/>
      <c r="Q467" s="2"/>
      <c r="R467" s="2"/>
      <c r="S467" s="2"/>
      <c r="T467" s="2"/>
      <c r="U467" s="2"/>
      <c r="V467" s="2"/>
      <c r="W467" s="2"/>
      <c r="X467" s="2"/>
      <c r="Y467" s="2"/>
      <c r="Z467" s="2"/>
      <c r="AA467" s="2"/>
      <c r="AB467" s="2"/>
      <c r="AC467" s="2"/>
      <c r="AD467" s="2"/>
      <c r="AE467" s="2"/>
      <c r="AF467" s="2"/>
      <c r="AG467" s="2"/>
    </row>
    <row r="468" spans="1:33" x14ac:dyDescent="0.2">
      <c r="A468" s="2"/>
      <c r="B468" s="2"/>
      <c r="C468" s="2"/>
      <c r="D468" s="239" t="s">
        <v>700</v>
      </c>
      <c r="E468" s="239"/>
      <c r="F468" s="239"/>
      <c r="G468" s="236">
        <f>1*(Q451+Q453)-1*Q454-1.5*Q455</f>
        <v>-4.7753159976399724</v>
      </c>
      <c r="H468" s="237"/>
      <c r="I468" s="238"/>
      <c r="J468" s="236">
        <f>ABS(1*(T451+T453)-1*T454-1.5*T455)</f>
        <v>8.1213860242607883</v>
      </c>
      <c r="K468" s="237"/>
      <c r="L468" s="238"/>
      <c r="M468" s="2"/>
      <c r="N468" s="2"/>
      <c r="O468" s="2"/>
      <c r="P468" s="2"/>
      <c r="Q468" s="2"/>
      <c r="R468" s="2"/>
      <c r="S468" s="2"/>
      <c r="T468" s="2"/>
      <c r="U468" s="2"/>
      <c r="V468" s="2"/>
      <c r="W468" s="2"/>
      <c r="X468" s="2"/>
      <c r="Y468" s="2"/>
      <c r="Z468" s="2"/>
      <c r="AA468" s="2"/>
      <c r="AB468" s="2"/>
      <c r="AC468" s="2"/>
      <c r="AD468" s="2"/>
      <c r="AE468" s="2"/>
      <c r="AF468" s="2"/>
      <c r="AG468" s="2"/>
    </row>
    <row r="469" spans="1:33" x14ac:dyDescent="0.2">
      <c r="A469" s="2"/>
      <c r="B469" s="2"/>
      <c r="C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row>
    <row r="470" spans="1:33" ht="15.75" x14ac:dyDescent="0.3">
      <c r="A470" s="2"/>
      <c r="B470" s="2"/>
      <c r="C470" s="2"/>
      <c r="F470" s="21" t="s">
        <v>888</v>
      </c>
      <c r="G470" s="13" t="s">
        <v>332</v>
      </c>
      <c r="H470" s="231">
        <f>MIN(G464:I468,0)</f>
        <v>-4.7753159976399724</v>
      </c>
      <c r="I470" s="284"/>
      <c r="J470" s="284"/>
      <c r="K470" s="2" t="s">
        <v>335</v>
      </c>
      <c r="L470" s="2"/>
      <c r="M470" s="2"/>
      <c r="N470" s="2"/>
      <c r="O470" s="2" t="s">
        <v>570</v>
      </c>
      <c r="P470" s="2"/>
      <c r="Q470" s="2"/>
      <c r="R470" s="2"/>
      <c r="S470" s="2"/>
      <c r="T470" s="2"/>
      <c r="U470" s="2"/>
      <c r="V470" s="2"/>
      <c r="W470" s="2"/>
      <c r="X470" s="2"/>
      <c r="Y470" s="2"/>
      <c r="Z470" s="2"/>
      <c r="AA470" s="2"/>
      <c r="AB470" s="2"/>
      <c r="AC470" s="2"/>
      <c r="AD470" s="2"/>
      <c r="AE470" s="2"/>
      <c r="AF470" s="2"/>
      <c r="AG470" s="2"/>
    </row>
    <row r="471" spans="1:33" ht="15.75" x14ac:dyDescent="0.3">
      <c r="A471" s="2"/>
      <c r="B471" s="2"/>
      <c r="C471" s="2"/>
      <c r="D471" s="2"/>
      <c r="E471" s="2"/>
      <c r="F471" s="21" t="s">
        <v>533</v>
      </c>
      <c r="G471" s="13" t="s">
        <v>332</v>
      </c>
      <c r="H471" s="231">
        <f>MAX(J464:L468)</f>
        <v>8.1213860242607883</v>
      </c>
      <c r="I471" s="231"/>
      <c r="J471" s="231"/>
      <c r="K471" s="2" t="s">
        <v>335</v>
      </c>
      <c r="L471" s="2"/>
      <c r="M471" s="2"/>
      <c r="N471" s="2"/>
      <c r="O471" s="2" t="s">
        <v>1342</v>
      </c>
      <c r="P471" s="2"/>
      <c r="Q471" s="2"/>
      <c r="R471" s="2"/>
      <c r="S471" s="2"/>
      <c r="T471" s="2"/>
      <c r="U471" s="2"/>
      <c r="V471" s="2"/>
      <c r="W471" s="2"/>
      <c r="X471" s="2"/>
      <c r="Y471" s="2"/>
      <c r="Z471" s="2"/>
      <c r="AA471" s="2"/>
      <c r="AB471" s="2"/>
      <c r="AC471" s="2"/>
      <c r="AD471" s="2"/>
      <c r="AE471" s="2"/>
      <c r="AF471" s="2"/>
      <c r="AG471" s="2"/>
    </row>
    <row r="472" spans="1:33" x14ac:dyDescent="0.2">
      <c r="A472" s="2"/>
      <c r="B472" s="2"/>
      <c r="C472" s="2"/>
      <c r="D472" s="2"/>
      <c r="E472" s="2"/>
      <c r="F472" s="2"/>
      <c r="M472" s="2"/>
      <c r="N472" s="2"/>
      <c r="P472" s="2"/>
      <c r="Q472" s="2"/>
      <c r="R472" s="2"/>
      <c r="S472" s="2"/>
      <c r="T472" s="2"/>
      <c r="U472" s="2"/>
      <c r="V472" s="2"/>
      <c r="W472" s="2"/>
      <c r="X472" s="2"/>
      <c r="Y472" s="2"/>
      <c r="Z472" s="2"/>
      <c r="AA472" s="2"/>
      <c r="AB472" s="2"/>
      <c r="AC472" s="2"/>
      <c r="AD472" s="2"/>
      <c r="AE472" s="2"/>
      <c r="AF472" s="2"/>
      <c r="AG472" s="2"/>
    </row>
    <row r="473" spans="1:33" x14ac:dyDescent="0.2">
      <c r="A473" s="2"/>
      <c r="B473" s="2"/>
      <c r="C473" s="2"/>
      <c r="D473" s="2"/>
      <c r="E473" s="2"/>
      <c r="F473" s="2"/>
      <c r="M473" s="2"/>
      <c r="N473" s="2"/>
      <c r="O473" s="2"/>
      <c r="P473" s="2"/>
      <c r="Q473" s="2"/>
      <c r="R473" s="2"/>
      <c r="S473" s="2"/>
      <c r="T473" s="2"/>
      <c r="U473" s="2"/>
      <c r="V473" s="2"/>
      <c r="W473" s="2"/>
      <c r="X473" s="2"/>
      <c r="Y473" s="2"/>
      <c r="Z473" s="2"/>
      <c r="AA473" s="2"/>
      <c r="AB473" s="2"/>
      <c r="AC473" s="2"/>
      <c r="AD473" s="2"/>
      <c r="AE473" s="2"/>
      <c r="AF473" s="2"/>
      <c r="AG473" s="2"/>
    </row>
    <row r="474" spans="1:33"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row>
    <row r="475" spans="1:33"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row>
    <row r="476" spans="1:33"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row>
    <row r="477" spans="1:33" x14ac:dyDescent="0.2">
      <c r="A477" s="2"/>
      <c r="B477" s="2"/>
      <c r="C477" s="48" t="s">
        <v>1329</v>
      </c>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row>
    <row r="478" spans="1:33"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row>
    <row r="479" spans="1:33" x14ac:dyDescent="0.2">
      <c r="A479" s="2"/>
      <c r="B479" s="2"/>
      <c r="C479" s="2"/>
      <c r="D479" s="70" t="s">
        <v>709</v>
      </c>
      <c r="E479" s="3"/>
      <c r="F479" s="3"/>
      <c r="G479" s="3"/>
      <c r="H479" s="3"/>
      <c r="I479" s="3"/>
      <c r="J479" s="3"/>
      <c r="K479" s="3"/>
      <c r="L479" s="3"/>
      <c r="M479" s="3"/>
      <c r="N479" s="3"/>
      <c r="O479" s="3"/>
      <c r="P479" s="3"/>
      <c r="Q479" s="3"/>
      <c r="R479" s="2"/>
      <c r="S479" s="2"/>
      <c r="T479" s="2"/>
      <c r="U479" s="2"/>
      <c r="V479" s="2"/>
      <c r="W479" s="2"/>
      <c r="X479" s="2"/>
      <c r="Y479" s="2"/>
      <c r="Z479" s="2"/>
      <c r="AA479" s="2"/>
      <c r="AB479" s="2"/>
      <c r="AC479" s="2"/>
      <c r="AD479" s="2"/>
      <c r="AE479" s="2"/>
      <c r="AF479" s="2"/>
      <c r="AG479" s="2"/>
    </row>
    <row r="480" spans="1:33" x14ac:dyDescent="0.2">
      <c r="A480" s="2"/>
      <c r="B480" s="2"/>
      <c r="C480" s="2"/>
      <c r="D480" s="3" t="s">
        <v>1386</v>
      </c>
      <c r="E480" s="3"/>
      <c r="F480" s="3"/>
      <c r="G480" s="3"/>
      <c r="H480" s="3"/>
      <c r="I480" s="3"/>
      <c r="J480" s="3"/>
      <c r="K480" s="3"/>
      <c r="L480" s="3"/>
      <c r="M480" s="3"/>
      <c r="N480" s="3"/>
      <c r="O480" s="3"/>
      <c r="P480" s="3"/>
      <c r="Q480" s="3"/>
      <c r="R480" s="2"/>
      <c r="S480" s="2"/>
      <c r="T480" s="2"/>
      <c r="U480" s="2"/>
      <c r="V480" s="2"/>
      <c r="W480" s="2"/>
      <c r="X480" s="2"/>
      <c r="Y480" s="2"/>
      <c r="Z480" s="2"/>
      <c r="AA480" s="2"/>
      <c r="AB480" s="2"/>
      <c r="AC480" s="2"/>
      <c r="AD480" s="2"/>
      <c r="AE480" s="2"/>
      <c r="AF480" s="2"/>
      <c r="AG480" s="2"/>
    </row>
    <row r="481" spans="1:33" x14ac:dyDescent="0.2">
      <c r="A481" s="2"/>
      <c r="B481" s="2"/>
      <c r="C481" s="2"/>
      <c r="D481" s="3"/>
      <c r="E481" s="3"/>
      <c r="F481" s="3"/>
      <c r="G481" s="3"/>
      <c r="H481" s="3"/>
      <c r="I481" s="3"/>
      <c r="J481" s="3"/>
      <c r="K481" s="3"/>
      <c r="L481" s="3"/>
      <c r="M481" s="3"/>
      <c r="N481" s="3"/>
      <c r="O481" s="3"/>
      <c r="P481" s="3"/>
      <c r="Q481" s="3"/>
      <c r="R481" s="2"/>
      <c r="S481" s="2"/>
      <c r="T481" s="2"/>
      <c r="U481" s="2"/>
      <c r="V481" s="2"/>
      <c r="W481" s="2"/>
      <c r="X481" s="2"/>
      <c r="Y481" s="2"/>
      <c r="Z481" s="2"/>
      <c r="AA481" s="2"/>
      <c r="AB481" s="2"/>
      <c r="AC481" s="2"/>
      <c r="AD481" s="2"/>
      <c r="AE481" s="2"/>
      <c r="AF481" s="2"/>
      <c r="AG481" s="2"/>
    </row>
    <row r="482" spans="1:33" ht="15.75" x14ac:dyDescent="0.25">
      <c r="A482" s="2"/>
      <c r="B482" s="2"/>
      <c r="C482" s="2"/>
      <c r="D482" s="3"/>
      <c r="E482" s="25" t="s">
        <v>725</v>
      </c>
      <c r="F482" s="12" t="s">
        <v>332</v>
      </c>
      <c r="G482" s="290">
        <f>3/4*25.4</f>
        <v>19.049999999999997</v>
      </c>
      <c r="H482" s="290"/>
      <c r="I482" s="290"/>
      <c r="J482" s="3" t="s">
        <v>337</v>
      </c>
      <c r="K482"/>
      <c r="L482"/>
      <c r="M482"/>
      <c r="N482" s="3" t="s">
        <v>942</v>
      </c>
      <c r="O482"/>
      <c r="P482"/>
      <c r="R482" s="2"/>
      <c r="S482" s="2"/>
      <c r="T482" s="2"/>
      <c r="U482" s="2"/>
      <c r="V482" s="2"/>
      <c r="W482" s="2"/>
      <c r="X482" s="2"/>
      <c r="Y482" s="2"/>
      <c r="Z482" s="2"/>
      <c r="AA482" s="2"/>
      <c r="AB482" s="2"/>
      <c r="AC482" s="2"/>
      <c r="AD482" s="2"/>
      <c r="AE482" s="2"/>
      <c r="AF482" s="2"/>
      <c r="AG482" s="2"/>
    </row>
    <row r="483" spans="1:33" ht="15.75" x14ac:dyDescent="0.25">
      <c r="A483" s="2"/>
      <c r="B483" s="2"/>
      <c r="C483" s="2"/>
      <c r="D483" s="3"/>
      <c r="E483" s="25" t="s">
        <v>710</v>
      </c>
      <c r="F483" s="12" t="s">
        <v>332</v>
      </c>
      <c r="G483" s="290">
        <f>G482-1/8*25.4</f>
        <v>15.874999999999996</v>
      </c>
      <c r="H483" s="290"/>
      <c r="I483" s="290"/>
      <c r="J483" s="3" t="s">
        <v>337</v>
      </c>
      <c r="K483"/>
      <c r="L483"/>
      <c r="M483"/>
      <c r="N483" s="3" t="s">
        <v>735</v>
      </c>
      <c r="O483"/>
      <c r="P483"/>
      <c r="R483" s="2"/>
      <c r="S483" s="2"/>
      <c r="T483" s="2"/>
      <c r="U483" s="2"/>
      <c r="V483" s="2"/>
      <c r="W483" s="2"/>
      <c r="X483" s="2"/>
      <c r="Y483" s="2"/>
      <c r="Z483" s="2"/>
      <c r="AA483" s="2"/>
      <c r="AB483" s="2"/>
      <c r="AC483" s="2"/>
      <c r="AD483" s="2"/>
      <c r="AE483" s="2"/>
      <c r="AF483" s="2"/>
      <c r="AG483" s="2"/>
    </row>
    <row r="484" spans="1:33" ht="15.75" x14ac:dyDescent="0.25">
      <c r="A484" s="2"/>
      <c r="B484" s="2"/>
      <c r="C484" s="2"/>
      <c r="D484" s="3"/>
      <c r="E484" s="25" t="s">
        <v>712</v>
      </c>
      <c r="F484" s="12" t="s">
        <v>332</v>
      </c>
      <c r="G484" s="290">
        <f>1.212*25.4</f>
        <v>30.784799999999997</v>
      </c>
      <c r="H484" s="290"/>
      <c r="I484" s="290"/>
      <c r="J484" s="3" t="s">
        <v>337</v>
      </c>
      <c r="K484"/>
      <c r="L484"/>
      <c r="M484"/>
      <c r="N484" s="3" t="s">
        <v>1030</v>
      </c>
      <c r="O484"/>
      <c r="P484"/>
      <c r="R484" s="2"/>
      <c r="S484" s="2"/>
      <c r="T484" s="2"/>
      <c r="U484" s="2"/>
      <c r="V484" s="2"/>
      <c r="W484" s="2"/>
      <c r="X484" s="2"/>
      <c r="Y484" s="2"/>
      <c r="Z484" s="2"/>
      <c r="AA484" s="2"/>
      <c r="AB484" s="2"/>
      <c r="AC484" s="2"/>
      <c r="AD484" s="2"/>
      <c r="AE484" s="2"/>
      <c r="AF484" s="2"/>
      <c r="AG484" s="2"/>
    </row>
    <row r="485" spans="1:33" ht="15.75" x14ac:dyDescent="0.25">
      <c r="A485" s="2"/>
      <c r="B485" s="2"/>
      <c r="C485" s="2"/>
      <c r="D485" s="3"/>
      <c r="E485" s="25" t="s">
        <v>943</v>
      </c>
      <c r="F485" s="12" t="s">
        <v>332</v>
      </c>
      <c r="G485" s="290">
        <f>PI()/4*G484^2</f>
        <v>744.32491117539462</v>
      </c>
      <c r="H485" s="290"/>
      <c r="I485" s="290"/>
      <c r="J485" s="3" t="s">
        <v>337</v>
      </c>
      <c r="K485"/>
      <c r="L485"/>
      <c r="M485"/>
      <c r="N485" s="3" t="s">
        <v>944</v>
      </c>
      <c r="O485"/>
      <c r="P485"/>
      <c r="R485" s="2"/>
      <c r="S485" s="2"/>
      <c r="T485" s="2"/>
      <c r="U485" s="2"/>
      <c r="V485" s="2"/>
      <c r="W485" s="2"/>
      <c r="X485" s="2"/>
      <c r="Y485" s="2"/>
      <c r="Z485" s="2"/>
      <c r="AA485" s="2"/>
      <c r="AB485" s="2"/>
      <c r="AC485" s="2"/>
      <c r="AD485" s="2"/>
      <c r="AE485" s="2"/>
      <c r="AF485" s="2"/>
      <c r="AG485" s="2"/>
    </row>
    <row r="486" spans="1:33" ht="15.75" x14ac:dyDescent="0.25">
      <c r="A486" s="2"/>
      <c r="B486" s="2"/>
      <c r="C486" s="2"/>
      <c r="D486" s="3"/>
      <c r="E486" s="25" t="s">
        <v>945</v>
      </c>
      <c r="F486" s="12" t="s">
        <v>332</v>
      </c>
      <c r="G486" s="364">
        <v>0</v>
      </c>
      <c r="H486" s="364"/>
      <c r="I486" s="364"/>
      <c r="J486" s="3" t="s">
        <v>337</v>
      </c>
      <c r="K486" s="2"/>
      <c r="L486" s="2"/>
      <c r="M486" s="2"/>
      <c r="N486" s="3" t="s">
        <v>946</v>
      </c>
      <c r="O486" s="2"/>
      <c r="P486"/>
      <c r="R486" s="2"/>
      <c r="S486" s="2"/>
      <c r="T486" s="2"/>
      <c r="U486" s="2"/>
      <c r="V486" s="2"/>
      <c r="W486" s="2"/>
      <c r="X486" s="2"/>
      <c r="Y486" s="2"/>
      <c r="Z486" s="2"/>
      <c r="AA486" s="2"/>
      <c r="AB486" s="2"/>
      <c r="AC486" s="2"/>
      <c r="AD486" s="2"/>
      <c r="AE486" s="2"/>
      <c r="AF486" s="2"/>
      <c r="AG486" s="2"/>
    </row>
    <row r="487" spans="1:33" ht="15.75" x14ac:dyDescent="0.25">
      <c r="A487" s="2"/>
      <c r="B487" s="2"/>
      <c r="C487" s="2"/>
      <c r="D487" s="3"/>
      <c r="E487" s="25" t="s">
        <v>723</v>
      </c>
      <c r="F487" s="12" t="s">
        <v>332</v>
      </c>
      <c r="G487" s="364">
        <v>10</v>
      </c>
      <c r="H487" s="364"/>
      <c r="I487" s="364"/>
      <c r="J487" s="3"/>
      <c r="K487"/>
      <c r="L487"/>
      <c r="M487"/>
      <c r="N487" s="3" t="s">
        <v>724</v>
      </c>
      <c r="O487"/>
      <c r="P487"/>
      <c r="R487" s="2"/>
      <c r="S487" s="2"/>
      <c r="T487" s="2"/>
      <c r="U487" s="2"/>
      <c r="V487" s="2"/>
      <c r="W487" s="2"/>
      <c r="X487" s="2"/>
      <c r="Y487" s="2"/>
      <c r="Z487" s="2"/>
      <c r="AA487" s="2"/>
      <c r="AB487" s="2"/>
      <c r="AC487" s="2"/>
      <c r="AD487" s="2"/>
      <c r="AE487" s="2"/>
      <c r="AF487" s="2"/>
      <c r="AG487" s="2"/>
    </row>
    <row r="488" spans="1:33" ht="15.75" x14ac:dyDescent="0.25">
      <c r="A488" s="2"/>
      <c r="B488" s="2"/>
      <c r="C488" s="2"/>
      <c r="D488" s="3"/>
      <c r="E488" s="25" t="s">
        <v>947</v>
      </c>
      <c r="F488" s="12" t="s">
        <v>332</v>
      </c>
      <c r="G488" s="290">
        <f>PI()/4*G482^2</f>
        <v>285.02295699234242</v>
      </c>
      <c r="H488" s="290"/>
      <c r="I488" s="290"/>
      <c r="J488" s="3" t="s">
        <v>555</v>
      </c>
      <c r="K488"/>
      <c r="L488"/>
      <c r="M488"/>
      <c r="N488" s="3" t="s">
        <v>948</v>
      </c>
      <c r="O488"/>
      <c r="P488"/>
      <c r="R488" s="2"/>
      <c r="S488" s="2"/>
      <c r="T488" s="2"/>
      <c r="U488" s="2"/>
      <c r="V488" s="2"/>
      <c r="W488" s="2"/>
      <c r="X488" s="2"/>
      <c r="Y488" s="2"/>
      <c r="Z488" s="2"/>
      <c r="AA488" s="2"/>
      <c r="AB488" s="2"/>
      <c r="AC488" s="2"/>
      <c r="AD488" s="2"/>
      <c r="AE488" s="2"/>
      <c r="AF488" s="2"/>
      <c r="AG488" s="2"/>
    </row>
    <row r="489" spans="1:33" ht="15.75" x14ac:dyDescent="0.25">
      <c r="A489" s="2"/>
      <c r="B489" s="2"/>
      <c r="C489" s="2"/>
      <c r="D489" s="3"/>
      <c r="E489" s="25" t="s">
        <v>713</v>
      </c>
      <c r="F489" s="12" t="s">
        <v>332</v>
      </c>
      <c r="G489" s="290">
        <f>PI()/4*G483^2</f>
        <v>197.93260902245996</v>
      </c>
      <c r="H489" s="290"/>
      <c r="I489" s="290"/>
      <c r="J489" s="3" t="s">
        <v>555</v>
      </c>
      <c r="K489"/>
      <c r="L489"/>
      <c r="M489"/>
      <c r="N489" s="3" t="s">
        <v>949</v>
      </c>
      <c r="O489"/>
      <c r="P489"/>
      <c r="R489" s="2"/>
      <c r="S489" s="2"/>
      <c r="T489" s="2"/>
      <c r="U489" s="2"/>
      <c r="V489" s="2"/>
      <c r="W489" s="2"/>
      <c r="X489" s="2"/>
      <c r="Y489" s="2"/>
      <c r="Z489" s="2"/>
      <c r="AA489" s="2"/>
      <c r="AB489" s="2"/>
      <c r="AC489" s="2"/>
      <c r="AD489" s="2"/>
      <c r="AE489" s="2"/>
      <c r="AF489" s="2"/>
      <c r="AG489" s="2"/>
    </row>
    <row r="490" spans="1:33" ht="15.75" x14ac:dyDescent="0.25">
      <c r="A490" s="2"/>
      <c r="B490" s="2"/>
      <c r="C490" s="2"/>
      <c r="D490" s="3"/>
      <c r="E490" s="25" t="s">
        <v>714</v>
      </c>
      <c r="F490" s="12" t="s">
        <v>332</v>
      </c>
      <c r="G490" s="290">
        <f>PI()/4*(G482/25.4-0.9743/G487)^2*25.4^2</f>
        <v>215.78016635858611</v>
      </c>
      <c r="H490" s="290"/>
      <c r="I490" s="290"/>
      <c r="J490" s="3" t="s">
        <v>555</v>
      </c>
      <c r="K490"/>
      <c r="L490"/>
      <c r="M490"/>
      <c r="N490" s="3" t="s">
        <v>736</v>
      </c>
      <c r="O490"/>
      <c r="P490"/>
      <c r="R490" s="2"/>
      <c r="S490" s="2"/>
      <c r="T490" s="2"/>
      <c r="U490" s="2"/>
      <c r="V490" s="2"/>
      <c r="W490" s="2"/>
      <c r="X490" s="2"/>
      <c r="Y490" s="2"/>
      <c r="Z490" s="2"/>
      <c r="AA490" s="2"/>
      <c r="AB490" s="2"/>
      <c r="AC490" s="2"/>
      <c r="AD490" s="2"/>
      <c r="AE490" s="2"/>
      <c r="AF490" s="2"/>
      <c r="AG490" s="2"/>
    </row>
    <row r="491" spans="1:33" ht="15.75" x14ac:dyDescent="0.25">
      <c r="A491" s="2"/>
      <c r="B491" s="2"/>
      <c r="C491" s="2"/>
      <c r="D491" s="3"/>
      <c r="E491" s="25" t="s">
        <v>715</v>
      </c>
      <c r="F491" s="12" t="s">
        <v>332</v>
      </c>
      <c r="G491" s="290">
        <f>PI()/4*(G484^2-G482^2)</f>
        <v>459.3019541830522</v>
      </c>
      <c r="H491" s="290"/>
      <c r="I491" s="290"/>
      <c r="J491" s="3" t="s">
        <v>555</v>
      </c>
      <c r="K491"/>
      <c r="L491"/>
      <c r="M491"/>
      <c r="N491" s="3" t="s">
        <v>737</v>
      </c>
      <c r="O491"/>
      <c r="P491"/>
      <c r="R491" s="2"/>
      <c r="S491" s="2"/>
      <c r="T491" s="2"/>
      <c r="U491" s="2"/>
      <c r="V491" s="2"/>
      <c r="W491" s="2"/>
      <c r="X491" s="2"/>
      <c r="Y491" s="2"/>
      <c r="Z491" s="2"/>
      <c r="AA491" s="2"/>
      <c r="AB491" s="2"/>
      <c r="AC491" s="2"/>
      <c r="AD491" s="2"/>
      <c r="AE491" s="2"/>
      <c r="AF491" s="2"/>
      <c r="AG491" s="2"/>
    </row>
    <row r="492" spans="1:33" ht="15" x14ac:dyDescent="0.25">
      <c r="A492" s="2"/>
      <c r="B492" s="2"/>
      <c r="C492" s="2"/>
      <c r="D492" s="3"/>
      <c r="E492" s="25"/>
      <c r="F492" s="12"/>
      <c r="G492" s="66"/>
      <c r="H492" s="66"/>
      <c r="I492" s="66"/>
      <c r="J492" s="3"/>
      <c r="K492"/>
      <c r="L492"/>
      <c r="M492"/>
      <c r="N492" s="3"/>
      <c r="O492"/>
      <c r="P492"/>
      <c r="R492" s="2"/>
      <c r="S492" s="2"/>
      <c r="T492" s="2"/>
      <c r="U492" s="2"/>
      <c r="V492" s="2"/>
      <c r="W492" s="2"/>
      <c r="X492" s="2"/>
      <c r="Y492" s="2"/>
      <c r="Z492" s="2"/>
      <c r="AA492" s="2"/>
      <c r="AB492" s="2"/>
      <c r="AC492" s="2"/>
      <c r="AD492" s="2"/>
      <c r="AE492" s="2"/>
      <c r="AF492" s="2"/>
      <c r="AG492" s="2"/>
    </row>
    <row r="493" spans="1:33" ht="15" x14ac:dyDescent="0.25">
      <c r="A493" s="2"/>
      <c r="B493" s="2"/>
      <c r="C493" s="2"/>
      <c r="D493" s="3"/>
      <c r="E493" s="25"/>
      <c r="F493" s="12"/>
      <c r="G493" s="66"/>
      <c r="H493" s="66"/>
      <c r="I493" s="66"/>
      <c r="J493" s="3"/>
      <c r="K493"/>
      <c r="L493"/>
      <c r="M493"/>
      <c r="N493" s="3"/>
      <c r="O493"/>
      <c r="P493"/>
      <c r="R493" s="2"/>
      <c r="S493" s="2"/>
      <c r="T493" s="2"/>
      <c r="U493" s="2"/>
      <c r="V493" s="2"/>
      <c r="W493" s="2"/>
      <c r="X493" s="2"/>
      <c r="Y493" s="2"/>
      <c r="Z493" s="2"/>
      <c r="AA493" s="2"/>
      <c r="AB493" s="2"/>
      <c r="AC493" s="2"/>
      <c r="AD493" s="2"/>
      <c r="AE493" s="2"/>
      <c r="AF493" s="2"/>
      <c r="AG493" s="2"/>
    </row>
    <row r="494" spans="1:33" ht="15" x14ac:dyDescent="0.25">
      <c r="A494" s="2"/>
      <c r="B494" s="2"/>
      <c r="C494" s="2"/>
      <c r="D494" s="16" t="s">
        <v>950</v>
      </c>
      <c r="E494" s="25"/>
      <c r="F494" s="12"/>
      <c r="G494" s="47"/>
      <c r="H494" s="47"/>
      <c r="I494" s="47"/>
      <c r="J494" s="3"/>
      <c r="K494" s="2"/>
      <c r="L494" s="2"/>
      <c r="M494" s="2"/>
      <c r="N494" s="3"/>
      <c r="O494"/>
      <c r="P494"/>
      <c r="R494" s="2"/>
      <c r="S494" s="2"/>
      <c r="T494" s="2"/>
      <c r="U494" s="2"/>
      <c r="V494" s="2"/>
      <c r="W494" s="2"/>
      <c r="X494" s="2"/>
      <c r="Y494" s="2"/>
      <c r="Z494" s="2"/>
      <c r="AA494" s="2"/>
      <c r="AB494" s="2"/>
      <c r="AC494" s="2"/>
      <c r="AD494" s="2"/>
      <c r="AE494" s="2"/>
      <c r="AF494" s="2"/>
      <c r="AG494" s="2"/>
    </row>
    <row r="495" spans="1:33" ht="15.75" x14ac:dyDescent="0.25">
      <c r="A495" s="2"/>
      <c r="B495" s="2"/>
      <c r="C495" s="2"/>
      <c r="D495" s="2"/>
      <c r="E495" s="25" t="s">
        <v>951</v>
      </c>
      <c r="F495" s="12" t="s">
        <v>332</v>
      </c>
      <c r="G495" s="364">
        <v>450</v>
      </c>
      <c r="H495" s="364"/>
      <c r="I495" s="364"/>
      <c r="J495" s="3" t="s">
        <v>337</v>
      </c>
      <c r="K495" s="2"/>
      <c r="L495" s="2"/>
      <c r="M495" s="2"/>
      <c r="N495" s="3" t="s">
        <v>961</v>
      </c>
      <c r="O495"/>
      <c r="P495"/>
      <c r="R495" s="2"/>
      <c r="S495" s="2"/>
      <c r="T495" s="2"/>
      <c r="U495" s="2"/>
      <c r="V495" s="2"/>
      <c r="W495" s="2"/>
      <c r="X495" s="2"/>
      <c r="Y495" s="2"/>
      <c r="Z495" s="2"/>
      <c r="AA495" s="2"/>
      <c r="AB495" s="2"/>
      <c r="AC495" s="2"/>
      <c r="AD495" s="2"/>
      <c r="AE495" s="2"/>
      <c r="AF495" s="2"/>
      <c r="AG495" s="2"/>
    </row>
    <row r="496" spans="1:33" ht="15.75" x14ac:dyDescent="0.25">
      <c r="A496" s="2"/>
      <c r="B496" s="2"/>
      <c r="C496" s="2"/>
      <c r="D496" s="2"/>
      <c r="E496" s="25" t="s">
        <v>952</v>
      </c>
      <c r="F496" s="12" t="s">
        <v>332</v>
      </c>
      <c r="G496" s="364">
        <v>40</v>
      </c>
      <c r="H496" s="364"/>
      <c r="I496" s="364"/>
      <c r="J496" s="3" t="s">
        <v>337</v>
      </c>
      <c r="K496" s="2"/>
      <c r="L496" s="2"/>
      <c r="M496" s="2"/>
      <c r="N496" s="3" t="s">
        <v>953</v>
      </c>
      <c r="O496"/>
      <c r="P496"/>
      <c r="R496" s="2"/>
      <c r="S496" s="2"/>
      <c r="T496" s="2"/>
      <c r="U496" s="2"/>
      <c r="V496" s="2"/>
      <c r="W496" s="2"/>
      <c r="X496" s="2"/>
      <c r="Y496" s="2"/>
      <c r="Z496" s="2"/>
      <c r="AA496" s="2"/>
      <c r="AB496" s="2"/>
      <c r="AC496" s="2"/>
      <c r="AD496" s="2"/>
      <c r="AE496" s="2"/>
      <c r="AF496" s="2"/>
      <c r="AG496" s="2"/>
    </row>
    <row r="497" spans="1:33" ht="15.75" x14ac:dyDescent="0.25">
      <c r="A497" s="2"/>
      <c r="B497" s="2"/>
      <c r="C497" s="2"/>
      <c r="D497" s="2"/>
      <c r="E497" s="25" t="s">
        <v>954</v>
      </c>
      <c r="F497" s="12" t="s">
        <v>332</v>
      </c>
      <c r="G497" s="364">
        <v>32</v>
      </c>
      <c r="H497" s="364"/>
      <c r="I497" s="364"/>
      <c r="J497" s="3" t="s">
        <v>337</v>
      </c>
      <c r="K497" s="2"/>
      <c r="L497" s="2"/>
      <c r="M497" s="2"/>
      <c r="N497" s="3" t="s">
        <v>955</v>
      </c>
      <c r="O497"/>
      <c r="P497"/>
      <c r="R497" s="2"/>
      <c r="S497" s="2"/>
      <c r="T497" s="2"/>
      <c r="U497" s="2"/>
      <c r="V497" s="2"/>
      <c r="W497" s="2"/>
      <c r="X497" s="2"/>
      <c r="Y497" s="2"/>
      <c r="Z497" s="2"/>
      <c r="AA497" s="2"/>
      <c r="AB497" s="2"/>
      <c r="AC497" s="2"/>
      <c r="AD497" s="2"/>
      <c r="AE497" s="2"/>
      <c r="AF497" s="2"/>
      <c r="AG497" s="2"/>
    </row>
    <row r="498" spans="1:33" ht="15" x14ac:dyDescent="0.25">
      <c r="A498" s="2"/>
      <c r="B498" s="2"/>
      <c r="C498" s="2"/>
      <c r="D498" s="2"/>
      <c r="E498" s="25" t="s">
        <v>956</v>
      </c>
      <c r="F498" s="12" t="s">
        <v>332</v>
      </c>
      <c r="G498" s="364">
        <f>57+25</f>
        <v>82</v>
      </c>
      <c r="H498" s="364"/>
      <c r="I498" s="364"/>
      <c r="J498" s="3" t="s">
        <v>337</v>
      </c>
      <c r="K498" s="2"/>
      <c r="L498" s="2"/>
      <c r="M498" s="2"/>
      <c r="N498" s="3" t="s">
        <v>958</v>
      </c>
      <c r="O498"/>
      <c r="P498"/>
      <c r="R498" s="2"/>
      <c r="S498" s="2"/>
      <c r="T498" s="2"/>
      <c r="U498" s="2"/>
      <c r="V498" s="2"/>
      <c r="W498" s="2"/>
      <c r="X498" s="2"/>
      <c r="Y498" s="2"/>
      <c r="Z498" s="2"/>
      <c r="AA498" s="2"/>
      <c r="AB498" s="2"/>
      <c r="AC498" s="2"/>
      <c r="AD498" s="2"/>
      <c r="AE498" s="2"/>
      <c r="AF498" s="2"/>
      <c r="AG498" s="2"/>
    </row>
    <row r="499" spans="1:33" ht="15.75" x14ac:dyDescent="0.25">
      <c r="A499" s="2"/>
      <c r="B499" s="2"/>
      <c r="C499" s="2"/>
      <c r="D499" s="2"/>
      <c r="E499" s="25" t="s">
        <v>959</v>
      </c>
      <c r="F499" s="12" t="s">
        <v>332</v>
      </c>
      <c r="G499" s="364">
        <f>25+6</f>
        <v>31</v>
      </c>
      <c r="H499" s="364"/>
      <c r="I499" s="364"/>
      <c r="J499" s="3" t="s">
        <v>337</v>
      </c>
      <c r="K499" s="2"/>
      <c r="L499" s="2"/>
      <c r="M499" s="2"/>
      <c r="N499" s="3" t="s">
        <v>1343</v>
      </c>
      <c r="O499"/>
      <c r="P499"/>
      <c r="R499" s="2"/>
      <c r="S499" s="2"/>
      <c r="T499" s="2"/>
      <c r="U499" s="2"/>
      <c r="V499" s="2"/>
      <c r="W499" s="2"/>
      <c r="X499" s="2"/>
      <c r="Y499" s="2"/>
      <c r="Z499" s="2"/>
      <c r="AA499" s="2"/>
      <c r="AB499" s="2"/>
      <c r="AC499" s="2"/>
      <c r="AD499" s="2"/>
      <c r="AE499" s="2"/>
      <c r="AF499" s="2"/>
      <c r="AG499" s="2"/>
    </row>
    <row r="500" spans="1:33" ht="15.75" x14ac:dyDescent="0.25">
      <c r="A500" s="2"/>
      <c r="B500" s="2"/>
      <c r="C500" s="2"/>
      <c r="D500" s="2"/>
      <c r="E500" s="25" t="s">
        <v>957</v>
      </c>
      <c r="F500" s="12" t="s">
        <v>332</v>
      </c>
      <c r="G500" s="364">
        <f>CEILING(G496+G499+G498,5)</f>
        <v>155</v>
      </c>
      <c r="H500" s="364"/>
      <c r="I500" s="364"/>
      <c r="J500" s="3" t="s">
        <v>337</v>
      </c>
      <c r="K500" s="2"/>
      <c r="L500" s="2"/>
      <c r="M500" s="2"/>
      <c r="N500" s="3" t="s">
        <v>960</v>
      </c>
      <c r="O500"/>
      <c r="P500"/>
      <c r="R500" s="2"/>
      <c r="S500" s="2"/>
      <c r="T500" s="2"/>
      <c r="U500" s="2"/>
      <c r="V500" s="2"/>
      <c r="W500" s="2"/>
      <c r="X500" s="2"/>
      <c r="Y500" s="2"/>
      <c r="Z500" s="2"/>
      <c r="AA500" s="2"/>
      <c r="AB500" s="2"/>
      <c r="AC500" s="2"/>
      <c r="AD500" s="2"/>
      <c r="AE500" s="2"/>
      <c r="AF500" s="2"/>
      <c r="AG500" s="2"/>
    </row>
    <row r="501" spans="1:33" ht="15.75" x14ac:dyDescent="0.25">
      <c r="A501" s="2"/>
      <c r="B501" s="2"/>
      <c r="C501" s="2"/>
      <c r="D501" s="2"/>
      <c r="E501" s="25" t="s">
        <v>711</v>
      </c>
      <c r="F501" s="12" t="s">
        <v>332</v>
      </c>
      <c r="G501" s="290">
        <f>G495-G500-G497</f>
        <v>263</v>
      </c>
      <c r="H501" s="290"/>
      <c r="I501" s="290"/>
      <c r="J501" s="3" t="s">
        <v>337</v>
      </c>
      <c r="K501" s="2"/>
      <c r="L501" s="2"/>
      <c r="M501" s="2"/>
      <c r="N501" s="3" t="s">
        <v>1436</v>
      </c>
      <c r="O501"/>
      <c r="P501"/>
      <c r="R501" s="2"/>
      <c r="S501" s="2"/>
      <c r="T501" s="2"/>
      <c r="U501" s="2"/>
      <c r="V501" s="2"/>
      <c r="W501" s="2"/>
      <c r="X501" s="2"/>
      <c r="Y501" s="2"/>
      <c r="Z501" s="2"/>
      <c r="AA501" s="2"/>
      <c r="AB501" s="2"/>
      <c r="AC501" s="2"/>
      <c r="AD501" s="2"/>
      <c r="AE501" s="2"/>
      <c r="AF501" s="2"/>
      <c r="AG501" s="2"/>
    </row>
    <row r="502" spans="1:33" ht="15.75" x14ac:dyDescent="0.25">
      <c r="A502" s="2"/>
      <c r="B502" s="2"/>
      <c r="C502" s="2"/>
      <c r="D502" s="3"/>
      <c r="E502" s="25"/>
      <c r="F502" s="12"/>
      <c r="G502" s="66"/>
      <c r="H502" s="66"/>
      <c r="I502" s="66"/>
      <c r="J502" s="3"/>
      <c r="K502"/>
      <c r="L502"/>
      <c r="M502"/>
      <c r="N502" s="3" t="s">
        <v>962</v>
      </c>
      <c r="O502"/>
      <c r="P502"/>
      <c r="R502" s="2"/>
      <c r="S502" s="2"/>
      <c r="T502" s="2"/>
      <c r="U502" s="2"/>
      <c r="V502" s="2"/>
      <c r="W502" s="2"/>
      <c r="X502" s="2"/>
      <c r="Y502" s="2"/>
      <c r="Z502" s="2"/>
      <c r="AA502" s="2"/>
      <c r="AB502" s="2"/>
      <c r="AC502" s="2"/>
      <c r="AD502" s="2"/>
      <c r="AE502" s="2"/>
      <c r="AF502" s="2"/>
      <c r="AG502" s="2"/>
    </row>
    <row r="503" spans="1:33" ht="15" x14ac:dyDescent="0.25">
      <c r="A503" s="2"/>
      <c r="B503" s="2"/>
      <c r="C503" s="2"/>
      <c r="D503" s="3"/>
      <c r="E503" s="25"/>
      <c r="F503" s="12"/>
      <c r="G503" s="66"/>
      <c r="H503" s="66"/>
      <c r="I503" s="66"/>
      <c r="J503" s="3"/>
      <c r="K503"/>
      <c r="L503"/>
      <c r="M503"/>
      <c r="N503" s="3"/>
      <c r="O503"/>
      <c r="P503"/>
      <c r="R503" s="2"/>
      <c r="S503" s="2"/>
      <c r="T503" s="2"/>
      <c r="U503" s="2"/>
      <c r="V503" s="2"/>
      <c r="W503" s="2"/>
      <c r="X503" s="2"/>
      <c r="Y503" s="2"/>
      <c r="Z503" s="2"/>
      <c r="AA503" s="2"/>
      <c r="AB503" s="2"/>
      <c r="AC503" s="2"/>
      <c r="AD503" s="2"/>
      <c r="AE503" s="2"/>
      <c r="AF503" s="2"/>
      <c r="AG503" s="2"/>
    </row>
    <row r="504" spans="1:33" ht="15" x14ac:dyDescent="0.25">
      <c r="A504" s="2"/>
      <c r="B504" s="2"/>
      <c r="C504" s="2"/>
      <c r="D504" s="16" t="s">
        <v>963</v>
      </c>
      <c r="E504" s="25"/>
      <c r="F504" s="12"/>
      <c r="G504" s="66"/>
      <c r="H504" s="66"/>
      <c r="I504" s="66"/>
      <c r="J504" s="3"/>
      <c r="K504"/>
      <c r="L504"/>
      <c r="M504"/>
      <c r="N504" s="3"/>
      <c r="O504"/>
      <c r="P504"/>
      <c r="R504" s="2"/>
      <c r="S504" s="2"/>
      <c r="T504" s="2"/>
      <c r="U504" s="2"/>
      <c r="V504" s="2"/>
      <c r="W504" s="2"/>
      <c r="X504" s="2"/>
      <c r="Y504" s="2"/>
      <c r="Z504" s="2"/>
      <c r="AA504" s="2"/>
      <c r="AB504" s="2"/>
      <c r="AC504" s="2"/>
      <c r="AD504" s="2"/>
      <c r="AE504" s="2"/>
      <c r="AF504" s="2"/>
      <c r="AG504" s="2"/>
    </row>
    <row r="505" spans="1:33" ht="15.75" x14ac:dyDescent="0.25">
      <c r="A505" s="2"/>
      <c r="B505" s="2"/>
      <c r="C505" s="2"/>
      <c r="D505" s="3"/>
      <c r="E505" s="25" t="s">
        <v>726</v>
      </c>
      <c r="F505" s="12" t="s">
        <v>332</v>
      </c>
      <c r="G505" s="290">
        <v>185.5</v>
      </c>
      <c r="H505" s="290"/>
      <c r="I505" s="290"/>
      <c r="J505" s="3" t="s">
        <v>337</v>
      </c>
      <c r="K505"/>
      <c r="L505"/>
      <c r="M505"/>
      <c r="N505" s="3" t="s">
        <v>728</v>
      </c>
      <c r="O505"/>
      <c r="P505"/>
      <c r="Q505" s="3"/>
      <c r="R505" s="2"/>
      <c r="S505" s="2"/>
      <c r="T505" s="2"/>
      <c r="U505" s="2"/>
      <c r="V505" s="2"/>
      <c r="W505" s="2"/>
      <c r="X505" s="2"/>
      <c r="Y505" s="2"/>
      <c r="Z505" s="2"/>
      <c r="AA505" s="2"/>
      <c r="AB505" s="2"/>
      <c r="AC505" s="2"/>
      <c r="AD505" s="2"/>
      <c r="AE505" s="2"/>
      <c r="AF505" s="2"/>
      <c r="AG505" s="2"/>
    </row>
    <row r="506" spans="1:33" ht="15.75" x14ac:dyDescent="0.25">
      <c r="A506" s="2"/>
      <c r="B506" s="2"/>
      <c r="C506" s="2"/>
      <c r="D506" s="3"/>
      <c r="E506" s="25" t="s">
        <v>727</v>
      </c>
      <c r="F506" s="12" t="s">
        <v>332</v>
      </c>
      <c r="G506" s="290">
        <v>274</v>
      </c>
      <c r="H506" s="290"/>
      <c r="I506" s="290"/>
      <c r="J506" s="3" t="s">
        <v>337</v>
      </c>
      <c r="K506"/>
      <c r="L506"/>
      <c r="M506"/>
      <c r="N506" s="3" t="s">
        <v>729</v>
      </c>
      <c r="O506"/>
      <c r="P506"/>
      <c r="Q506" s="3"/>
      <c r="R506" s="2"/>
      <c r="S506" s="2"/>
      <c r="T506" s="2"/>
      <c r="U506" s="2"/>
      <c r="V506" s="2"/>
      <c r="W506" s="2"/>
      <c r="X506" s="2"/>
      <c r="Y506" s="2"/>
      <c r="Z506" s="2"/>
      <c r="AA506" s="2"/>
      <c r="AB506" s="2"/>
      <c r="AC506" s="2"/>
      <c r="AD506" s="2"/>
      <c r="AE506" s="2"/>
      <c r="AF506" s="2"/>
      <c r="AG506" s="2"/>
    </row>
    <row r="507" spans="1:33" x14ac:dyDescent="0.2">
      <c r="A507" s="2"/>
      <c r="B507" s="2"/>
      <c r="C507" s="2"/>
      <c r="D507" s="3"/>
      <c r="E507" s="25" t="s">
        <v>513</v>
      </c>
      <c r="F507" s="12" t="s">
        <v>332</v>
      </c>
      <c r="G507" s="290">
        <v>613</v>
      </c>
      <c r="H507" s="290"/>
      <c r="I507" s="290"/>
      <c r="J507" s="3" t="s">
        <v>337</v>
      </c>
      <c r="K507" s="3"/>
      <c r="L507" s="3"/>
      <c r="M507" s="3"/>
      <c r="N507" s="3" t="s">
        <v>1088</v>
      </c>
      <c r="O507" s="3"/>
      <c r="P507" s="3"/>
      <c r="Q507" s="3"/>
      <c r="R507" s="2"/>
      <c r="S507" s="2"/>
      <c r="T507" s="2"/>
      <c r="U507" s="2"/>
      <c r="V507" s="2"/>
      <c r="W507" s="2"/>
      <c r="X507" s="2"/>
      <c r="Y507" s="2"/>
      <c r="Z507" s="2"/>
      <c r="AA507" s="2"/>
      <c r="AB507" s="2"/>
      <c r="AC507" s="2"/>
      <c r="AD507" s="2"/>
      <c r="AE507" s="2"/>
      <c r="AF507" s="2"/>
      <c r="AG507" s="2"/>
    </row>
    <row r="508" spans="1:33" x14ac:dyDescent="0.2">
      <c r="A508" s="2"/>
      <c r="B508" s="2"/>
      <c r="C508" s="2"/>
      <c r="D508" s="3"/>
      <c r="E508" s="3"/>
      <c r="F508" s="3"/>
      <c r="G508" s="3"/>
      <c r="H508" s="3"/>
      <c r="I508" s="3"/>
      <c r="J508" s="3"/>
      <c r="K508" s="3"/>
      <c r="L508" s="3"/>
      <c r="M508" s="3"/>
      <c r="N508" s="3"/>
      <c r="O508" s="3"/>
      <c r="P508" s="3"/>
      <c r="Q508" s="3"/>
      <c r="R508" s="2"/>
      <c r="S508" s="2"/>
      <c r="T508" s="2"/>
      <c r="U508" s="2"/>
      <c r="V508" s="2"/>
      <c r="W508" s="2"/>
      <c r="X508" s="2"/>
      <c r="Y508" s="2"/>
      <c r="Z508" s="2"/>
      <c r="AA508" s="2"/>
      <c r="AB508" s="2"/>
      <c r="AC508" s="2"/>
      <c r="AD508" s="2"/>
      <c r="AE508" s="2"/>
      <c r="AF508" s="2"/>
      <c r="AG508" s="2"/>
    </row>
    <row r="509" spans="1:33" x14ac:dyDescent="0.2">
      <c r="A509" s="2"/>
      <c r="B509" s="2"/>
      <c r="C509" s="2"/>
      <c r="D509" s="71" t="s">
        <v>685</v>
      </c>
      <c r="E509" s="3"/>
      <c r="F509" s="3"/>
      <c r="G509" s="3"/>
      <c r="H509" s="3"/>
      <c r="I509" s="3"/>
      <c r="J509" s="3"/>
      <c r="K509" s="3"/>
      <c r="L509" s="3"/>
      <c r="M509" s="3"/>
      <c r="N509" s="3"/>
      <c r="O509" s="3"/>
      <c r="P509" s="3"/>
      <c r="Q509" s="3"/>
      <c r="R509" s="2"/>
      <c r="S509" s="2"/>
      <c r="T509" s="2"/>
      <c r="U509" s="2"/>
      <c r="V509" s="2"/>
      <c r="W509" s="2"/>
      <c r="X509" s="2"/>
      <c r="Y509" s="2"/>
      <c r="Z509" s="2"/>
      <c r="AA509" s="2"/>
      <c r="AB509" s="2"/>
      <c r="AC509" s="2"/>
      <c r="AD509" s="2"/>
      <c r="AE509" s="2"/>
      <c r="AF509" s="2"/>
      <c r="AG509" s="2"/>
    </row>
    <row r="510" spans="1:33" x14ac:dyDescent="0.2">
      <c r="A510" s="2"/>
      <c r="B510" s="2"/>
      <c r="C510" s="2"/>
      <c r="D510" s="71"/>
      <c r="E510" s="3"/>
      <c r="F510" s="3"/>
      <c r="G510" s="3"/>
      <c r="H510" s="3"/>
      <c r="I510" s="3"/>
      <c r="J510" s="3"/>
      <c r="K510" s="3"/>
      <c r="L510" s="3"/>
      <c r="M510" s="3"/>
      <c r="N510" s="3"/>
      <c r="O510" s="3"/>
      <c r="P510" s="3"/>
      <c r="Q510" s="3"/>
      <c r="R510" s="2"/>
      <c r="S510" s="2"/>
      <c r="T510" s="2"/>
      <c r="U510" s="2"/>
      <c r="V510" s="2"/>
      <c r="W510" s="2"/>
      <c r="X510" s="2"/>
      <c r="Y510" s="2"/>
      <c r="Z510" s="2"/>
      <c r="AA510" s="2"/>
      <c r="AB510" s="2"/>
      <c r="AC510" s="2"/>
      <c r="AD510" s="2"/>
      <c r="AE510" s="2"/>
      <c r="AF510" s="2"/>
      <c r="AG510" s="2"/>
    </row>
    <row r="511" spans="1:33" x14ac:dyDescent="0.2">
      <c r="A511" s="2"/>
      <c r="B511" s="2"/>
      <c r="C511" s="2"/>
      <c r="D511" s="71"/>
      <c r="E511" s="72" t="s">
        <v>98</v>
      </c>
      <c r="F511" s="3"/>
      <c r="G511" s="3"/>
      <c r="H511" s="3"/>
      <c r="I511" s="3"/>
      <c r="J511" s="3"/>
      <c r="K511" s="3"/>
      <c r="L511" s="3"/>
      <c r="M511" s="3"/>
      <c r="N511" s="3"/>
      <c r="O511" s="3"/>
      <c r="P511" s="3"/>
      <c r="Q511" s="3"/>
      <c r="R511" s="2"/>
      <c r="S511" s="2"/>
      <c r="T511" s="2"/>
      <c r="U511" s="2"/>
      <c r="V511" s="2"/>
      <c r="W511" s="2"/>
      <c r="X511" s="2"/>
      <c r="Y511" s="2"/>
      <c r="Z511" s="2"/>
      <c r="AA511" s="2"/>
      <c r="AB511" s="2"/>
      <c r="AC511" s="2"/>
      <c r="AD511" s="2"/>
      <c r="AE511" s="2"/>
      <c r="AF511" s="2"/>
      <c r="AG511" s="2"/>
    </row>
    <row r="512" spans="1:33" ht="15.75" x14ac:dyDescent="0.2">
      <c r="A512" s="2"/>
      <c r="B512" s="2"/>
      <c r="C512" s="2"/>
      <c r="D512" s="71"/>
      <c r="E512" s="25" t="s">
        <v>610</v>
      </c>
      <c r="F512" s="12" t="s">
        <v>332</v>
      </c>
      <c r="G512" s="363">
        <f>H68</f>
        <v>0.65</v>
      </c>
      <c r="H512" s="363"/>
      <c r="I512" s="363"/>
      <c r="J512" s="57"/>
      <c r="K512" s="57"/>
      <c r="L512" s="57"/>
      <c r="M512" s="57"/>
      <c r="N512" s="3" t="s">
        <v>738</v>
      </c>
      <c r="O512" s="57"/>
      <c r="P512" s="57"/>
      <c r="R512" s="2"/>
      <c r="S512" s="2"/>
      <c r="T512" s="2"/>
      <c r="U512" s="2"/>
      <c r="V512" s="2"/>
      <c r="W512" s="2"/>
      <c r="X512" s="2"/>
      <c r="Y512" s="2"/>
      <c r="Z512" s="2"/>
      <c r="AA512" s="2"/>
      <c r="AB512" s="2"/>
      <c r="AC512" s="2"/>
      <c r="AD512" s="2"/>
      <c r="AE512" s="2"/>
      <c r="AF512" s="2"/>
      <c r="AG512" s="2"/>
    </row>
    <row r="513" spans="1:33" ht="15.75" x14ac:dyDescent="0.25">
      <c r="A513" s="2"/>
      <c r="B513" s="2"/>
      <c r="C513" s="2"/>
      <c r="D513" s="71"/>
      <c r="E513" s="25" t="s">
        <v>611</v>
      </c>
      <c r="F513" s="12" t="s">
        <v>332</v>
      </c>
      <c r="G513" s="363">
        <f t="shared" ref="G513" si="2">H69</f>
        <v>30</v>
      </c>
      <c r="H513" s="363"/>
      <c r="I513" s="363"/>
      <c r="J513" s="57" t="s">
        <v>557</v>
      </c>
      <c r="K513" s="12"/>
      <c r="L513"/>
      <c r="M513"/>
      <c r="N513" s="3" t="s">
        <v>739</v>
      </c>
      <c r="O513" s="57"/>
      <c r="P513" s="57"/>
      <c r="R513" s="2"/>
      <c r="S513" s="2"/>
      <c r="T513" s="2"/>
      <c r="U513" s="2"/>
      <c r="V513" s="2"/>
      <c r="W513" s="2"/>
      <c r="X513" s="2"/>
      <c r="Y513" s="2"/>
      <c r="Z513" s="2"/>
      <c r="AA513" s="2"/>
      <c r="AB513" s="2"/>
      <c r="AC513" s="2"/>
      <c r="AD513" s="2"/>
      <c r="AE513" s="2"/>
      <c r="AF513" s="2"/>
      <c r="AG513" s="2"/>
    </row>
    <row r="514" spans="1:33" ht="15.75" x14ac:dyDescent="0.2">
      <c r="A514" s="2"/>
      <c r="B514" s="2"/>
      <c r="C514" s="2"/>
      <c r="D514" s="71"/>
      <c r="E514" s="25" t="s">
        <v>716</v>
      </c>
      <c r="F514" s="12" t="s">
        <v>332</v>
      </c>
      <c r="G514" s="363">
        <f>H72</f>
        <v>1</v>
      </c>
      <c r="H514" s="363"/>
      <c r="I514" s="363"/>
      <c r="J514" s="57"/>
      <c r="K514" s="57"/>
      <c r="L514" s="57"/>
      <c r="M514" s="57"/>
      <c r="N514" s="3" t="s">
        <v>740</v>
      </c>
      <c r="O514" s="57"/>
      <c r="P514" s="57"/>
      <c r="R514" s="2"/>
      <c r="S514" s="2"/>
      <c r="T514" s="2"/>
      <c r="U514" s="2"/>
      <c r="V514" s="2"/>
      <c r="W514" s="2"/>
      <c r="X514" s="2"/>
      <c r="Y514" s="2"/>
      <c r="Z514" s="2"/>
      <c r="AA514" s="2"/>
      <c r="AB514" s="2"/>
      <c r="AC514" s="2"/>
      <c r="AD514" s="2"/>
      <c r="AE514" s="2"/>
      <c r="AF514" s="2"/>
      <c r="AG514" s="2"/>
    </row>
    <row r="515" spans="1:33" x14ac:dyDescent="0.2">
      <c r="A515" s="2"/>
      <c r="B515" s="2"/>
      <c r="C515" s="2"/>
      <c r="D515" s="71"/>
      <c r="E515" s="3"/>
      <c r="F515" s="3"/>
      <c r="G515" s="3"/>
      <c r="H515" s="3"/>
      <c r="I515" s="3"/>
      <c r="J515" s="3"/>
      <c r="K515" s="3"/>
      <c r="L515" s="3"/>
      <c r="M515" s="3"/>
      <c r="N515" s="3"/>
      <c r="O515" s="3"/>
      <c r="P515" s="3"/>
      <c r="Q515" s="3"/>
      <c r="R515" s="2"/>
      <c r="S515" s="2"/>
      <c r="T515" s="2"/>
      <c r="U515" s="2"/>
      <c r="V515" s="2"/>
      <c r="W515" s="2"/>
      <c r="X515" s="2"/>
      <c r="Y515" s="2"/>
      <c r="Z515" s="2"/>
      <c r="AA515" s="2"/>
      <c r="AB515" s="2"/>
      <c r="AC515" s="2"/>
      <c r="AD515" s="2"/>
      <c r="AE515" s="2"/>
      <c r="AF515" s="2"/>
      <c r="AG515" s="2"/>
    </row>
    <row r="516" spans="1:33" x14ac:dyDescent="0.2">
      <c r="A516" s="2"/>
      <c r="B516" s="2"/>
      <c r="C516" s="2"/>
      <c r="D516" s="71"/>
      <c r="E516" s="72" t="s">
        <v>717</v>
      </c>
      <c r="F516" s="3"/>
      <c r="G516" s="3"/>
      <c r="H516" s="3"/>
      <c r="I516" s="3"/>
      <c r="J516" s="3"/>
      <c r="K516" s="3"/>
      <c r="L516" s="3"/>
      <c r="M516" s="3"/>
      <c r="N516" s="3"/>
      <c r="O516" s="3"/>
      <c r="P516" s="3"/>
      <c r="Q516" s="3"/>
      <c r="R516" s="2"/>
      <c r="S516" s="2"/>
      <c r="T516" s="2"/>
      <c r="U516" s="2"/>
      <c r="V516" s="2"/>
      <c r="W516" s="2"/>
      <c r="X516" s="2"/>
      <c r="Y516" s="2"/>
      <c r="Z516" s="2"/>
      <c r="AA516" s="2"/>
      <c r="AB516" s="2"/>
      <c r="AC516" s="2"/>
      <c r="AD516" s="2"/>
      <c r="AE516" s="2"/>
      <c r="AF516" s="2"/>
      <c r="AG516" s="2"/>
    </row>
    <row r="517" spans="1:33" x14ac:dyDescent="0.2">
      <c r="A517" s="2"/>
      <c r="B517" s="2"/>
      <c r="C517" s="2"/>
      <c r="D517" s="3"/>
      <c r="E517" s="25" t="s">
        <v>718</v>
      </c>
      <c r="F517" s="12" t="s">
        <v>332</v>
      </c>
      <c r="G517" s="3" t="s">
        <v>719</v>
      </c>
      <c r="H517" s="3"/>
      <c r="I517" s="3"/>
      <c r="J517" s="3"/>
      <c r="K517" s="3"/>
      <c r="L517" s="3"/>
      <c r="M517" s="3"/>
      <c r="N517" s="3"/>
      <c r="O517" s="3"/>
      <c r="P517" s="3"/>
      <c r="Q517" s="3"/>
      <c r="R517" s="2"/>
      <c r="S517" s="2"/>
      <c r="T517" s="2"/>
      <c r="U517" s="2"/>
      <c r="V517" s="2"/>
      <c r="W517" s="2"/>
      <c r="X517" s="2"/>
      <c r="Y517" s="2"/>
      <c r="Z517" s="2"/>
      <c r="AA517" s="2"/>
      <c r="AB517" s="2"/>
      <c r="AC517" s="2"/>
      <c r="AD517" s="2"/>
      <c r="AE517" s="2"/>
      <c r="AF517" s="2"/>
      <c r="AG517" s="2"/>
    </row>
    <row r="518" spans="1:33" ht="15.75" x14ac:dyDescent="0.25">
      <c r="A518" s="2"/>
      <c r="B518" s="2"/>
      <c r="C518" s="2"/>
      <c r="D518" s="3"/>
      <c r="E518" s="25" t="s">
        <v>616</v>
      </c>
      <c r="F518" s="12" t="s">
        <v>332</v>
      </c>
      <c r="G518" s="363">
        <v>248</v>
      </c>
      <c r="H518" s="363"/>
      <c r="I518" s="363"/>
      <c r="J518" s="3" t="s">
        <v>557</v>
      </c>
      <c r="K518" s="12"/>
      <c r="N518" s="2" t="s">
        <v>730</v>
      </c>
      <c r="P518" s="3"/>
      <c r="Q518" s="3"/>
      <c r="R518" s="2"/>
      <c r="S518" s="2"/>
      <c r="T518" s="2"/>
      <c r="U518" s="2"/>
      <c r="V518" s="2"/>
      <c r="W518" s="2"/>
      <c r="X518" s="2"/>
      <c r="Y518"/>
      <c r="Z518"/>
      <c r="AA518"/>
      <c r="AB518"/>
      <c r="AC518"/>
      <c r="AD518"/>
      <c r="AE518" s="2"/>
      <c r="AF518" s="2"/>
      <c r="AG518" s="2"/>
    </row>
    <row r="519" spans="1:33" ht="15.75" x14ac:dyDescent="0.25">
      <c r="A519" s="2"/>
      <c r="B519" s="2"/>
      <c r="C519" s="2"/>
      <c r="D519" s="3"/>
      <c r="E519" s="25" t="s">
        <v>720</v>
      </c>
      <c r="F519" s="12" t="s">
        <v>332</v>
      </c>
      <c r="G519" s="363">
        <v>400</v>
      </c>
      <c r="H519" s="363"/>
      <c r="I519" s="363"/>
      <c r="J519" s="3" t="s">
        <v>557</v>
      </c>
      <c r="K519" s="12"/>
      <c r="N519" s="2" t="s">
        <v>731</v>
      </c>
      <c r="P519" s="3"/>
      <c r="Q519" s="3"/>
      <c r="R519" s="2"/>
      <c r="S519" s="2"/>
      <c r="T519" s="2"/>
      <c r="U519" s="2"/>
      <c r="V519" s="2"/>
      <c r="W519" s="2"/>
      <c r="X519" s="2"/>
      <c r="Y519"/>
      <c r="Z519"/>
      <c r="AA519"/>
      <c r="AB519"/>
      <c r="AC519"/>
      <c r="AD519"/>
      <c r="AE519" s="2"/>
      <c r="AF519" s="2"/>
      <c r="AG519" s="2"/>
    </row>
    <row r="520" spans="1:33" ht="15.75" x14ac:dyDescent="0.25">
      <c r="A520" s="2"/>
      <c r="B520" s="2"/>
      <c r="C520" s="2"/>
      <c r="D520" s="3"/>
      <c r="E520" s="25" t="s">
        <v>721</v>
      </c>
      <c r="F520" s="12" t="s">
        <v>332</v>
      </c>
      <c r="G520" s="363">
        <v>0.85</v>
      </c>
      <c r="H520" s="363"/>
      <c r="I520" s="363"/>
      <c r="J520" s="3"/>
      <c r="K520" s="3"/>
      <c r="L520" s="3"/>
      <c r="M520" s="3"/>
      <c r="N520" s="3" t="s">
        <v>732</v>
      </c>
      <c r="O520" s="3"/>
      <c r="P520" s="3"/>
      <c r="Q520" s="3"/>
      <c r="R520" s="2"/>
      <c r="S520" s="2"/>
      <c r="T520" s="2"/>
      <c r="U520" s="2"/>
      <c r="V520" s="2"/>
      <c r="W520" s="2"/>
      <c r="X520" s="2"/>
      <c r="Y520"/>
      <c r="Z520"/>
      <c r="AA520"/>
      <c r="AB520"/>
      <c r="AC520"/>
      <c r="AD520"/>
      <c r="AE520" s="2"/>
      <c r="AF520" s="2"/>
      <c r="AG520" s="2"/>
    </row>
    <row r="521" spans="1:33" x14ac:dyDescent="0.2">
      <c r="A521" s="2"/>
      <c r="B521" s="2"/>
      <c r="C521" s="2"/>
      <c r="D521" s="3"/>
      <c r="E521" s="3"/>
      <c r="F521" s="3"/>
      <c r="G521" s="3"/>
      <c r="H521" s="3"/>
      <c r="I521" s="3"/>
      <c r="J521" s="3"/>
      <c r="K521" s="3"/>
      <c r="L521" s="3"/>
      <c r="M521" s="3"/>
      <c r="N521" s="3"/>
      <c r="O521" s="3"/>
      <c r="P521" s="3"/>
      <c r="Q521" s="3"/>
      <c r="R521" s="2"/>
      <c r="S521" s="2"/>
      <c r="T521" s="2"/>
      <c r="U521" s="2"/>
      <c r="V521" s="2"/>
      <c r="W521" s="2"/>
      <c r="X521" s="2"/>
      <c r="Y521" s="2"/>
      <c r="Z521" s="2"/>
      <c r="AA521" s="2"/>
      <c r="AB521" s="2"/>
      <c r="AC521" s="2"/>
      <c r="AD521" s="2"/>
      <c r="AE521" s="2"/>
      <c r="AF521" s="2"/>
      <c r="AG521" s="2"/>
    </row>
    <row r="522" spans="1:33" x14ac:dyDescent="0.2">
      <c r="A522" s="2"/>
      <c r="B522" s="2"/>
      <c r="C522" s="2"/>
      <c r="D522" s="71"/>
      <c r="E522" s="72" t="s">
        <v>722</v>
      </c>
      <c r="F522" s="3"/>
      <c r="G522" s="3"/>
      <c r="H522" s="3"/>
      <c r="I522" s="3"/>
      <c r="J522" s="3"/>
      <c r="K522" s="3"/>
      <c r="L522" s="3"/>
      <c r="M522" s="3"/>
      <c r="N522" s="3"/>
      <c r="O522" s="3"/>
      <c r="P522" s="3"/>
      <c r="Q522" s="3"/>
      <c r="R522" s="2"/>
      <c r="S522" s="2"/>
      <c r="T522" s="2"/>
      <c r="U522" s="2"/>
      <c r="V522" s="2"/>
      <c r="W522" s="2"/>
      <c r="X522" s="2"/>
      <c r="Y522" s="2"/>
      <c r="Z522" s="2"/>
      <c r="AA522" s="2"/>
      <c r="AB522" s="2"/>
      <c r="AC522" s="2"/>
      <c r="AD522" s="2"/>
      <c r="AE522" s="2"/>
      <c r="AF522" s="2"/>
      <c r="AG522" s="2"/>
    </row>
    <row r="523" spans="1:33" ht="15.75" x14ac:dyDescent="0.2">
      <c r="A523" s="2"/>
      <c r="B523" s="2"/>
      <c r="C523" s="2"/>
      <c r="D523" s="71"/>
      <c r="E523" s="25" t="s">
        <v>615</v>
      </c>
      <c r="F523" s="12" t="s">
        <v>332</v>
      </c>
      <c r="G523" s="363">
        <v>0.85</v>
      </c>
      <c r="H523" s="363"/>
      <c r="I523" s="363"/>
      <c r="J523" s="57"/>
      <c r="K523" s="57"/>
      <c r="L523" s="57"/>
      <c r="M523" s="57"/>
      <c r="N523" s="57" t="s">
        <v>733</v>
      </c>
      <c r="O523" s="57"/>
      <c r="P523" s="57"/>
      <c r="R523" s="2"/>
      <c r="S523" s="2"/>
      <c r="T523" s="2"/>
      <c r="U523" s="2"/>
      <c r="V523" s="2"/>
      <c r="W523" s="2"/>
      <c r="X523" s="2"/>
      <c r="Y523" s="2"/>
      <c r="Z523" s="2"/>
      <c r="AA523" s="2"/>
      <c r="AB523" s="2"/>
      <c r="AC523" s="2"/>
      <c r="AD523" s="2"/>
      <c r="AE523" s="2"/>
      <c r="AF523" s="2"/>
      <c r="AG523" s="2"/>
    </row>
    <row r="524" spans="1:33" ht="15.75" x14ac:dyDescent="0.25">
      <c r="A524" s="2"/>
      <c r="B524" s="2"/>
      <c r="C524" s="2"/>
      <c r="D524" s="71"/>
      <c r="E524" s="25" t="s">
        <v>616</v>
      </c>
      <c r="F524" s="12" t="s">
        <v>332</v>
      </c>
      <c r="G524" s="363">
        <v>400</v>
      </c>
      <c r="H524" s="363"/>
      <c r="I524" s="363"/>
      <c r="J524" s="57" t="s">
        <v>557</v>
      </c>
      <c r="K524"/>
      <c r="L524"/>
      <c r="M524"/>
      <c r="N524" s="57" t="s">
        <v>734</v>
      </c>
      <c r="O524"/>
      <c r="P524"/>
      <c r="R524" s="2"/>
      <c r="S524" s="2"/>
      <c r="T524" s="2"/>
      <c r="U524" s="2"/>
      <c r="V524" s="2"/>
      <c r="W524" s="2"/>
      <c r="X524" s="2"/>
      <c r="Y524" s="2"/>
      <c r="Z524" s="2"/>
      <c r="AA524" s="2"/>
      <c r="AB524" s="2"/>
      <c r="AC524" s="2"/>
      <c r="AD524" s="2"/>
      <c r="AE524" s="2"/>
      <c r="AF524" s="2"/>
      <c r="AG524" s="2"/>
    </row>
    <row r="525" spans="1:33"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row>
    <row r="526" spans="1:33"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row>
    <row r="527" spans="1:33"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row>
    <row r="528" spans="1:33" x14ac:dyDescent="0.2">
      <c r="A528" s="2"/>
      <c r="B528" s="2"/>
      <c r="C528" s="48" t="s">
        <v>1345</v>
      </c>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row>
    <row r="529" spans="1:33" x14ac:dyDescent="0.2">
      <c r="A529" s="2"/>
      <c r="B529" s="2"/>
      <c r="C529" s="2" t="s">
        <v>1346</v>
      </c>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row>
    <row r="530" spans="1:33"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row>
    <row r="531" spans="1:33" ht="15.75" x14ac:dyDescent="0.25">
      <c r="A531" s="2"/>
      <c r="B531" s="2"/>
      <c r="C531" s="2"/>
      <c r="D531" s="25" t="s">
        <v>1499</v>
      </c>
      <c r="E531" s="12" t="s">
        <v>332</v>
      </c>
      <c r="F531" s="290">
        <f>ABS(H470)</f>
        <v>4.7753159976399724</v>
      </c>
      <c r="G531" s="363"/>
      <c r="H531" s="363"/>
      <c r="I531" s="3" t="s">
        <v>335</v>
      </c>
      <c r="J531" s="12"/>
      <c r="K531"/>
      <c r="L531" s="3" t="s">
        <v>1500</v>
      </c>
      <c r="M531"/>
      <c r="N531" s="3"/>
      <c r="O531" s="2"/>
      <c r="P531" s="2"/>
      <c r="Q531" s="2"/>
      <c r="R531" s="2"/>
      <c r="S531" s="2"/>
      <c r="T531" s="2"/>
      <c r="U531" s="2"/>
      <c r="V531" s="2"/>
      <c r="W531" s="2"/>
      <c r="X531" s="2"/>
      <c r="Y531" s="2"/>
      <c r="Z531" s="2"/>
      <c r="AA531" s="2"/>
      <c r="AB531" s="2"/>
      <c r="AC531" s="2"/>
      <c r="AD531" s="2"/>
      <c r="AE531" s="2"/>
      <c r="AF531" s="2"/>
      <c r="AG531" s="2"/>
    </row>
    <row r="532" spans="1:33"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row>
    <row r="533" spans="1:33"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row>
    <row r="534" spans="1:33"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row>
    <row r="535" spans="1:33" x14ac:dyDescent="0.2">
      <c r="A535" s="2"/>
      <c r="B535" s="2"/>
      <c r="C535" s="2"/>
      <c r="D535" s="24" t="s">
        <v>1347</v>
      </c>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row>
    <row r="536" spans="1:33" ht="14.25" customHeight="1" x14ac:dyDescent="0.2">
      <c r="A536" s="2"/>
      <c r="B536" s="2"/>
      <c r="D536" s="232" t="s">
        <v>1352</v>
      </c>
      <c r="E536" s="232"/>
      <c r="F536" s="232"/>
      <c r="G536" s="232"/>
      <c r="H536" s="232"/>
      <c r="I536" s="232"/>
      <c r="J536" s="232"/>
      <c r="K536" s="232"/>
      <c r="L536" s="232"/>
      <c r="M536" s="232"/>
      <c r="N536" s="232"/>
      <c r="O536" s="232"/>
      <c r="P536" s="232"/>
      <c r="Q536" s="232"/>
      <c r="R536" s="232"/>
      <c r="S536" s="232"/>
      <c r="T536" s="232"/>
      <c r="U536" s="232"/>
      <c r="V536" s="232"/>
      <c r="W536" s="232"/>
      <c r="X536" s="232"/>
      <c r="Y536" s="232"/>
      <c r="Z536" s="232"/>
      <c r="AA536" s="232"/>
      <c r="AB536" s="232"/>
      <c r="AC536" s="232"/>
      <c r="AD536" s="232"/>
      <c r="AE536" s="232"/>
      <c r="AF536" s="232"/>
      <c r="AG536" s="232"/>
    </row>
    <row r="537" spans="1:33" x14ac:dyDescent="0.2">
      <c r="A537" s="2"/>
      <c r="B537" s="2"/>
      <c r="C537" s="23"/>
      <c r="D537" s="232"/>
      <c r="E537" s="232"/>
      <c r="F537" s="232"/>
      <c r="G537" s="232"/>
      <c r="H537" s="232"/>
      <c r="I537" s="232"/>
      <c r="J537" s="232"/>
      <c r="K537" s="232"/>
      <c r="L537" s="232"/>
      <c r="M537" s="232"/>
      <c r="N537" s="232"/>
      <c r="O537" s="232"/>
      <c r="P537" s="232"/>
      <c r="Q537" s="232"/>
      <c r="R537" s="232"/>
      <c r="S537" s="232"/>
      <c r="T537" s="232"/>
      <c r="U537" s="232"/>
      <c r="V537" s="232"/>
      <c r="W537" s="232"/>
      <c r="X537" s="232"/>
      <c r="Y537" s="232"/>
      <c r="Z537" s="232"/>
      <c r="AA537" s="232"/>
      <c r="AB537" s="232"/>
      <c r="AC537" s="232"/>
      <c r="AD537" s="232"/>
      <c r="AE537" s="232"/>
      <c r="AF537" s="232"/>
      <c r="AG537" s="232"/>
    </row>
    <row r="538" spans="1:33"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row>
    <row r="539" spans="1:33"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row>
    <row r="540" spans="1:33"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row>
    <row r="541" spans="1:33"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row>
    <row r="542" spans="1:33"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row>
    <row r="543" spans="1:33"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row>
    <row r="544" spans="1:33"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row>
    <row r="545" spans="1:33"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row>
    <row r="546" spans="1:33"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row>
    <row r="547" spans="1:33"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row>
    <row r="548" spans="1:33"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row>
    <row r="549" spans="1:33"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row>
    <row r="550" spans="1:33" ht="15.75" x14ac:dyDescent="0.25">
      <c r="A550" s="2"/>
      <c r="B550" s="2"/>
      <c r="C550" s="2"/>
      <c r="D550" s="2"/>
      <c r="E550" s="2"/>
      <c r="F550" s="25" t="s">
        <v>708</v>
      </c>
      <c r="G550" s="12" t="s">
        <v>332</v>
      </c>
      <c r="H550" s="290">
        <f>9060/2.21*9.81/1000</f>
        <v>40.216561085972856</v>
      </c>
      <c r="I550" s="363"/>
      <c r="J550" s="363"/>
      <c r="K550" s="3" t="s">
        <v>335</v>
      </c>
      <c r="L550" s="12"/>
      <c r="M550"/>
      <c r="N550" s="3" t="s">
        <v>1348</v>
      </c>
      <c r="O550" s="2"/>
      <c r="P550" s="2"/>
      <c r="Q550" s="2"/>
      <c r="R550" s="2"/>
      <c r="S550" s="2"/>
      <c r="T550" s="2"/>
      <c r="U550" s="2"/>
      <c r="V550" s="2"/>
      <c r="W550" s="2"/>
      <c r="X550" s="2"/>
      <c r="Y550" s="2"/>
      <c r="Z550" s="2"/>
      <c r="AA550" s="2"/>
      <c r="AB550" s="2"/>
      <c r="AC550" s="2"/>
      <c r="AD550" s="2"/>
      <c r="AE550" s="2"/>
      <c r="AF550" s="2"/>
      <c r="AG550" s="2"/>
    </row>
    <row r="551" spans="1:33"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row>
    <row r="552" spans="1:33"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row>
    <row r="553" spans="1:33" x14ac:dyDescent="0.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row>
    <row r="554" spans="1:33" x14ac:dyDescent="0.2">
      <c r="A554" s="2"/>
      <c r="B554" s="2"/>
      <c r="C554" s="2"/>
      <c r="D554" s="2"/>
      <c r="E554" s="16" t="s">
        <v>1349</v>
      </c>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row>
    <row r="555" spans="1:33" ht="15.75" x14ac:dyDescent="0.3">
      <c r="A555" s="2"/>
      <c r="B555" s="2"/>
      <c r="C555" s="2"/>
      <c r="D555" s="2"/>
      <c r="E555" s="2" t="s">
        <v>741</v>
      </c>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row>
    <row r="556" spans="1:33" x14ac:dyDescent="0.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row>
    <row r="557" spans="1:33" x14ac:dyDescent="0.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row>
    <row r="558" spans="1:33" x14ac:dyDescent="0.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row>
    <row r="559" spans="1:33" x14ac:dyDescent="0.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row>
    <row r="560" spans="1:33" x14ac:dyDescent="0.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row>
    <row r="561" spans="1:33" x14ac:dyDescent="0.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row>
    <row r="562" spans="1:33" x14ac:dyDescent="0.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row>
    <row r="563" spans="1:33" x14ac:dyDescent="0.2">
      <c r="A563" s="2"/>
      <c r="B563" s="2"/>
      <c r="C563" s="2"/>
      <c r="D563" s="2"/>
      <c r="E563" s="3"/>
      <c r="F563" s="3"/>
      <c r="G563" s="25" t="s">
        <v>718</v>
      </c>
      <c r="H563" s="12" t="s">
        <v>332</v>
      </c>
      <c r="I563" s="3" t="str">
        <f>G517</f>
        <v>F1554 Gr. 36</v>
      </c>
      <c r="J563" s="3"/>
      <c r="K563" s="3"/>
      <c r="L563" s="3"/>
      <c r="M563" s="3"/>
      <c r="N563" s="3"/>
      <c r="O563" s="3"/>
      <c r="P563" s="3"/>
      <c r="Q563" s="3"/>
      <c r="R563" s="3"/>
      <c r="S563" s="3"/>
      <c r="T563" s="3"/>
      <c r="U563" s="3"/>
      <c r="V563" s="3"/>
      <c r="W563" s="3"/>
      <c r="X563" s="3"/>
      <c r="Y563" s="3"/>
      <c r="Z563" s="3"/>
      <c r="AA563" s="3"/>
      <c r="AB563" s="2"/>
      <c r="AC563" s="2"/>
      <c r="AD563" s="2"/>
      <c r="AE563" s="2"/>
      <c r="AF563" s="2"/>
      <c r="AG563" s="2"/>
    </row>
    <row r="564" spans="1:33" ht="15.75" x14ac:dyDescent="0.25">
      <c r="A564" s="2"/>
      <c r="B564" s="2"/>
      <c r="C564" s="2"/>
      <c r="D564" s="2"/>
      <c r="E564" s="3"/>
      <c r="F564" s="3"/>
      <c r="G564" s="25" t="s">
        <v>742</v>
      </c>
      <c r="H564" s="12" t="s">
        <v>332</v>
      </c>
      <c r="I564" s="290">
        <f>G519</f>
        <v>400</v>
      </c>
      <c r="J564" s="290"/>
      <c r="K564" s="290"/>
      <c r="L564" s="3" t="s">
        <v>557</v>
      </c>
      <c r="M564"/>
      <c r="N564"/>
      <c r="O564" s="2" t="s">
        <v>731</v>
      </c>
      <c r="P564"/>
      <c r="Q564"/>
      <c r="R564" s="3"/>
      <c r="S564" s="3"/>
      <c r="T564" s="3"/>
      <c r="U564" s="3"/>
      <c r="V564" s="3"/>
      <c r="W564" s="3"/>
      <c r="X564" s="3"/>
      <c r="Y564" s="3"/>
      <c r="Z564" s="3"/>
      <c r="AA564" s="3"/>
      <c r="AB564" s="2"/>
      <c r="AC564" s="2"/>
      <c r="AD564" s="2"/>
      <c r="AE564" s="2"/>
      <c r="AF564" s="2"/>
      <c r="AG564" s="2"/>
    </row>
    <row r="565" spans="1:33" ht="15.75" x14ac:dyDescent="0.25">
      <c r="A565" s="2"/>
      <c r="B565" s="2"/>
      <c r="C565" s="2"/>
      <c r="D565" s="2"/>
      <c r="E565" s="3"/>
      <c r="F565" s="3"/>
      <c r="G565" s="25" t="s">
        <v>743</v>
      </c>
      <c r="H565" s="12" t="s">
        <v>332</v>
      </c>
      <c r="I565" s="290">
        <f>I564/3</f>
        <v>133.33333333333334</v>
      </c>
      <c r="J565" s="290"/>
      <c r="K565" s="290"/>
      <c r="L565" s="3" t="s">
        <v>557</v>
      </c>
      <c r="M565"/>
      <c r="N565"/>
      <c r="O565"/>
      <c r="P565"/>
      <c r="Q565"/>
      <c r="R565" s="3"/>
      <c r="S565" s="3"/>
      <c r="T565" s="3"/>
      <c r="U565" s="3"/>
      <c r="V565" s="3"/>
      <c r="W565" s="3"/>
      <c r="X565" s="3"/>
      <c r="Y565" s="3"/>
      <c r="Z565" s="3"/>
      <c r="AA565" s="3"/>
      <c r="AB565" s="2"/>
      <c r="AC565" s="2"/>
      <c r="AD565" s="2"/>
      <c r="AE565" s="2"/>
      <c r="AF565" s="2"/>
      <c r="AG565" s="2"/>
    </row>
    <row r="566" spans="1:33" x14ac:dyDescent="0.2">
      <c r="A566" s="2"/>
      <c r="B566" s="2"/>
      <c r="C566" s="2"/>
      <c r="D566" s="2"/>
      <c r="E566" s="2"/>
      <c r="F566" s="2"/>
      <c r="G566" s="2"/>
      <c r="H566" s="12" t="s">
        <v>332</v>
      </c>
      <c r="I566" s="364">
        <f>I565*145.038</f>
        <v>19338.400000000001</v>
      </c>
      <c r="J566" s="364"/>
      <c r="K566" s="364"/>
      <c r="L566" s="2" t="s">
        <v>350</v>
      </c>
      <c r="N566" s="2" t="s">
        <v>1350</v>
      </c>
      <c r="O566" s="2"/>
      <c r="P566" s="2"/>
      <c r="Q566" s="2"/>
      <c r="R566" s="2"/>
      <c r="S566" s="2"/>
      <c r="T566" s="2"/>
      <c r="U566" s="2"/>
      <c r="V566" s="2"/>
      <c r="W566" s="2"/>
      <c r="X566" s="2"/>
      <c r="Y566" s="2"/>
      <c r="Z566" s="2"/>
      <c r="AA566" s="2"/>
      <c r="AB566" s="2"/>
      <c r="AC566" s="2"/>
      <c r="AD566" s="2"/>
      <c r="AE566" s="2"/>
      <c r="AF566" s="2"/>
      <c r="AG566" s="2"/>
    </row>
    <row r="567" spans="1:33" x14ac:dyDescent="0.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row>
    <row r="568" spans="1:33" x14ac:dyDescent="0.2">
      <c r="A568" s="2"/>
      <c r="B568" s="2"/>
      <c r="C568" s="2"/>
      <c r="D568" s="2"/>
      <c r="E568" s="2" t="s">
        <v>1351</v>
      </c>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row>
    <row r="569" spans="1:33" x14ac:dyDescent="0.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row>
    <row r="570" spans="1:33" x14ac:dyDescent="0.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row>
    <row r="571" spans="1:33" x14ac:dyDescent="0.2">
      <c r="A571" s="2"/>
      <c r="B571" s="2"/>
      <c r="C571" s="232" t="s">
        <v>1523</v>
      </c>
      <c r="D571" s="232"/>
      <c r="E571" s="232"/>
      <c r="F571" s="232"/>
      <c r="G571" s="232"/>
      <c r="H571" s="232"/>
      <c r="I571" s="232"/>
      <c r="J571" s="232"/>
      <c r="K571" s="232"/>
      <c r="L571" s="232"/>
      <c r="M571" s="232"/>
      <c r="N571" s="232"/>
      <c r="O571" s="232"/>
      <c r="P571" s="232"/>
      <c r="Q571" s="232"/>
      <c r="R571" s="232"/>
      <c r="S571" s="232"/>
      <c r="T571" s="232"/>
      <c r="U571" s="232"/>
      <c r="V571" s="232"/>
      <c r="W571" s="232"/>
      <c r="X571" s="232"/>
      <c r="Y571" s="232"/>
      <c r="Z571" s="232"/>
      <c r="AA571" s="232"/>
      <c r="AB571" s="232"/>
      <c r="AC571" s="232"/>
      <c r="AD571" s="232"/>
      <c r="AE571" s="232"/>
      <c r="AF571" s="232"/>
      <c r="AG571" s="232"/>
    </row>
    <row r="572" spans="1:33" x14ac:dyDescent="0.2">
      <c r="A572" s="2"/>
      <c r="B572" s="2"/>
      <c r="C572" s="232"/>
      <c r="D572" s="232"/>
      <c r="E572" s="232"/>
      <c r="F572" s="232"/>
      <c r="G572" s="232"/>
      <c r="H572" s="232"/>
      <c r="I572" s="232"/>
      <c r="J572" s="232"/>
      <c r="K572" s="232"/>
      <c r="L572" s="232"/>
      <c r="M572" s="232"/>
      <c r="N572" s="232"/>
      <c r="O572" s="232"/>
      <c r="P572" s="232"/>
      <c r="Q572" s="232"/>
      <c r="R572" s="232"/>
      <c r="S572" s="232"/>
      <c r="T572" s="232"/>
      <c r="U572" s="232"/>
      <c r="V572" s="232"/>
      <c r="W572" s="232"/>
      <c r="X572" s="232"/>
      <c r="Y572" s="232"/>
      <c r="Z572" s="232"/>
      <c r="AA572" s="232"/>
      <c r="AB572" s="232"/>
      <c r="AC572" s="232"/>
      <c r="AD572" s="232"/>
      <c r="AE572" s="232"/>
      <c r="AF572" s="232"/>
      <c r="AG572" s="232"/>
    </row>
    <row r="573" spans="1:33" x14ac:dyDescent="0.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row>
    <row r="574" spans="1:33" x14ac:dyDescent="0.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row>
    <row r="575" spans="1:33" ht="15.75" x14ac:dyDescent="0.2">
      <c r="A575" s="2"/>
      <c r="B575" s="2"/>
      <c r="I575" s="25" t="s">
        <v>1501</v>
      </c>
      <c r="J575" s="12" t="s">
        <v>332</v>
      </c>
      <c r="K575" s="290">
        <f>MAX(F531,H550)</f>
        <v>40.216561085972856</v>
      </c>
      <c r="L575" s="363"/>
      <c r="M575" s="363"/>
      <c r="N575" s="3" t="s">
        <v>335</v>
      </c>
    </row>
    <row r="576" spans="1:33" x14ac:dyDescent="0.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row>
    <row r="577" spans="1:33" x14ac:dyDescent="0.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row>
    <row r="578" spans="1:33" x14ac:dyDescent="0.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row>
    <row r="579" spans="1:33" x14ac:dyDescent="0.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row>
    <row r="580" spans="1:33" x14ac:dyDescent="0.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row>
    <row r="581" spans="1:33" x14ac:dyDescent="0.2">
      <c r="A581" s="2"/>
      <c r="B581" s="2"/>
      <c r="C581" s="2"/>
      <c r="D581" s="20" t="s">
        <v>1357</v>
      </c>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row>
    <row r="582" spans="1:33" x14ac:dyDescent="0.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row>
    <row r="583" spans="1:33" x14ac:dyDescent="0.2">
      <c r="A583" s="2"/>
      <c r="B583" s="2"/>
      <c r="C583" s="2"/>
      <c r="D583" s="2"/>
      <c r="E583" s="2"/>
      <c r="F583" s="21" t="s">
        <v>744</v>
      </c>
      <c r="G583" s="13" t="s">
        <v>332</v>
      </c>
      <c r="H583" s="231">
        <v>0.8</v>
      </c>
      <c r="I583" s="231"/>
      <c r="J583" s="231"/>
      <c r="K583" s="2"/>
      <c r="L583" s="2"/>
      <c r="M583" s="2"/>
      <c r="N583" s="2"/>
      <c r="O583" s="3" t="s">
        <v>1358</v>
      </c>
      <c r="P583" s="2"/>
      <c r="Q583" s="2"/>
      <c r="R583" s="2"/>
      <c r="S583" s="2"/>
      <c r="T583" s="2"/>
      <c r="U583" s="2"/>
      <c r="V583" s="2"/>
      <c r="W583" s="2"/>
      <c r="X583" s="2"/>
      <c r="Y583" s="2"/>
      <c r="Z583" s="2"/>
      <c r="AA583" s="2"/>
      <c r="AB583" s="2"/>
      <c r="AC583" s="2"/>
      <c r="AD583" s="2"/>
      <c r="AE583" s="2"/>
      <c r="AF583" s="2"/>
      <c r="AG583" s="2"/>
    </row>
    <row r="584" spans="1:33" ht="15.75" x14ac:dyDescent="0.3">
      <c r="A584" s="2"/>
      <c r="B584" s="2"/>
      <c r="C584" s="2"/>
      <c r="D584" s="2"/>
      <c r="E584" s="2"/>
      <c r="F584" s="21" t="s">
        <v>1353</v>
      </c>
      <c r="G584" s="13" t="s">
        <v>332</v>
      </c>
      <c r="H584" s="2" t="s">
        <v>1354</v>
      </c>
      <c r="I584" s="2"/>
      <c r="J584" s="2"/>
      <c r="K584" s="2"/>
      <c r="L584" s="2"/>
      <c r="M584" s="2"/>
      <c r="N584" s="2"/>
      <c r="O584" s="2" t="s">
        <v>1355</v>
      </c>
      <c r="P584" s="2"/>
      <c r="Q584" s="2"/>
      <c r="R584" s="2"/>
      <c r="S584" s="2"/>
      <c r="T584" s="2"/>
      <c r="U584" s="2"/>
      <c r="V584" s="2"/>
      <c r="W584" s="2"/>
      <c r="X584" s="2"/>
      <c r="Y584" s="2"/>
      <c r="Z584" s="2"/>
      <c r="AA584" s="2"/>
      <c r="AB584" s="2"/>
      <c r="AC584" s="2"/>
      <c r="AD584" s="2"/>
      <c r="AE584" s="2"/>
      <c r="AF584" s="2"/>
      <c r="AG584" s="2"/>
    </row>
    <row r="585" spans="1:33" x14ac:dyDescent="0.2">
      <c r="A585" s="2"/>
      <c r="B585" s="2"/>
      <c r="C585" s="2"/>
      <c r="D585" s="2"/>
      <c r="E585" s="2"/>
      <c r="F585" s="2"/>
      <c r="G585" s="13" t="s">
        <v>332</v>
      </c>
      <c r="H585" s="231">
        <f>G490*G520*G519*H583/1000</f>
        <v>58.692205249535419</v>
      </c>
      <c r="I585" s="231"/>
      <c r="J585" s="231"/>
      <c r="K585" s="2" t="s">
        <v>335</v>
      </c>
      <c r="L585" s="2"/>
      <c r="M585" s="2"/>
      <c r="N585" s="2"/>
      <c r="O585" s="2"/>
      <c r="P585" s="2"/>
      <c r="Q585" s="2"/>
      <c r="R585" s="2"/>
      <c r="S585" s="2"/>
      <c r="T585" s="2"/>
      <c r="U585" s="2"/>
      <c r="V585" s="2"/>
      <c r="W585" s="2"/>
      <c r="X585" s="2"/>
      <c r="Y585" s="2"/>
      <c r="Z585" s="2"/>
      <c r="AA585" s="2"/>
      <c r="AB585" s="2"/>
      <c r="AC585" s="2"/>
      <c r="AD585" s="2"/>
      <c r="AE585" s="2"/>
      <c r="AF585" s="2"/>
      <c r="AG585" s="2"/>
    </row>
    <row r="586" spans="1:33" x14ac:dyDescent="0.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row>
    <row r="587" spans="1:33" ht="15.75" x14ac:dyDescent="0.3">
      <c r="A587" s="2"/>
      <c r="B587" s="2"/>
      <c r="C587" s="2"/>
      <c r="D587" s="2"/>
      <c r="E587" s="2"/>
      <c r="F587" s="21" t="s">
        <v>1356</v>
      </c>
      <c r="G587" s="13" t="s">
        <v>332</v>
      </c>
      <c r="H587" s="285">
        <f>K575/H585</f>
        <v>0.68521128001560638</v>
      </c>
      <c r="I587" s="285"/>
      <c r="J587" s="285"/>
      <c r="K587" s="2" t="s">
        <v>573</v>
      </c>
      <c r="L587" s="2"/>
      <c r="M587" s="2"/>
      <c r="N587" s="2"/>
      <c r="O587" s="2"/>
      <c r="P587" s="2"/>
      <c r="Q587" s="2"/>
      <c r="R587" s="2"/>
      <c r="S587" s="2"/>
      <c r="T587" s="2"/>
      <c r="U587" s="2"/>
      <c r="V587" s="2"/>
      <c r="W587" s="2"/>
      <c r="X587" s="2"/>
      <c r="Y587" s="2"/>
      <c r="Z587" s="2"/>
      <c r="AA587" s="2"/>
      <c r="AB587" s="2"/>
      <c r="AC587" s="2"/>
      <c r="AD587" s="2"/>
      <c r="AE587" s="2"/>
      <c r="AF587" s="2"/>
      <c r="AG587" s="2"/>
    </row>
    <row r="588" spans="1:33" x14ac:dyDescent="0.2">
      <c r="A588" s="2"/>
      <c r="B588" s="2"/>
      <c r="C588" s="2"/>
      <c r="D588" s="25"/>
      <c r="E588" s="12"/>
      <c r="F588" s="231"/>
      <c r="G588" s="231"/>
      <c r="H588" s="231"/>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row>
    <row r="589" spans="1:33" x14ac:dyDescent="0.2">
      <c r="A589" s="3"/>
      <c r="B589" s="3"/>
      <c r="C589" s="3"/>
      <c r="D589" s="3"/>
      <c r="U589" s="3"/>
      <c r="V589" s="3"/>
      <c r="W589" s="3"/>
      <c r="X589" s="3"/>
      <c r="Y589" s="3"/>
      <c r="Z589" s="3"/>
      <c r="AA589" s="3"/>
      <c r="AB589" s="3"/>
      <c r="AC589" s="3"/>
      <c r="AD589" s="3"/>
      <c r="AE589" s="3"/>
      <c r="AF589" s="3"/>
      <c r="AG589" s="2"/>
    </row>
    <row r="590" spans="1:33" x14ac:dyDescent="0.2">
      <c r="A590" s="3"/>
      <c r="B590" s="3"/>
      <c r="C590" s="3"/>
      <c r="D590" s="3"/>
      <c r="U590" s="3"/>
      <c r="V590" s="3"/>
      <c r="W590" s="3"/>
      <c r="X590" s="3"/>
      <c r="Y590" s="3"/>
      <c r="Z590" s="3"/>
      <c r="AA590" s="3"/>
      <c r="AB590" s="3"/>
      <c r="AC590" s="3"/>
      <c r="AD590" s="3"/>
      <c r="AE590" s="3"/>
      <c r="AF590" s="3"/>
      <c r="AG590" s="2"/>
    </row>
    <row r="591" spans="1:33" x14ac:dyDescent="0.2">
      <c r="A591" s="2"/>
      <c r="B591" s="2"/>
      <c r="C591" s="2"/>
      <c r="D591" s="20" t="s">
        <v>1359</v>
      </c>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row>
    <row r="592" spans="1:33" x14ac:dyDescent="0.2">
      <c r="A592" s="2"/>
      <c r="B592" s="2"/>
      <c r="C592" s="2"/>
      <c r="D592" s="232" t="s">
        <v>1503</v>
      </c>
      <c r="E592" s="232"/>
      <c r="F592" s="232"/>
      <c r="G592" s="232"/>
      <c r="H592" s="232"/>
      <c r="I592" s="232"/>
      <c r="J592" s="232"/>
      <c r="K592" s="232"/>
      <c r="L592" s="232"/>
      <c r="M592" s="232"/>
      <c r="N592" s="232"/>
      <c r="O592" s="232"/>
      <c r="P592" s="232"/>
      <c r="Q592" s="232"/>
      <c r="R592" s="232"/>
      <c r="S592" s="232"/>
      <c r="T592" s="232"/>
      <c r="U592" s="232"/>
      <c r="V592" s="232"/>
      <c r="W592" s="232"/>
      <c r="X592" s="232"/>
      <c r="Y592" s="232"/>
      <c r="Z592" s="232"/>
      <c r="AA592" s="232"/>
      <c r="AB592" s="232"/>
      <c r="AC592" s="232"/>
      <c r="AD592" s="232"/>
      <c r="AE592" s="232"/>
      <c r="AF592" s="232"/>
      <c r="AG592" s="232"/>
    </row>
    <row r="593" spans="1:33" ht="14.25" customHeight="1" x14ac:dyDescent="0.2">
      <c r="A593" s="2"/>
      <c r="B593" s="2"/>
      <c r="C593" s="2"/>
      <c r="D593" s="232"/>
      <c r="E593" s="232"/>
      <c r="F593" s="232"/>
      <c r="G593" s="232"/>
      <c r="H593" s="232"/>
      <c r="I593" s="232"/>
      <c r="J593" s="232"/>
      <c r="K593" s="232"/>
      <c r="L593" s="232"/>
      <c r="M593" s="232"/>
      <c r="N593" s="232"/>
      <c r="O593" s="232"/>
      <c r="P593" s="232"/>
      <c r="Q593" s="232"/>
      <c r="R593" s="232"/>
      <c r="S593" s="232"/>
      <c r="T593" s="232"/>
      <c r="U593" s="232"/>
      <c r="V593" s="232"/>
      <c r="W593" s="232"/>
      <c r="X593" s="232"/>
      <c r="Y593" s="232"/>
      <c r="Z593" s="232"/>
      <c r="AA593" s="232"/>
      <c r="AB593" s="232"/>
      <c r="AC593" s="232"/>
      <c r="AD593" s="232"/>
      <c r="AE593" s="232"/>
      <c r="AF593" s="232"/>
      <c r="AG593" s="232"/>
    </row>
    <row r="594" spans="1:33" x14ac:dyDescent="0.2">
      <c r="A594" s="2"/>
      <c r="B594" s="2"/>
      <c r="C594" s="2"/>
      <c r="D594" s="232"/>
      <c r="E594" s="232"/>
      <c r="F594" s="232"/>
      <c r="G594" s="232"/>
      <c r="H594" s="232"/>
      <c r="I594" s="232"/>
      <c r="J594" s="232"/>
      <c r="K594" s="232"/>
      <c r="L594" s="232"/>
      <c r="M594" s="232"/>
      <c r="N594" s="232"/>
      <c r="O594" s="232"/>
      <c r="P594" s="232"/>
      <c r="Q594" s="232"/>
      <c r="R594" s="232"/>
      <c r="S594" s="232"/>
      <c r="T594" s="232"/>
      <c r="U594" s="232"/>
      <c r="V594" s="232"/>
      <c r="W594" s="232"/>
      <c r="X594" s="232"/>
      <c r="Y594" s="232"/>
      <c r="Z594" s="232"/>
      <c r="AA594" s="232"/>
      <c r="AB594" s="232"/>
      <c r="AC594" s="232"/>
      <c r="AD594" s="232"/>
      <c r="AE594" s="232"/>
      <c r="AF594" s="232"/>
      <c r="AG594" s="232"/>
    </row>
    <row r="595" spans="1:33" x14ac:dyDescent="0.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row>
    <row r="596" spans="1:33" x14ac:dyDescent="0.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row>
    <row r="597" spans="1:33" x14ac:dyDescent="0.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row>
    <row r="598" spans="1:33" x14ac:dyDescent="0.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row>
    <row r="599" spans="1:33" x14ac:dyDescent="0.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row>
    <row r="600" spans="1:33" x14ac:dyDescent="0.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row>
    <row r="601" spans="1:33" x14ac:dyDescent="0.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row>
    <row r="602" spans="1:33" x14ac:dyDescent="0.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row>
    <row r="603" spans="1:33" x14ac:dyDescent="0.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row>
    <row r="604" spans="1:33" x14ac:dyDescent="0.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row>
    <row r="605" spans="1:33" x14ac:dyDescent="0.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row>
    <row r="606" spans="1:33" x14ac:dyDescent="0.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row>
    <row r="607" spans="1:33" x14ac:dyDescent="0.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row>
    <row r="608" spans="1:33" x14ac:dyDescent="0.2">
      <c r="A608" s="2"/>
      <c r="B608" s="2"/>
      <c r="C608" s="2"/>
      <c r="D608" s="2" t="s">
        <v>1504</v>
      </c>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row>
    <row r="609" spans="1:33" x14ac:dyDescent="0.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row>
    <row r="610" spans="1:33" ht="15.75" x14ac:dyDescent="0.2">
      <c r="A610" s="2"/>
      <c r="B610" s="2"/>
      <c r="C610" s="2"/>
      <c r="D610" s="2"/>
      <c r="F610" s="73" t="s">
        <v>780</v>
      </c>
      <c r="G610" s="76" t="s">
        <v>332</v>
      </c>
      <c r="H610" s="68" t="s">
        <v>781</v>
      </c>
      <c r="I610" s="12"/>
      <c r="J610" s="57"/>
      <c r="K610" s="57"/>
      <c r="L610" s="57"/>
      <c r="M610" s="57"/>
      <c r="N610" s="57"/>
      <c r="O610" s="57"/>
      <c r="P610" s="57"/>
      <c r="Q610" s="2"/>
      <c r="R610" s="2"/>
      <c r="S610" s="57" t="s">
        <v>1360</v>
      </c>
      <c r="T610" s="2"/>
      <c r="U610" s="2"/>
      <c r="V610" s="2"/>
      <c r="W610" s="2"/>
      <c r="X610" s="2"/>
      <c r="Y610" s="2"/>
      <c r="Z610" s="2"/>
      <c r="AA610" s="2"/>
      <c r="AB610" s="2"/>
      <c r="AC610" s="2"/>
      <c r="AD610" s="2"/>
      <c r="AE610" s="2"/>
      <c r="AF610" s="2"/>
      <c r="AG610" s="2"/>
    </row>
    <row r="611" spans="1:33" x14ac:dyDescent="0.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row>
    <row r="612" spans="1:33" x14ac:dyDescent="0.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row>
    <row r="613" spans="1:33" x14ac:dyDescent="0.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row>
    <row r="614" spans="1:33" x14ac:dyDescent="0.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row>
    <row r="615" spans="1:33" x14ac:dyDescent="0.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row>
    <row r="616" spans="1:33" x14ac:dyDescent="0.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row>
    <row r="617" spans="1:33" x14ac:dyDescent="0.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row>
    <row r="618" spans="1:33" x14ac:dyDescent="0.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row>
    <row r="619" spans="1:33" x14ac:dyDescent="0.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row>
    <row r="620" spans="1:33" x14ac:dyDescent="0.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row>
    <row r="621" spans="1:33" x14ac:dyDescent="0.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row>
    <row r="622" spans="1:33" x14ac:dyDescent="0.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row>
    <row r="623" spans="1:33" x14ac:dyDescent="0.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row>
    <row r="624" spans="1:33" x14ac:dyDescent="0.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row>
    <row r="625" spans="1:33" x14ac:dyDescent="0.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row>
    <row r="626" spans="1:33" x14ac:dyDescent="0.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row>
    <row r="627" spans="1:33" x14ac:dyDescent="0.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row>
    <row r="628" spans="1:33" x14ac:dyDescent="0.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row>
    <row r="629" spans="1:33" x14ac:dyDescent="0.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row>
    <row r="630" spans="1:33" x14ac:dyDescent="0.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row>
    <row r="631" spans="1:33" x14ac:dyDescent="0.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row>
    <row r="632" spans="1:33" x14ac:dyDescent="0.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row>
    <row r="633" spans="1:33" x14ac:dyDescent="0.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row>
    <row r="634" spans="1:33" x14ac:dyDescent="0.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row>
    <row r="635" spans="1:33" ht="15.75" x14ac:dyDescent="0.3">
      <c r="A635" s="2"/>
      <c r="B635" s="2"/>
      <c r="C635" s="2"/>
      <c r="D635" s="2" t="s">
        <v>1505</v>
      </c>
      <c r="E635" s="2"/>
      <c r="Q635" s="2"/>
      <c r="R635" s="2"/>
      <c r="S635" s="2"/>
      <c r="T635" s="2"/>
      <c r="U635" s="2"/>
      <c r="V635" s="2"/>
      <c r="W635" s="2"/>
      <c r="X635" s="2"/>
      <c r="Y635" s="2"/>
      <c r="Z635" s="2"/>
      <c r="AA635" s="2"/>
      <c r="AB635" s="2"/>
      <c r="AC635" s="2"/>
      <c r="AD635" s="2"/>
      <c r="AE635" s="2"/>
      <c r="AF635" s="2"/>
      <c r="AG635" s="2"/>
    </row>
    <row r="636" spans="1:33" x14ac:dyDescent="0.2">
      <c r="A636" s="2"/>
      <c r="B636" s="2"/>
      <c r="C636" s="2"/>
      <c r="D636" s="2" t="s">
        <v>1524</v>
      </c>
      <c r="E636" s="2"/>
      <c r="Q636" s="2"/>
      <c r="R636" s="2"/>
      <c r="S636" s="2"/>
      <c r="T636" s="2"/>
      <c r="U636" s="2"/>
      <c r="V636" s="2"/>
      <c r="W636" s="2"/>
      <c r="X636" s="2"/>
      <c r="Y636" s="2"/>
      <c r="Z636" s="2"/>
      <c r="AA636" s="2"/>
      <c r="AB636" s="2"/>
      <c r="AC636" s="2"/>
      <c r="AD636" s="2"/>
      <c r="AE636" s="2"/>
      <c r="AF636" s="2"/>
      <c r="AG636" s="2"/>
    </row>
    <row r="637" spans="1:33" x14ac:dyDescent="0.2">
      <c r="A637" s="2"/>
      <c r="B637" s="2"/>
      <c r="C637" s="2"/>
      <c r="D637" s="2"/>
      <c r="E637" s="2"/>
      <c r="Q637" s="2"/>
      <c r="R637" s="2"/>
      <c r="S637" s="2"/>
      <c r="T637" s="2"/>
      <c r="U637" s="2"/>
      <c r="V637" s="2"/>
      <c r="W637" s="2"/>
      <c r="X637" s="2"/>
      <c r="Y637" s="2"/>
      <c r="Z637" s="2"/>
      <c r="AA637" s="2"/>
      <c r="AB637" s="2"/>
      <c r="AC637" s="2"/>
      <c r="AD637" s="2"/>
      <c r="AE637" s="2"/>
      <c r="AF637" s="2"/>
      <c r="AG637" s="2"/>
    </row>
    <row r="638" spans="1:33" x14ac:dyDescent="0.2">
      <c r="A638" s="2"/>
      <c r="B638" s="2"/>
      <c r="C638" s="2"/>
      <c r="D638" s="2"/>
      <c r="E638" s="2"/>
      <c r="Q638" s="2"/>
      <c r="R638" s="2"/>
      <c r="S638" s="2"/>
      <c r="T638" s="2"/>
      <c r="U638" s="2"/>
      <c r="V638" s="2"/>
      <c r="W638" s="2"/>
      <c r="X638" s="2"/>
      <c r="Y638" s="2"/>
      <c r="Z638" s="2"/>
      <c r="AA638" s="2"/>
      <c r="AB638" s="2"/>
      <c r="AC638" s="2"/>
      <c r="AD638" s="2"/>
      <c r="AE638" s="2"/>
      <c r="AF638" s="2"/>
      <c r="AG638" s="2"/>
    </row>
    <row r="639" spans="1:33" x14ac:dyDescent="0.2">
      <c r="A639" s="2"/>
      <c r="B639" s="2"/>
      <c r="C639" s="2"/>
      <c r="D639" s="2"/>
      <c r="E639" s="2"/>
      <c r="Q639" s="2"/>
      <c r="R639" s="2"/>
      <c r="S639" s="2"/>
      <c r="T639" s="2"/>
      <c r="U639" s="2"/>
      <c r="V639" s="2"/>
      <c r="W639" s="2"/>
      <c r="X639" s="2"/>
      <c r="Y639" s="2"/>
      <c r="Z639" s="2"/>
      <c r="AA639" s="2"/>
      <c r="AB639" s="2"/>
      <c r="AC639" s="2"/>
      <c r="AD639" s="2"/>
      <c r="AE639" s="2"/>
      <c r="AF639" s="2"/>
      <c r="AG639" s="2"/>
    </row>
    <row r="640" spans="1:33" x14ac:dyDescent="0.2">
      <c r="A640" s="2"/>
      <c r="B640" s="2"/>
      <c r="C640" s="2"/>
      <c r="D640" s="2"/>
      <c r="E640" s="2"/>
      <c r="Q640" s="2"/>
      <c r="R640" s="2"/>
      <c r="S640" s="2"/>
      <c r="T640" s="2"/>
      <c r="U640" s="2"/>
      <c r="V640" s="2"/>
      <c r="W640" s="2"/>
      <c r="X640" s="2"/>
      <c r="Y640" s="2"/>
      <c r="Z640" s="2"/>
      <c r="AA640" s="2"/>
      <c r="AB640" s="2"/>
      <c r="AC640" s="2"/>
      <c r="AD640" s="2"/>
      <c r="AE640" s="2"/>
      <c r="AF640" s="2"/>
      <c r="AG640" s="2"/>
    </row>
    <row r="641" spans="1:33" x14ac:dyDescent="0.2">
      <c r="A641" s="2"/>
      <c r="B641" s="2"/>
      <c r="C641" s="2"/>
      <c r="D641" s="2"/>
      <c r="E641" s="2"/>
      <c r="Q641" s="2"/>
      <c r="R641" s="2"/>
      <c r="S641" s="2"/>
      <c r="T641" s="2"/>
      <c r="U641" s="2"/>
      <c r="V641" s="2"/>
      <c r="W641" s="2"/>
      <c r="X641" s="2"/>
      <c r="Y641" s="2"/>
      <c r="Z641" s="2"/>
      <c r="AA641" s="2"/>
      <c r="AB641" s="2"/>
      <c r="AC641" s="2"/>
      <c r="AD641" s="2"/>
      <c r="AE641" s="2"/>
      <c r="AF641" s="2"/>
      <c r="AG641" s="2"/>
    </row>
    <row r="642" spans="1:33" x14ac:dyDescent="0.2">
      <c r="A642" s="2"/>
      <c r="B642" s="2"/>
      <c r="C642" s="2"/>
      <c r="D642" s="2"/>
      <c r="E642" s="2"/>
      <c r="Q642" s="2"/>
      <c r="R642" s="2"/>
      <c r="S642" s="2"/>
      <c r="T642" s="2"/>
      <c r="U642" s="2"/>
      <c r="V642" s="2"/>
      <c r="W642" s="2"/>
      <c r="X642" s="2"/>
      <c r="Y642" s="2"/>
      <c r="Z642" s="2"/>
      <c r="AA642" s="2"/>
      <c r="AB642" s="2"/>
      <c r="AC642" s="2"/>
      <c r="AD642" s="2"/>
      <c r="AE642" s="2"/>
      <c r="AF642" s="2"/>
      <c r="AG642" s="2"/>
    </row>
    <row r="643" spans="1:33" x14ac:dyDescent="0.2">
      <c r="A643" s="2"/>
      <c r="B643" s="2"/>
      <c r="C643" s="2"/>
      <c r="D643" s="2"/>
      <c r="E643" s="2"/>
      <c r="Q643" s="2"/>
      <c r="R643" s="2"/>
      <c r="S643" s="2"/>
      <c r="T643" s="2"/>
      <c r="U643" s="2"/>
      <c r="V643" s="2"/>
      <c r="W643" s="2"/>
      <c r="X643" s="2"/>
      <c r="Y643" s="2"/>
      <c r="Z643" s="2"/>
      <c r="AA643" s="2"/>
      <c r="AB643" s="2"/>
      <c r="AC643" s="2"/>
      <c r="AD643" s="2"/>
      <c r="AE643" s="2"/>
      <c r="AF643" s="2"/>
      <c r="AG643" s="2"/>
    </row>
    <row r="644" spans="1:33" x14ac:dyDescent="0.2">
      <c r="A644" s="2"/>
      <c r="B644" s="2"/>
      <c r="C644" s="2"/>
      <c r="D644" s="2"/>
      <c r="E644" s="2"/>
      <c r="Q644" s="2"/>
      <c r="R644" s="2"/>
      <c r="S644" s="2"/>
      <c r="T644" s="2"/>
      <c r="U644" s="2"/>
      <c r="V644" s="2"/>
      <c r="W644" s="2"/>
      <c r="X644" s="2"/>
      <c r="Y644" s="2"/>
      <c r="Z644" s="2"/>
      <c r="AA644" s="2"/>
      <c r="AB644" s="2"/>
      <c r="AC644" s="2"/>
      <c r="AD644" s="2"/>
      <c r="AE644" s="2"/>
      <c r="AF644" s="2"/>
      <c r="AG644" s="2"/>
    </row>
    <row r="645" spans="1:33" x14ac:dyDescent="0.2">
      <c r="A645" s="2"/>
      <c r="B645" s="2"/>
      <c r="C645" s="2"/>
      <c r="D645" s="2"/>
      <c r="E645" s="2"/>
      <c r="Q645" s="2"/>
      <c r="R645" s="2"/>
      <c r="S645" s="2"/>
      <c r="T645" s="2"/>
      <c r="U645" s="2"/>
      <c r="V645" s="2"/>
      <c r="W645" s="2"/>
      <c r="X645" s="2"/>
      <c r="Y645" s="2"/>
      <c r="Z645" s="2"/>
      <c r="AA645" s="2"/>
      <c r="AB645" s="2"/>
      <c r="AC645" s="2"/>
      <c r="AD645" s="2"/>
      <c r="AE645" s="2"/>
      <c r="AF645" s="2"/>
      <c r="AG645" s="2"/>
    </row>
    <row r="646" spans="1:33" x14ac:dyDescent="0.2">
      <c r="A646" s="2"/>
      <c r="B646" s="2"/>
      <c r="C646" s="2"/>
      <c r="D646" s="2"/>
      <c r="E646" s="2"/>
      <c r="Q646" s="2"/>
      <c r="R646" s="2"/>
      <c r="S646" s="2"/>
      <c r="T646" s="2"/>
      <c r="U646" s="2"/>
      <c r="V646" s="2"/>
      <c r="W646" s="2"/>
      <c r="X646" s="2"/>
      <c r="Y646" s="2"/>
      <c r="Z646" s="2"/>
      <c r="AA646" s="2"/>
      <c r="AB646" s="2"/>
      <c r="AC646" s="2"/>
      <c r="AD646" s="2"/>
      <c r="AE646" s="2"/>
      <c r="AF646" s="2"/>
      <c r="AG646" s="2"/>
    </row>
    <row r="647" spans="1:33" x14ac:dyDescent="0.2">
      <c r="A647" s="2"/>
      <c r="B647" s="2"/>
      <c r="C647" s="2"/>
      <c r="D647" s="2"/>
      <c r="E647" s="2"/>
      <c r="Q647" s="2"/>
      <c r="R647" s="2"/>
      <c r="S647" s="2"/>
      <c r="T647" s="2"/>
      <c r="U647" s="2"/>
      <c r="V647" s="2"/>
      <c r="W647" s="2"/>
      <c r="X647" s="2"/>
      <c r="Y647" s="2"/>
      <c r="Z647" s="2"/>
      <c r="AA647" s="2"/>
      <c r="AB647" s="2"/>
      <c r="AC647" s="2"/>
      <c r="AD647" s="2"/>
      <c r="AE647" s="2"/>
      <c r="AF647" s="2"/>
      <c r="AG647" s="2"/>
    </row>
    <row r="648" spans="1:33" x14ac:dyDescent="0.2">
      <c r="A648" s="2"/>
      <c r="B648" s="2"/>
      <c r="C648" s="2"/>
      <c r="D648" s="2"/>
      <c r="E648" s="2"/>
      <c r="Q648" s="2"/>
      <c r="R648" s="2"/>
      <c r="S648" s="2"/>
      <c r="T648" s="2"/>
      <c r="U648" s="2"/>
      <c r="V648" s="2"/>
      <c r="W648" s="2"/>
      <c r="X648" s="2"/>
      <c r="Y648" s="2"/>
      <c r="Z648" s="2"/>
      <c r="AA648" s="2"/>
      <c r="AB648" s="2"/>
      <c r="AC648" s="2"/>
      <c r="AD648" s="2"/>
      <c r="AE648" s="2"/>
      <c r="AF648" s="2"/>
      <c r="AG648" s="2"/>
    </row>
    <row r="649" spans="1:33" x14ac:dyDescent="0.2">
      <c r="A649" s="2"/>
      <c r="B649" s="2"/>
      <c r="C649" s="2"/>
      <c r="D649" s="2"/>
      <c r="E649" s="2"/>
      <c r="Q649" s="2"/>
      <c r="R649" s="2"/>
      <c r="S649" s="2"/>
      <c r="T649" s="2"/>
      <c r="U649" s="2"/>
      <c r="V649" s="2"/>
      <c r="W649" s="2"/>
      <c r="X649" s="2"/>
      <c r="Y649" s="2"/>
      <c r="Z649" s="2"/>
      <c r="AA649" s="2"/>
      <c r="AB649" s="2"/>
      <c r="AC649" s="2"/>
      <c r="AD649" s="2"/>
      <c r="AE649" s="2"/>
      <c r="AF649" s="2"/>
      <c r="AG649" s="2"/>
    </row>
    <row r="650" spans="1:33" x14ac:dyDescent="0.2">
      <c r="A650" s="2"/>
      <c r="B650" s="2"/>
      <c r="C650" s="2"/>
      <c r="D650" s="2"/>
      <c r="E650" s="2"/>
      <c r="Q650" s="2"/>
      <c r="R650" s="2"/>
      <c r="S650" s="2"/>
      <c r="T650" s="2"/>
      <c r="U650" s="2"/>
      <c r="V650" s="2"/>
      <c r="W650" s="2"/>
      <c r="X650" s="2"/>
      <c r="Y650" s="2"/>
      <c r="Z650" s="2"/>
      <c r="AA650" s="2"/>
      <c r="AB650" s="2"/>
      <c r="AC650" s="2"/>
      <c r="AD650" s="2"/>
      <c r="AE650" s="2"/>
      <c r="AF650" s="2"/>
      <c r="AG650" s="2"/>
    </row>
    <row r="651" spans="1:33" x14ac:dyDescent="0.2">
      <c r="A651" s="2"/>
      <c r="B651" s="2"/>
      <c r="C651" s="2"/>
      <c r="D651" s="2"/>
      <c r="E651" s="2"/>
      <c r="Q651" s="2"/>
      <c r="R651" s="2"/>
      <c r="S651" s="2"/>
      <c r="T651" s="2"/>
      <c r="U651" s="2"/>
      <c r="V651" s="2"/>
      <c r="W651" s="2"/>
      <c r="X651" s="2"/>
      <c r="Y651" s="2"/>
      <c r="Z651" s="2"/>
      <c r="AA651" s="2"/>
      <c r="AB651" s="2"/>
      <c r="AC651" s="2"/>
      <c r="AD651" s="2"/>
      <c r="AE651" s="2"/>
      <c r="AF651" s="2"/>
      <c r="AG651" s="2"/>
    </row>
    <row r="652" spans="1:33" x14ac:dyDescent="0.2">
      <c r="A652" s="2"/>
      <c r="B652" s="2"/>
      <c r="C652" s="2"/>
      <c r="D652" s="2"/>
      <c r="E652" s="2"/>
      <c r="Q652" s="2"/>
      <c r="R652" s="2"/>
      <c r="S652" s="2"/>
      <c r="T652" s="2"/>
      <c r="U652" s="2"/>
      <c r="V652" s="2"/>
      <c r="W652" s="2"/>
      <c r="X652" s="2"/>
      <c r="Y652" s="2"/>
      <c r="Z652" s="2"/>
      <c r="AA652" s="2"/>
      <c r="AB652" s="2"/>
      <c r="AC652" s="2"/>
      <c r="AD652" s="2"/>
      <c r="AE652" s="2"/>
      <c r="AF652" s="2"/>
      <c r="AG652" s="2"/>
    </row>
    <row r="653" spans="1:33" x14ac:dyDescent="0.2">
      <c r="A653" s="2"/>
      <c r="B653" s="2"/>
      <c r="C653" s="2"/>
      <c r="D653" s="2"/>
      <c r="E653" s="2"/>
      <c r="Q653" s="2"/>
      <c r="R653" s="2"/>
      <c r="S653" s="2"/>
      <c r="T653" s="2"/>
      <c r="U653" s="2"/>
      <c r="V653" s="2"/>
      <c r="W653" s="2"/>
      <c r="X653" s="2"/>
      <c r="Y653" s="2"/>
      <c r="Z653" s="2"/>
      <c r="AA653" s="2"/>
      <c r="AB653" s="2"/>
      <c r="AC653" s="2"/>
      <c r="AD653" s="2"/>
      <c r="AE653" s="2"/>
      <c r="AF653" s="2"/>
      <c r="AG653" s="2"/>
    </row>
    <row r="654" spans="1:33" x14ac:dyDescent="0.2">
      <c r="A654" s="2"/>
      <c r="B654" s="2"/>
      <c r="C654" s="2"/>
      <c r="D654" s="2"/>
      <c r="E654" s="2"/>
      <c r="Q654" s="2"/>
      <c r="R654" s="2"/>
      <c r="S654" s="2"/>
      <c r="T654" s="2"/>
      <c r="U654" s="2"/>
      <c r="V654" s="2"/>
      <c r="W654" s="2"/>
      <c r="X654" s="2"/>
      <c r="Y654" s="2"/>
      <c r="Z654" s="2"/>
      <c r="AA654" s="2"/>
      <c r="AB654" s="2"/>
      <c r="AC654" s="2"/>
      <c r="AD654" s="2"/>
      <c r="AE654" s="2"/>
      <c r="AF654" s="2"/>
      <c r="AG654" s="2"/>
    </row>
    <row r="655" spans="1:33" x14ac:dyDescent="0.2">
      <c r="A655" s="2"/>
      <c r="B655" s="2"/>
      <c r="C655" s="2"/>
      <c r="D655" s="2"/>
      <c r="E655" s="2"/>
      <c r="Q655" s="2"/>
      <c r="R655" s="2"/>
      <c r="S655" s="2"/>
      <c r="T655" s="2"/>
      <c r="U655" s="2"/>
      <c r="V655" s="2"/>
      <c r="W655" s="2"/>
      <c r="X655" s="2"/>
      <c r="Y655" s="2"/>
      <c r="Z655" s="2"/>
      <c r="AA655" s="2"/>
      <c r="AB655" s="2"/>
      <c r="AC655" s="2"/>
      <c r="AD655" s="2"/>
      <c r="AE655" s="2"/>
      <c r="AF655" s="2"/>
      <c r="AG655" s="2"/>
    </row>
    <row r="656" spans="1:33" x14ac:dyDescent="0.2">
      <c r="A656" s="2"/>
      <c r="B656" s="2"/>
      <c r="C656" s="2"/>
      <c r="D656" s="2"/>
      <c r="E656" s="2"/>
      <c r="Q656" s="2"/>
      <c r="R656" s="2"/>
      <c r="S656" s="2"/>
      <c r="T656" s="2"/>
      <c r="U656" s="2"/>
      <c r="V656" s="2"/>
      <c r="W656" s="2"/>
      <c r="X656" s="2"/>
      <c r="Y656" s="2"/>
      <c r="Z656" s="2"/>
      <c r="AA656" s="2"/>
      <c r="AB656" s="2"/>
      <c r="AC656" s="2"/>
      <c r="AD656" s="2"/>
      <c r="AE656" s="2"/>
      <c r="AF656" s="2"/>
      <c r="AG656" s="2"/>
    </row>
    <row r="657" spans="1:33" x14ac:dyDescent="0.2">
      <c r="A657" s="2"/>
      <c r="B657" s="2"/>
      <c r="C657" s="2"/>
      <c r="D657" s="2"/>
      <c r="E657" s="2"/>
      <c r="Q657" s="2"/>
      <c r="R657" s="2"/>
      <c r="S657" s="2"/>
      <c r="T657" s="2"/>
      <c r="U657" s="2"/>
      <c r="V657" s="2"/>
      <c r="W657" s="2"/>
      <c r="X657" s="2"/>
      <c r="Y657" s="2"/>
      <c r="Z657" s="2"/>
      <c r="AA657" s="2"/>
      <c r="AB657" s="2"/>
      <c r="AC657" s="2"/>
      <c r="AD657" s="2"/>
      <c r="AE657" s="2"/>
      <c r="AF657" s="2"/>
      <c r="AG657" s="2"/>
    </row>
    <row r="658" spans="1:33" x14ac:dyDescent="0.2">
      <c r="A658" s="2"/>
      <c r="B658" s="2"/>
      <c r="C658" s="2"/>
      <c r="D658" s="2"/>
      <c r="E658" s="2"/>
      <c r="Q658" s="2"/>
      <c r="R658" s="2"/>
      <c r="S658" s="2"/>
      <c r="T658" s="2"/>
      <c r="U658" s="2"/>
      <c r="V658" s="2"/>
      <c r="W658" s="2"/>
      <c r="X658" s="2"/>
      <c r="Y658" s="2"/>
      <c r="Z658" s="2"/>
      <c r="AA658" s="2"/>
      <c r="AB658" s="2"/>
      <c r="AC658" s="2"/>
      <c r="AD658" s="2"/>
      <c r="AE658" s="2"/>
      <c r="AF658" s="2"/>
      <c r="AG658" s="2"/>
    </row>
    <row r="659" spans="1:33" x14ac:dyDescent="0.2">
      <c r="A659" s="2"/>
      <c r="B659" s="2"/>
      <c r="C659" s="2"/>
      <c r="D659" s="2"/>
      <c r="E659" s="2"/>
      <c r="Q659" s="2"/>
      <c r="R659" s="2"/>
      <c r="S659" s="2"/>
      <c r="T659" s="2"/>
      <c r="U659" s="2"/>
      <c r="V659" s="2"/>
      <c r="W659" s="2"/>
      <c r="X659" s="2"/>
      <c r="Y659" s="2"/>
      <c r="Z659" s="2"/>
      <c r="AA659" s="2"/>
      <c r="AB659" s="2"/>
      <c r="AC659" s="2"/>
      <c r="AD659" s="2"/>
      <c r="AE659" s="2"/>
      <c r="AF659" s="2"/>
      <c r="AG659" s="2"/>
    </row>
    <row r="660" spans="1:33" x14ac:dyDescent="0.2">
      <c r="A660" s="2"/>
      <c r="B660" s="2"/>
      <c r="C660" s="2"/>
      <c r="D660" s="2"/>
      <c r="E660" s="2"/>
      <c r="Q660" s="2"/>
      <c r="R660" s="2"/>
      <c r="S660" s="2"/>
      <c r="T660" s="2"/>
      <c r="U660" s="2"/>
      <c r="V660" s="2"/>
      <c r="W660" s="2"/>
      <c r="X660" s="2"/>
      <c r="Y660" s="2"/>
      <c r="Z660" s="2"/>
      <c r="AA660" s="2"/>
      <c r="AB660" s="2"/>
      <c r="AC660" s="2"/>
      <c r="AD660" s="2"/>
      <c r="AE660" s="2"/>
      <c r="AF660" s="2"/>
      <c r="AG660" s="2"/>
    </row>
    <row r="661" spans="1:33" x14ac:dyDescent="0.2">
      <c r="A661" s="2"/>
      <c r="B661" s="2"/>
      <c r="C661" s="2"/>
      <c r="D661" s="2"/>
      <c r="E661" s="2"/>
      <c r="Q661" s="2"/>
      <c r="R661" s="2"/>
      <c r="S661" s="2"/>
      <c r="T661" s="2"/>
      <c r="U661" s="2"/>
      <c r="V661" s="2"/>
      <c r="W661" s="2"/>
      <c r="X661" s="2"/>
      <c r="Y661" s="2"/>
      <c r="Z661" s="2"/>
      <c r="AA661" s="2"/>
      <c r="AB661" s="2"/>
      <c r="AC661" s="2"/>
      <c r="AD661" s="2"/>
      <c r="AE661" s="2"/>
      <c r="AF661" s="2"/>
      <c r="AG661" s="2"/>
    </row>
    <row r="662" spans="1:33" ht="18.75" x14ac:dyDescent="0.35">
      <c r="A662" s="2"/>
      <c r="B662" s="2"/>
      <c r="C662" s="2"/>
      <c r="D662" s="2"/>
      <c r="E662" s="2"/>
      <c r="F662" s="2" t="s">
        <v>1506</v>
      </c>
      <c r="G662" s="67" t="s">
        <v>332</v>
      </c>
      <c r="H662" s="1" t="s">
        <v>1507</v>
      </c>
      <c r="Q662" s="2"/>
      <c r="R662" s="2"/>
      <c r="S662" s="2"/>
      <c r="T662" s="2"/>
      <c r="U662" s="2"/>
      <c r="V662" s="2"/>
      <c r="W662" s="2"/>
      <c r="X662" s="2"/>
      <c r="Y662" s="2"/>
      <c r="Z662" s="2"/>
      <c r="AA662" s="2"/>
      <c r="AB662" s="2"/>
      <c r="AC662" s="2"/>
      <c r="AD662" s="2"/>
      <c r="AE662" s="2"/>
      <c r="AF662" s="2"/>
      <c r="AG662" s="2"/>
    </row>
    <row r="663" spans="1:33" x14ac:dyDescent="0.2">
      <c r="A663" s="2"/>
      <c r="B663" s="2"/>
      <c r="C663" s="2"/>
      <c r="D663" s="2"/>
      <c r="E663" s="2"/>
      <c r="F663" s="2"/>
      <c r="G663" s="12" t="s">
        <v>332</v>
      </c>
      <c r="H663" s="364">
        <f>MAX(G506/1.5,G507/3)</f>
        <v>204.33333333333334</v>
      </c>
      <c r="I663" s="364"/>
      <c r="J663" s="364"/>
      <c r="K663" s="3" t="s">
        <v>337</v>
      </c>
      <c r="Q663" s="2"/>
      <c r="R663" s="2"/>
      <c r="S663" s="2"/>
      <c r="T663" s="2"/>
      <c r="U663" s="2"/>
      <c r="V663" s="2"/>
      <c r="W663" s="2"/>
      <c r="X663" s="2"/>
      <c r="Y663" s="2"/>
      <c r="Z663" s="2"/>
      <c r="AA663" s="2"/>
      <c r="AB663" s="2"/>
      <c r="AC663" s="2"/>
      <c r="AD663" s="2"/>
      <c r="AE663" s="2"/>
      <c r="AF663" s="2"/>
      <c r="AG663" s="2"/>
    </row>
    <row r="664" spans="1:33" x14ac:dyDescent="0.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row>
    <row r="665" spans="1:33" ht="15.75" x14ac:dyDescent="0.2">
      <c r="A665" s="2"/>
      <c r="B665" s="2"/>
      <c r="C665" s="2"/>
      <c r="D665" s="2"/>
      <c r="E665" s="2"/>
      <c r="F665" s="25" t="s">
        <v>782</v>
      </c>
      <c r="G665" s="12" t="s">
        <v>332</v>
      </c>
      <c r="H665" s="364">
        <f>581*492</f>
        <v>285852</v>
      </c>
      <c r="I665" s="364"/>
      <c r="J665" s="364"/>
      <c r="K665" s="3" t="s">
        <v>555</v>
      </c>
      <c r="L665" s="57"/>
      <c r="M665" s="57"/>
      <c r="N665" s="57"/>
      <c r="O665" s="3" t="s">
        <v>1508</v>
      </c>
      <c r="P665" s="2"/>
      <c r="Q665" s="2"/>
      <c r="R665" s="2"/>
      <c r="S665" s="2"/>
      <c r="T665" s="2"/>
      <c r="U665" s="2"/>
      <c r="V665" s="2"/>
      <c r="W665" s="2"/>
      <c r="X665" s="2"/>
      <c r="Y665" s="2"/>
      <c r="Z665" s="2"/>
      <c r="AA665" s="2"/>
      <c r="AB665" s="2"/>
      <c r="AC665" s="2"/>
      <c r="AD665" s="2"/>
      <c r="AE665" s="2"/>
      <c r="AF665" s="2"/>
      <c r="AG665" s="2"/>
    </row>
    <row r="666" spans="1:33" ht="15.75" x14ac:dyDescent="0.2">
      <c r="A666" s="2"/>
      <c r="B666" s="2"/>
      <c r="C666" s="2"/>
      <c r="D666" s="2"/>
      <c r="E666" s="2"/>
      <c r="F666" s="25" t="s">
        <v>783</v>
      </c>
      <c r="G666" s="12" t="s">
        <v>332</v>
      </c>
      <c r="H666" s="364">
        <f>9*H663^2</f>
        <v>375769.00000000006</v>
      </c>
      <c r="I666" s="364"/>
      <c r="J666" s="364"/>
      <c r="K666" s="3" t="s">
        <v>555</v>
      </c>
      <c r="L666" s="57"/>
      <c r="M666" s="57"/>
      <c r="N666" s="57"/>
      <c r="O666" s="3" t="s">
        <v>797</v>
      </c>
      <c r="P666" s="2"/>
      <c r="Q666" s="2"/>
      <c r="R666" s="2"/>
      <c r="S666" s="2"/>
      <c r="T666" s="2"/>
      <c r="U666" s="2"/>
      <c r="V666" s="2"/>
      <c r="W666" s="2"/>
      <c r="X666" s="2"/>
      <c r="Y666" s="2"/>
      <c r="Z666" s="2"/>
      <c r="AA666" s="2"/>
      <c r="AB666" s="2"/>
      <c r="AC666" s="2"/>
      <c r="AD666" s="2"/>
      <c r="AE666" s="2"/>
      <c r="AF666" s="2"/>
      <c r="AG666" s="2"/>
    </row>
    <row r="667" spans="1:33" x14ac:dyDescent="0.2">
      <c r="A667" s="2"/>
      <c r="B667" s="2"/>
      <c r="C667" s="2"/>
      <c r="D667" s="2"/>
      <c r="E667" s="2"/>
      <c r="F667" s="25" t="s">
        <v>558</v>
      </c>
      <c r="G667" s="12" t="s">
        <v>332</v>
      </c>
      <c r="H667" s="363">
        <v>10</v>
      </c>
      <c r="I667" s="363"/>
      <c r="J667" s="363"/>
      <c r="K667" s="3"/>
      <c r="L667" s="57"/>
      <c r="M667" s="57"/>
      <c r="N667" s="57"/>
      <c r="O667" s="3" t="s">
        <v>792</v>
      </c>
      <c r="P667" s="2"/>
      <c r="Q667" s="2"/>
      <c r="R667" s="2"/>
      <c r="S667" s="2"/>
      <c r="T667" s="2"/>
      <c r="U667" s="2"/>
      <c r="V667" s="2"/>
      <c r="W667" s="2"/>
      <c r="X667" s="2"/>
      <c r="Y667" s="2"/>
      <c r="Z667" s="2"/>
      <c r="AA667" s="2"/>
      <c r="AB667" s="2"/>
      <c r="AC667" s="2"/>
      <c r="AD667" s="2"/>
      <c r="AE667" s="2"/>
      <c r="AF667" s="2"/>
      <c r="AG667" s="2"/>
    </row>
    <row r="668" spans="1:33" x14ac:dyDescent="0.2">
      <c r="A668" s="2"/>
      <c r="B668" s="2"/>
      <c r="C668" s="2"/>
      <c r="D668" s="2"/>
      <c r="E668" s="2"/>
      <c r="F668" s="25" t="s">
        <v>744</v>
      </c>
      <c r="G668" s="12" t="s">
        <v>332</v>
      </c>
      <c r="H668" s="290">
        <v>1</v>
      </c>
      <c r="I668" s="290"/>
      <c r="J668" s="290"/>
      <c r="K668" s="3"/>
      <c r="L668" s="57"/>
      <c r="M668" s="57"/>
      <c r="N668" s="57"/>
      <c r="O668" s="3" t="s">
        <v>751</v>
      </c>
      <c r="P668" s="2"/>
      <c r="Q668" s="2"/>
      <c r="R668" s="2"/>
      <c r="S668" s="2"/>
      <c r="T668" s="2"/>
      <c r="U668" s="2"/>
      <c r="V668" s="2"/>
      <c r="W668" s="2"/>
      <c r="X668" s="2"/>
      <c r="Y668" s="2"/>
      <c r="Z668" s="2"/>
      <c r="AA668" s="2"/>
      <c r="AB668" s="2"/>
      <c r="AC668" s="2"/>
      <c r="AD668" s="2"/>
      <c r="AE668" s="2"/>
      <c r="AF668" s="2"/>
      <c r="AG668" s="2"/>
    </row>
    <row r="669" spans="1:33" ht="15.75" x14ac:dyDescent="0.2">
      <c r="A669" s="2"/>
      <c r="B669" s="2"/>
      <c r="C669" s="2"/>
      <c r="D669" s="2"/>
      <c r="E669" s="2"/>
      <c r="F669" s="25" t="s">
        <v>791</v>
      </c>
      <c r="G669" s="12" t="s">
        <v>332</v>
      </c>
      <c r="H669" s="3" t="s">
        <v>1509</v>
      </c>
      <c r="I669" s="3"/>
      <c r="J669" s="3"/>
      <c r="K669" s="3"/>
      <c r="L669" s="57"/>
      <c r="M669" s="57"/>
      <c r="N669" s="57"/>
      <c r="O669" s="57" t="s">
        <v>798</v>
      </c>
      <c r="P669" s="2"/>
      <c r="Q669" s="2"/>
      <c r="R669" s="2"/>
      <c r="S669" s="2"/>
      <c r="T669" s="2"/>
      <c r="U669" s="2"/>
      <c r="V669" s="2"/>
      <c r="W669" s="2"/>
      <c r="X669" s="2"/>
      <c r="Y669" s="2"/>
      <c r="Z669" s="2"/>
      <c r="AA669" s="2"/>
      <c r="AB669" s="2"/>
      <c r="AC669" s="2"/>
      <c r="AD669" s="2"/>
      <c r="AE669" s="2"/>
      <c r="AF669" s="2"/>
      <c r="AG669" s="2"/>
    </row>
    <row r="670" spans="1:33" ht="15" x14ac:dyDescent="0.2">
      <c r="A670" s="2"/>
      <c r="B670" s="2"/>
      <c r="C670" s="2"/>
      <c r="D670" s="2"/>
      <c r="E670" s="57"/>
      <c r="F670" s="3"/>
      <c r="G670" s="12" t="s">
        <v>332</v>
      </c>
      <c r="H670" s="290">
        <f>H667*G512*G514*SQRT(G513)*H663^1.5*H668/1000</f>
        <v>103.98790139696273</v>
      </c>
      <c r="I670" s="290"/>
      <c r="J670" s="290"/>
      <c r="K670" s="3" t="s">
        <v>335</v>
      </c>
      <c r="L670" s="57"/>
      <c r="M670" s="57"/>
      <c r="N670" s="57"/>
      <c r="O670" s="57"/>
      <c r="R670" s="77"/>
      <c r="S670" s="57"/>
      <c r="T670" s="57"/>
      <c r="U670" s="57"/>
      <c r="V670" s="57"/>
      <c r="W670" s="2"/>
      <c r="X670" s="2"/>
      <c r="Y670" s="2"/>
      <c r="Z670" s="2"/>
      <c r="AA670" s="2"/>
      <c r="AB670" s="2"/>
      <c r="AC670" s="2"/>
      <c r="AD670" s="2"/>
      <c r="AE670" s="2"/>
      <c r="AF670" s="2"/>
      <c r="AG670" s="2"/>
    </row>
    <row r="671" spans="1:33" ht="15" x14ac:dyDescent="0.2">
      <c r="A671" s="2"/>
      <c r="B671" s="2"/>
      <c r="C671" s="2"/>
      <c r="D671" s="2"/>
      <c r="E671" s="57"/>
      <c r="F671" s="73"/>
      <c r="G671" s="76"/>
      <c r="H671" s="68"/>
      <c r="I671" s="12"/>
      <c r="J671" s="12"/>
      <c r="K671" s="57"/>
      <c r="L671" s="57"/>
      <c r="M671" s="57"/>
      <c r="N671" s="57"/>
      <c r="O671" s="57"/>
      <c r="P671" s="57"/>
      <c r="Q671" s="57"/>
      <c r="R671" s="77"/>
      <c r="S671" s="57"/>
      <c r="T671" s="57"/>
      <c r="U671" s="57"/>
      <c r="V671" s="57"/>
      <c r="W671" s="2"/>
      <c r="X671" s="2"/>
      <c r="Y671" s="2"/>
      <c r="Z671" s="2"/>
      <c r="AA671" s="2"/>
      <c r="AB671" s="2"/>
      <c r="AC671" s="2"/>
      <c r="AD671" s="2"/>
      <c r="AE671" s="2"/>
      <c r="AF671" s="2"/>
      <c r="AG671" s="2"/>
    </row>
    <row r="672" spans="1:33" ht="15.75" x14ac:dyDescent="0.2">
      <c r="A672" s="2"/>
      <c r="B672" s="2"/>
      <c r="C672" s="2"/>
      <c r="D672" s="2"/>
      <c r="E672" s="57"/>
      <c r="F672" s="25" t="s">
        <v>784</v>
      </c>
      <c r="G672" s="12" t="s">
        <v>332</v>
      </c>
      <c r="H672" s="298">
        <v>1</v>
      </c>
      <c r="I672" s="298"/>
      <c r="J672" s="298"/>
      <c r="K672" s="57"/>
      <c r="L672" s="57"/>
      <c r="M672" s="57"/>
      <c r="N672" s="57"/>
      <c r="O672" s="57" t="s">
        <v>788</v>
      </c>
      <c r="P672" s="57"/>
      <c r="Q672" s="57"/>
      <c r="R672" s="77"/>
      <c r="S672" s="57"/>
      <c r="T672" s="57"/>
      <c r="U672" s="57"/>
      <c r="V672" s="57"/>
      <c r="W672" s="2"/>
      <c r="X672" s="2"/>
      <c r="Y672" s="2"/>
      <c r="Z672" s="2"/>
      <c r="AA672" s="2"/>
      <c r="AB672" s="2"/>
      <c r="AC672" s="2"/>
      <c r="AD672" s="2"/>
      <c r="AE672" s="2"/>
      <c r="AF672" s="2"/>
      <c r="AG672" s="2"/>
    </row>
    <row r="673" spans="1:33" ht="15.75" x14ac:dyDescent="0.2">
      <c r="A673" s="2"/>
      <c r="B673" s="2"/>
      <c r="C673" s="2"/>
      <c r="D673" s="2"/>
      <c r="E673" s="57"/>
      <c r="F673" s="25" t="s">
        <v>785</v>
      </c>
      <c r="G673" s="12" t="s">
        <v>332</v>
      </c>
      <c r="H673" s="298">
        <f>0.7+0.3*G505/(1.5*G501)</f>
        <v>0.84106463878326987</v>
      </c>
      <c r="I673" s="298"/>
      <c r="J673" s="298"/>
      <c r="K673" s="57"/>
      <c r="L673" s="57"/>
      <c r="M673" s="57"/>
      <c r="N673" s="57"/>
      <c r="O673" s="3" t="s">
        <v>794</v>
      </c>
      <c r="P673" s="57"/>
      <c r="Q673" s="57"/>
      <c r="R673" s="77"/>
      <c r="S673" s="57"/>
      <c r="T673" s="57"/>
      <c r="U673" s="57"/>
      <c r="V673" s="57"/>
      <c r="W673" s="2"/>
      <c r="X673" s="2"/>
      <c r="Y673" s="2"/>
      <c r="Z673" s="2"/>
      <c r="AA673" s="2"/>
      <c r="AB673" s="2"/>
      <c r="AC673" s="2"/>
      <c r="AD673" s="2"/>
      <c r="AE673" s="2"/>
      <c r="AF673" s="2"/>
      <c r="AG673" s="2"/>
    </row>
    <row r="674" spans="1:33" ht="15.75" x14ac:dyDescent="0.2">
      <c r="A674" s="2"/>
      <c r="B674" s="2"/>
      <c r="C674" s="2"/>
      <c r="D674" s="2"/>
      <c r="E674" s="57"/>
      <c r="F674" s="25" t="s">
        <v>786</v>
      </c>
      <c r="G674" s="12" t="s">
        <v>332</v>
      </c>
      <c r="H674" s="298">
        <v>1</v>
      </c>
      <c r="I674" s="298"/>
      <c r="J674" s="298"/>
      <c r="K674" s="57"/>
      <c r="L674" s="57"/>
      <c r="M674" s="57"/>
      <c r="N674" s="57"/>
      <c r="O674" s="3" t="s">
        <v>795</v>
      </c>
      <c r="P674" s="57"/>
      <c r="Q674" s="57"/>
      <c r="R674" s="77"/>
      <c r="S674" s="57"/>
      <c r="T674" s="57"/>
      <c r="U674" s="57"/>
      <c r="V674" s="57"/>
      <c r="W674" s="2"/>
      <c r="X674" s="2"/>
      <c r="Y674" s="2"/>
      <c r="Z674" s="2"/>
      <c r="AA674" s="2"/>
      <c r="AB674" s="2"/>
      <c r="AC674" s="2"/>
      <c r="AD674" s="2"/>
      <c r="AE674" s="2"/>
      <c r="AF674" s="2"/>
      <c r="AG674" s="2"/>
    </row>
    <row r="675" spans="1:33" ht="15.75" x14ac:dyDescent="0.2">
      <c r="A675" s="2"/>
      <c r="B675" s="2"/>
      <c r="C675" s="2"/>
      <c r="D675" s="2"/>
      <c r="E675" s="57"/>
      <c r="F675" s="25" t="s">
        <v>787</v>
      </c>
      <c r="G675" s="12" t="s">
        <v>332</v>
      </c>
      <c r="H675" s="298">
        <v>1</v>
      </c>
      <c r="I675" s="298"/>
      <c r="J675" s="298"/>
      <c r="K675" s="57"/>
      <c r="L675" s="57"/>
      <c r="M675" s="57"/>
      <c r="N675" s="57"/>
      <c r="O675" s="3" t="s">
        <v>796</v>
      </c>
      <c r="P675" s="57"/>
      <c r="Q675" s="57"/>
      <c r="R675" s="77"/>
      <c r="S675" s="57"/>
      <c r="T675" s="57"/>
      <c r="U675" s="57"/>
      <c r="V675" s="57"/>
      <c r="W675" s="2"/>
      <c r="X675" s="2"/>
      <c r="Y675" s="2"/>
      <c r="Z675" s="2"/>
      <c r="AA675" s="2"/>
      <c r="AB675" s="2"/>
      <c r="AC675" s="2"/>
      <c r="AD675" s="2"/>
      <c r="AE675" s="2"/>
      <c r="AF675" s="2"/>
      <c r="AG675" s="2"/>
    </row>
    <row r="676" spans="1:33" ht="15" x14ac:dyDescent="0.2">
      <c r="A676" s="2"/>
      <c r="B676" s="2"/>
      <c r="C676" s="2"/>
      <c r="D676" s="2"/>
      <c r="E676" s="57"/>
      <c r="F676" s="73"/>
      <c r="Q676" s="57"/>
      <c r="R676" s="77"/>
      <c r="S676" s="57"/>
      <c r="T676" s="57"/>
      <c r="U676" s="57"/>
      <c r="V676" s="57"/>
      <c r="W676" s="2"/>
      <c r="X676" s="2"/>
      <c r="Y676" s="2"/>
      <c r="Z676" s="2"/>
      <c r="AA676" s="2"/>
      <c r="AB676" s="2"/>
      <c r="AC676" s="2"/>
      <c r="AD676" s="2"/>
      <c r="AE676" s="2"/>
      <c r="AF676" s="2"/>
      <c r="AG676" s="2"/>
    </row>
    <row r="677" spans="1:33" ht="15.75" x14ac:dyDescent="0.2">
      <c r="A677" s="2"/>
      <c r="B677" s="2"/>
      <c r="C677" s="2"/>
      <c r="D677" s="2"/>
      <c r="E677" s="57"/>
      <c r="F677" s="73" t="s">
        <v>780</v>
      </c>
      <c r="G677" s="76" t="s">
        <v>332</v>
      </c>
      <c r="H677" s="362">
        <f>H665/H666*H672*H673*H674*H675*H670</f>
        <v>66.53229032410016</v>
      </c>
      <c r="I677" s="362"/>
      <c r="J677" s="362"/>
      <c r="K677" s="75" t="s">
        <v>335</v>
      </c>
      <c r="Q677" s="57"/>
      <c r="R677" s="77"/>
      <c r="S677" s="57"/>
      <c r="T677" s="57"/>
      <c r="U677" s="57"/>
      <c r="V677" s="57"/>
      <c r="W677" s="2"/>
      <c r="X677" s="2"/>
      <c r="Y677" s="2"/>
      <c r="Z677" s="2"/>
      <c r="AA677" s="2"/>
      <c r="AB677" s="2"/>
      <c r="AC677" s="2"/>
      <c r="AD677" s="2"/>
      <c r="AE677" s="2"/>
      <c r="AF677" s="2"/>
      <c r="AG677" s="2"/>
    </row>
    <row r="678" spans="1:33" ht="15" x14ac:dyDescent="0.2">
      <c r="A678" s="2"/>
      <c r="B678" s="2"/>
      <c r="C678" s="2"/>
      <c r="D678" s="2"/>
      <c r="E678" s="57"/>
      <c r="F678" s="73"/>
      <c r="G678" s="3"/>
      <c r="H678" s="3"/>
      <c r="I678" s="3"/>
      <c r="J678" s="3"/>
      <c r="K678" s="3"/>
      <c r="L678" s="3"/>
      <c r="M678" s="57"/>
      <c r="N678" s="57"/>
      <c r="O678" s="57"/>
      <c r="P678" s="57"/>
      <c r="Q678" s="57"/>
      <c r="R678" s="77"/>
      <c r="S678" s="57"/>
      <c r="T678" s="57"/>
      <c r="U678" s="57"/>
      <c r="V678" s="57"/>
      <c r="W678" s="2"/>
      <c r="X678" s="2"/>
      <c r="Y678" s="2"/>
      <c r="Z678" s="2"/>
      <c r="AA678" s="2"/>
      <c r="AB678" s="2"/>
      <c r="AC678" s="2"/>
      <c r="AD678" s="2"/>
      <c r="AE678" s="2"/>
      <c r="AF678" s="2"/>
      <c r="AG678" s="2"/>
    </row>
    <row r="679" spans="1:33" ht="15.75" x14ac:dyDescent="0.3">
      <c r="A679" s="2"/>
      <c r="B679" s="2"/>
      <c r="C679" s="2"/>
      <c r="D679" s="2"/>
      <c r="E679" s="57"/>
      <c r="F679" s="21" t="s">
        <v>1356</v>
      </c>
      <c r="G679" s="13" t="s">
        <v>332</v>
      </c>
      <c r="H679" s="285">
        <f>K575/H677</f>
        <v>0.60446680687024401</v>
      </c>
      <c r="I679" s="285"/>
      <c r="J679" s="285"/>
      <c r="K679" s="2" t="s">
        <v>573</v>
      </c>
      <c r="L679" s="2"/>
      <c r="R679" s="77"/>
      <c r="S679" s="57"/>
      <c r="T679" s="57"/>
      <c r="U679" s="57"/>
      <c r="V679" s="57"/>
      <c r="W679" s="2"/>
      <c r="X679" s="2"/>
      <c r="Y679" s="2"/>
      <c r="Z679" s="2"/>
      <c r="AA679" s="2"/>
      <c r="AB679" s="2"/>
      <c r="AC679" s="2"/>
      <c r="AD679" s="2"/>
      <c r="AE679" s="2"/>
      <c r="AF679" s="2"/>
      <c r="AG679" s="2"/>
    </row>
    <row r="680" spans="1:33" ht="15" x14ac:dyDescent="0.2">
      <c r="A680" s="2"/>
      <c r="B680" s="2"/>
      <c r="C680" s="2"/>
      <c r="D680" s="2"/>
      <c r="E680" s="57"/>
      <c r="R680" s="77"/>
      <c r="S680" s="57"/>
      <c r="T680" s="57"/>
      <c r="U680" s="57"/>
      <c r="V680" s="57"/>
      <c r="W680" s="2"/>
      <c r="X680" s="2"/>
      <c r="Y680" s="2"/>
      <c r="Z680" s="2"/>
      <c r="AA680" s="2"/>
      <c r="AB680" s="2"/>
      <c r="AC680" s="2"/>
      <c r="AD680" s="2"/>
      <c r="AE680" s="2"/>
      <c r="AF680" s="2"/>
      <c r="AG680" s="2"/>
    </row>
    <row r="681" spans="1:33" ht="15" x14ac:dyDescent="0.2">
      <c r="A681" s="2"/>
      <c r="B681" s="2"/>
      <c r="C681" s="2"/>
      <c r="D681" s="2"/>
      <c r="E681" s="57"/>
      <c r="R681" s="77"/>
      <c r="S681" s="57"/>
      <c r="T681" s="57"/>
      <c r="U681" s="57"/>
      <c r="V681" s="57"/>
      <c r="W681" s="2"/>
      <c r="X681" s="2"/>
      <c r="Y681" s="2"/>
      <c r="Z681" s="2"/>
      <c r="AA681" s="2"/>
      <c r="AB681" s="2"/>
      <c r="AC681" s="2"/>
      <c r="AD681" s="2"/>
      <c r="AE681" s="2"/>
      <c r="AF681" s="2"/>
      <c r="AG681" s="2"/>
    </row>
    <row r="682" spans="1:33" ht="15" x14ac:dyDescent="0.2">
      <c r="A682" s="2"/>
      <c r="B682" s="2"/>
      <c r="C682" s="2"/>
      <c r="D682" s="2"/>
      <c r="E682" s="57"/>
      <c r="F682" s="73"/>
      <c r="R682" s="77"/>
      <c r="S682" s="57"/>
      <c r="T682" s="57"/>
      <c r="U682" s="57"/>
      <c r="V682" s="57"/>
      <c r="W682" s="2"/>
      <c r="X682" s="2"/>
      <c r="Y682" s="2"/>
      <c r="Z682" s="2"/>
      <c r="AA682" s="2"/>
      <c r="AB682" s="2"/>
      <c r="AC682" s="2"/>
      <c r="AD682" s="2"/>
      <c r="AE682" s="2"/>
      <c r="AF682" s="2"/>
      <c r="AG682" s="2"/>
    </row>
    <row r="683" spans="1:33" ht="15" x14ac:dyDescent="0.2">
      <c r="A683" s="2"/>
      <c r="B683" s="2"/>
      <c r="C683" s="2"/>
      <c r="D683" s="2"/>
      <c r="E683" s="57"/>
      <c r="F683" s="73"/>
      <c r="G683" s="76"/>
      <c r="H683" s="68"/>
      <c r="I683" s="12"/>
      <c r="J683" s="12"/>
      <c r="K683" s="57"/>
      <c r="L683" s="57"/>
      <c r="M683" s="57"/>
      <c r="N683" s="57"/>
      <c r="O683" s="57"/>
      <c r="P683" s="57"/>
      <c r="Q683" s="57"/>
      <c r="R683" s="77"/>
      <c r="S683" s="57"/>
      <c r="T683" s="57"/>
      <c r="U683" s="57"/>
      <c r="V683" s="57"/>
      <c r="W683" s="2"/>
      <c r="X683" s="2"/>
      <c r="Y683" s="2"/>
      <c r="Z683" s="2"/>
      <c r="AA683" s="2"/>
      <c r="AB683" s="2"/>
      <c r="AC683" s="2"/>
      <c r="AD683" s="2"/>
      <c r="AE683" s="2"/>
      <c r="AF683" s="2"/>
      <c r="AG683" s="2"/>
    </row>
    <row r="684" spans="1:33" ht="15" x14ac:dyDescent="0.2">
      <c r="A684" s="2"/>
      <c r="B684" s="2"/>
      <c r="C684" s="2"/>
      <c r="D684" s="2"/>
      <c r="E684" s="57"/>
      <c r="F684" s="73"/>
      <c r="M684" s="57"/>
      <c r="N684" s="57"/>
      <c r="O684" s="57"/>
      <c r="P684" s="57"/>
      <c r="Q684" s="57"/>
      <c r="R684" s="77"/>
      <c r="S684" s="57"/>
      <c r="T684" s="57"/>
      <c r="U684" s="57"/>
      <c r="V684" s="57"/>
      <c r="W684" s="2"/>
      <c r="X684" s="2"/>
      <c r="Y684" s="2"/>
      <c r="Z684" s="2"/>
      <c r="AA684" s="2"/>
      <c r="AB684" s="2"/>
      <c r="AC684" s="2"/>
      <c r="AD684" s="2"/>
      <c r="AE684" s="2"/>
      <c r="AF684" s="2"/>
      <c r="AG684" s="2"/>
    </row>
    <row r="685" spans="1:33" ht="15" x14ac:dyDescent="0.2">
      <c r="A685" s="2"/>
      <c r="B685" s="2"/>
      <c r="C685" s="2"/>
      <c r="D685" s="2"/>
      <c r="E685" s="57"/>
      <c r="F685" s="73"/>
      <c r="G685" s="76"/>
      <c r="H685" s="68"/>
      <c r="I685" s="12"/>
      <c r="J685" s="12"/>
      <c r="K685" s="57"/>
      <c r="L685" s="57"/>
      <c r="M685" s="57"/>
      <c r="N685" s="57"/>
      <c r="O685" s="57"/>
      <c r="P685" s="57"/>
      <c r="Q685" s="57"/>
      <c r="R685" s="77"/>
      <c r="S685" s="57"/>
      <c r="T685" s="57"/>
      <c r="U685" s="57"/>
      <c r="V685" s="57"/>
      <c r="W685" s="2"/>
      <c r="X685" s="2"/>
      <c r="Y685" s="2"/>
      <c r="Z685" s="2"/>
      <c r="AA685" s="2"/>
      <c r="AB685" s="2"/>
      <c r="AC685" s="2"/>
      <c r="AD685" s="2"/>
      <c r="AE685" s="2"/>
      <c r="AF685" s="2"/>
      <c r="AG685" s="2"/>
    </row>
    <row r="686" spans="1:33" ht="15" x14ac:dyDescent="0.2">
      <c r="A686" s="2"/>
      <c r="B686" s="2"/>
      <c r="C686" s="2"/>
      <c r="D686" s="2"/>
      <c r="E686" s="57"/>
      <c r="F686" s="73"/>
      <c r="G686" s="76"/>
      <c r="H686" s="68"/>
      <c r="I686" s="12"/>
      <c r="J686" s="12"/>
      <c r="K686" s="57"/>
      <c r="L686" s="57"/>
      <c r="M686" s="57"/>
      <c r="N686" s="57"/>
      <c r="O686" s="57"/>
      <c r="P686" s="57"/>
      <c r="Q686" s="57"/>
      <c r="R686" s="77"/>
      <c r="S686" s="57"/>
      <c r="T686" s="57"/>
      <c r="U686" s="57"/>
      <c r="V686" s="57"/>
      <c r="W686" s="2"/>
      <c r="X686" s="2"/>
      <c r="Y686" s="2"/>
      <c r="Z686" s="2"/>
      <c r="AA686" s="2"/>
      <c r="AB686" s="2"/>
      <c r="AC686" s="2"/>
      <c r="AD686" s="2"/>
      <c r="AE686" s="2"/>
      <c r="AF686" s="2"/>
      <c r="AG686" s="2"/>
    </row>
    <row r="687" spans="1:33" ht="15" x14ac:dyDescent="0.2">
      <c r="A687" s="2"/>
      <c r="B687" s="2"/>
      <c r="C687" s="2"/>
      <c r="D687" s="2"/>
      <c r="E687" s="57"/>
      <c r="F687" s="73"/>
      <c r="G687" s="76"/>
      <c r="H687" s="68"/>
      <c r="I687" s="12"/>
      <c r="J687" s="12"/>
      <c r="K687" s="57"/>
      <c r="L687" s="57"/>
      <c r="M687" s="57"/>
      <c r="N687" s="57"/>
      <c r="O687" s="57"/>
      <c r="P687" s="57"/>
      <c r="Q687" s="57"/>
      <c r="R687" s="77"/>
      <c r="S687" s="57"/>
      <c r="T687" s="57"/>
      <c r="U687" s="57"/>
      <c r="V687" s="57"/>
      <c r="W687" s="2"/>
      <c r="X687" s="2"/>
      <c r="Y687" s="2"/>
      <c r="Z687" s="2"/>
      <c r="AA687" s="2"/>
      <c r="AB687" s="2"/>
      <c r="AC687" s="2"/>
      <c r="AD687" s="2"/>
      <c r="AE687" s="2"/>
      <c r="AF687" s="2"/>
      <c r="AG687" s="2"/>
    </row>
    <row r="688" spans="1:33" ht="15" x14ac:dyDescent="0.2">
      <c r="A688" s="2"/>
      <c r="B688" s="2"/>
      <c r="C688" s="2"/>
      <c r="D688" s="2"/>
      <c r="E688" s="57"/>
      <c r="F688" s="73"/>
      <c r="G688" s="76"/>
      <c r="H688" s="68"/>
      <c r="I688" s="12"/>
      <c r="J688" s="12"/>
      <c r="K688" s="57"/>
      <c r="L688" s="57"/>
      <c r="M688" s="57"/>
      <c r="N688" s="57"/>
      <c r="O688" s="57"/>
      <c r="P688" s="57"/>
      <c r="Q688" s="57"/>
      <c r="R688" s="77"/>
      <c r="S688" s="57"/>
      <c r="T688" s="57"/>
      <c r="U688" s="57"/>
      <c r="V688" s="57"/>
      <c r="W688" s="2"/>
      <c r="X688" s="2"/>
      <c r="Y688" s="2"/>
      <c r="Z688" s="2"/>
      <c r="AA688" s="2"/>
      <c r="AB688" s="2"/>
      <c r="AC688" s="2"/>
      <c r="AD688" s="2"/>
      <c r="AE688" s="2"/>
      <c r="AF688" s="2"/>
      <c r="AG688" s="2"/>
    </row>
    <row r="689" spans="1:33" ht="15" x14ac:dyDescent="0.2">
      <c r="A689" s="2"/>
      <c r="B689" s="2"/>
      <c r="C689" s="2"/>
      <c r="D689" s="2"/>
      <c r="E689" s="57"/>
      <c r="F689" s="73"/>
      <c r="G689" s="76"/>
      <c r="H689" s="68"/>
      <c r="I689" s="12"/>
      <c r="J689" s="12"/>
      <c r="K689" s="57"/>
      <c r="L689" s="57"/>
      <c r="M689" s="57"/>
      <c r="N689" s="57"/>
      <c r="O689" s="57"/>
      <c r="P689" s="57"/>
      <c r="Q689" s="57"/>
      <c r="R689" s="77"/>
      <c r="S689" s="57"/>
      <c r="T689" s="57"/>
      <c r="U689" s="57"/>
      <c r="V689" s="57"/>
      <c r="W689" s="2"/>
      <c r="X689" s="2"/>
      <c r="Y689" s="2"/>
      <c r="Z689" s="2"/>
      <c r="AA689" s="2"/>
      <c r="AB689" s="2"/>
      <c r="AC689" s="2"/>
      <c r="AD689" s="2"/>
      <c r="AE689" s="2"/>
      <c r="AF689" s="2"/>
      <c r="AG689" s="2"/>
    </row>
    <row r="690" spans="1:33" ht="15" x14ac:dyDescent="0.2">
      <c r="A690" s="2"/>
      <c r="B690" s="2"/>
      <c r="C690" s="2"/>
      <c r="D690" s="2"/>
      <c r="E690" s="57"/>
      <c r="F690" s="73"/>
      <c r="G690" s="76"/>
      <c r="H690" s="68"/>
      <c r="I690" s="12"/>
      <c r="J690" s="12"/>
      <c r="K690" s="57"/>
      <c r="L690" s="57"/>
      <c r="M690" s="57"/>
      <c r="N690" s="57"/>
      <c r="O690" s="57"/>
      <c r="P690" s="57"/>
      <c r="Q690" s="57"/>
      <c r="R690" s="77"/>
      <c r="S690" s="57"/>
      <c r="T690" s="57"/>
      <c r="U690" s="57"/>
      <c r="V690" s="57"/>
      <c r="W690" s="2"/>
      <c r="X690" s="2"/>
      <c r="Y690" s="2"/>
      <c r="Z690" s="2"/>
      <c r="AA690" s="2"/>
      <c r="AB690" s="2"/>
      <c r="AC690" s="2"/>
      <c r="AD690" s="2"/>
      <c r="AE690" s="2"/>
      <c r="AF690" s="2"/>
      <c r="AG690" s="2"/>
    </row>
    <row r="691" spans="1:33" ht="15" x14ac:dyDescent="0.2">
      <c r="A691" s="2"/>
      <c r="B691" s="2"/>
      <c r="C691" s="2"/>
      <c r="D691" s="2"/>
      <c r="E691" s="57"/>
      <c r="F691" s="73"/>
      <c r="G691" s="76"/>
      <c r="H691" s="68"/>
      <c r="I691" s="12"/>
      <c r="J691" s="12"/>
      <c r="K691" s="57"/>
      <c r="L691" s="57"/>
      <c r="M691" s="57"/>
      <c r="N691" s="57"/>
      <c r="O691" s="57"/>
      <c r="P691" s="57"/>
      <c r="Q691" s="57"/>
      <c r="R691" s="77"/>
      <c r="S691" s="57"/>
      <c r="T691" s="57"/>
      <c r="U691" s="57"/>
      <c r="V691" s="57"/>
      <c r="W691" s="2"/>
      <c r="X691" s="2"/>
      <c r="Y691" s="2"/>
      <c r="Z691" s="2"/>
      <c r="AA691" s="2"/>
      <c r="AB691" s="2"/>
      <c r="AC691" s="2"/>
      <c r="AD691" s="2"/>
      <c r="AE691" s="2"/>
      <c r="AF691" s="2"/>
      <c r="AG691" s="2"/>
    </row>
    <row r="692" spans="1:33" ht="15" x14ac:dyDescent="0.2">
      <c r="A692" s="2"/>
      <c r="B692" s="2"/>
      <c r="C692" s="2"/>
      <c r="D692" s="2"/>
      <c r="E692" s="57"/>
      <c r="F692" s="73"/>
      <c r="G692" s="76"/>
      <c r="H692" s="68"/>
      <c r="I692" s="12"/>
      <c r="J692" s="12"/>
      <c r="K692" s="57"/>
      <c r="L692" s="57"/>
      <c r="M692" s="57"/>
      <c r="N692" s="57"/>
      <c r="O692" s="57"/>
      <c r="P692" s="57"/>
      <c r="Q692" s="57"/>
      <c r="R692" s="77"/>
      <c r="S692" s="57"/>
      <c r="T692" s="57"/>
      <c r="U692" s="57"/>
      <c r="V692" s="57"/>
      <c r="W692" s="2"/>
      <c r="X692" s="2"/>
      <c r="Y692" s="2"/>
      <c r="Z692" s="2"/>
      <c r="AA692" s="2"/>
      <c r="AB692" s="2"/>
      <c r="AC692" s="2"/>
      <c r="AD692" s="2"/>
      <c r="AE692" s="2"/>
      <c r="AF692" s="2"/>
      <c r="AG692" s="2"/>
    </row>
    <row r="693" spans="1:33" ht="15" x14ac:dyDescent="0.2">
      <c r="A693" s="2"/>
      <c r="B693" s="2"/>
      <c r="C693" s="2"/>
      <c r="D693" s="2"/>
      <c r="E693" s="57"/>
      <c r="F693" s="73"/>
      <c r="G693" s="76"/>
      <c r="H693" s="68"/>
      <c r="I693" s="12"/>
      <c r="J693" s="12"/>
      <c r="K693" s="57"/>
      <c r="L693" s="57"/>
      <c r="M693" s="57"/>
      <c r="N693" s="57"/>
      <c r="O693" s="57"/>
      <c r="P693" s="57"/>
      <c r="Q693" s="57"/>
      <c r="R693" s="77"/>
      <c r="S693" s="57"/>
      <c r="T693" s="57"/>
      <c r="U693" s="57"/>
      <c r="V693" s="57"/>
      <c r="W693" s="2"/>
      <c r="X693" s="2"/>
      <c r="Y693" s="2"/>
      <c r="Z693" s="2"/>
      <c r="AA693" s="2"/>
      <c r="AB693" s="2"/>
      <c r="AC693" s="2"/>
      <c r="AD693" s="2"/>
      <c r="AE693" s="2"/>
      <c r="AF693" s="2"/>
      <c r="AG693" s="2"/>
    </row>
    <row r="694" spans="1:33" ht="15" x14ac:dyDescent="0.2">
      <c r="A694" s="2"/>
      <c r="B694" s="2"/>
      <c r="C694" s="2"/>
      <c r="D694" s="2"/>
      <c r="E694" s="57"/>
      <c r="F694" s="73"/>
      <c r="G694" s="76"/>
      <c r="H694" s="68"/>
      <c r="I694" s="12"/>
      <c r="J694" s="12"/>
      <c r="K694" s="57"/>
      <c r="L694" s="57"/>
      <c r="M694" s="57"/>
      <c r="N694" s="57"/>
      <c r="O694" s="57"/>
      <c r="P694" s="57"/>
      <c r="Q694" s="57"/>
      <c r="R694" s="77"/>
      <c r="S694" s="57"/>
      <c r="T694" s="57"/>
      <c r="U694" s="57"/>
      <c r="V694" s="57"/>
      <c r="W694" s="2"/>
      <c r="X694" s="2"/>
      <c r="Y694" s="2"/>
      <c r="Z694" s="2"/>
      <c r="AA694" s="2"/>
      <c r="AB694" s="2"/>
      <c r="AC694" s="2"/>
      <c r="AD694" s="2"/>
      <c r="AE694" s="2"/>
      <c r="AF694" s="2"/>
      <c r="AG694" s="2"/>
    </row>
    <row r="695" spans="1:33" ht="15" x14ac:dyDescent="0.2">
      <c r="A695" s="2"/>
      <c r="B695" s="2"/>
      <c r="C695" s="2"/>
      <c r="D695" s="2"/>
      <c r="E695" s="57"/>
      <c r="F695" s="73"/>
      <c r="G695" s="76"/>
      <c r="H695" s="68"/>
      <c r="I695" s="12"/>
      <c r="J695" s="12"/>
      <c r="K695" s="57"/>
      <c r="L695" s="57"/>
      <c r="M695" s="57"/>
      <c r="N695" s="57"/>
      <c r="O695" s="57"/>
      <c r="P695" s="57"/>
      <c r="Q695" s="57"/>
      <c r="R695" s="77"/>
      <c r="S695" s="57"/>
      <c r="T695" s="57"/>
      <c r="U695" s="57"/>
      <c r="V695" s="57"/>
      <c r="W695" s="2"/>
      <c r="X695" s="2"/>
      <c r="Y695" s="2"/>
      <c r="Z695" s="2"/>
      <c r="AA695" s="2"/>
      <c r="AB695" s="2"/>
      <c r="AC695" s="2"/>
      <c r="AD695" s="2"/>
      <c r="AE695" s="2"/>
      <c r="AF695" s="2"/>
      <c r="AG695" s="2"/>
    </row>
    <row r="696" spans="1:33" ht="15" x14ac:dyDescent="0.2">
      <c r="A696" s="2"/>
      <c r="B696" s="2"/>
      <c r="C696" s="2"/>
      <c r="D696" s="2"/>
      <c r="E696" s="57"/>
      <c r="F696" s="73"/>
      <c r="G696" s="76"/>
      <c r="H696" s="68"/>
      <c r="I696" s="12"/>
      <c r="J696" s="12"/>
      <c r="K696" s="57"/>
      <c r="L696" s="57"/>
      <c r="M696" s="57"/>
      <c r="N696" s="57"/>
      <c r="O696" s="57"/>
      <c r="P696" s="57"/>
      <c r="Q696" s="57"/>
      <c r="R696" s="77"/>
      <c r="S696" s="57"/>
      <c r="T696" s="57"/>
      <c r="U696" s="57"/>
      <c r="V696" s="57"/>
      <c r="W696" s="2"/>
      <c r="X696" s="2"/>
      <c r="Y696" s="2"/>
      <c r="Z696" s="2"/>
      <c r="AA696" s="2"/>
      <c r="AB696" s="2"/>
      <c r="AC696" s="2"/>
      <c r="AD696" s="2"/>
      <c r="AE696" s="2"/>
      <c r="AF696" s="2"/>
      <c r="AG696" s="2"/>
    </row>
    <row r="697" spans="1:33" ht="15" x14ac:dyDescent="0.2">
      <c r="A697" s="2"/>
      <c r="B697" s="2"/>
      <c r="C697" s="2"/>
      <c r="D697" s="2"/>
      <c r="E697" s="57"/>
      <c r="F697" s="73"/>
      <c r="G697" s="76"/>
      <c r="H697" s="68"/>
      <c r="I697" s="12"/>
      <c r="J697" s="12"/>
      <c r="K697" s="57"/>
      <c r="L697" s="57"/>
      <c r="M697" s="57"/>
      <c r="N697" s="57"/>
      <c r="O697" s="57"/>
      <c r="P697" s="57"/>
      <c r="Q697" s="57"/>
      <c r="R697" s="77"/>
      <c r="S697" s="57"/>
      <c r="T697" s="57"/>
      <c r="U697" s="57"/>
      <c r="V697" s="57"/>
      <c r="W697" s="2"/>
      <c r="X697" s="2"/>
      <c r="Y697" s="2"/>
      <c r="Z697" s="2"/>
      <c r="AA697" s="2"/>
      <c r="AB697" s="2"/>
      <c r="AC697" s="2"/>
      <c r="AD697" s="2"/>
      <c r="AE697" s="2"/>
      <c r="AF697" s="2"/>
      <c r="AG697" s="2"/>
    </row>
    <row r="698" spans="1:33" ht="15" x14ac:dyDescent="0.2">
      <c r="A698" s="2"/>
      <c r="B698" s="2"/>
      <c r="C698" s="2"/>
      <c r="D698" s="2"/>
      <c r="E698" s="57"/>
      <c r="F698" s="73"/>
      <c r="G698" s="76"/>
      <c r="H698" s="68"/>
      <c r="I698" s="12"/>
      <c r="J698" s="12"/>
      <c r="K698" s="57"/>
      <c r="L698" s="57"/>
      <c r="M698" s="57"/>
      <c r="N698" s="57"/>
      <c r="O698" s="57"/>
      <c r="P698" s="57"/>
      <c r="Q698" s="57"/>
      <c r="R698" s="77"/>
      <c r="S698" s="57"/>
      <c r="T698" s="57"/>
      <c r="U698" s="57"/>
      <c r="V698" s="57"/>
      <c r="W698" s="2"/>
      <c r="X698" s="2"/>
      <c r="Y698" s="2"/>
      <c r="Z698" s="2"/>
      <c r="AA698" s="2"/>
      <c r="AB698" s="2"/>
      <c r="AC698" s="2"/>
      <c r="AD698" s="2"/>
      <c r="AE698" s="2"/>
      <c r="AF698" s="2"/>
      <c r="AG698" s="2"/>
    </row>
    <row r="699" spans="1:33" ht="15" x14ac:dyDescent="0.2">
      <c r="A699" s="2"/>
      <c r="B699" s="2"/>
      <c r="C699" s="2"/>
      <c r="D699" s="2"/>
      <c r="E699" s="57"/>
      <c r="F699" s="73"/>
      <c r="G699" s="76"/>
      <c r="H699" s="68"/>
      <c r="I699" s="12"/>
      <c r="J699" s="12"/>
      <c r="K699" s="57"/>
      <c r="L699" s="57"/>
      <c r="M699" s="57"/>
      <c r="N699" s="57"/>
      <c r="O699" s="57"/>
      <c r="P699" s="57"/>
      <c r="Q699" s="57"/>
      <c r="R699" s="77"/>
      <c r="S699" s="57"/>
      <c r="T699" s="57"/>
      <c r="U699" s="57"/>
      <c r="V699" s="57"/>
      <c r="W699" s="2"/>
      <c r="X699" s="2"/>
      <c r="Y699" s="2"/>
      <c r="Z699" s="2"/>
      <c r="AA699" s="2"/>
      <c r="AB699" s="2"/>
      <c r="AC699" s="2"/>
      <c r="AD699" s="2"/>
      <c r="AE699" s="2"/>
      <c r="AF699" s="2"/>
      <c r="AG699" s="2"/>
    </row>
    <row r="700" spans="1:33" ht="15" x14ac:dyDescent="0.2">
      <c r="A700" s="2"/>
      <c r="B700" s="2"/>
      <c r="C700" s="2"/>
      <c r="D700" s="2"/>
      <c r="E700" s="57"/>
      <c r="F700" s="73"/>
      <c r="G700" s="76"/>
      <c r="H700" s="68"/>
      <c r="I700" s="12"/>
      <c r="J700" s="12"/>
      <c r="K700" s="57"/>
      <c r="L700" s="57"/>
      <c r="M700" s="57"/>
      <c r="N700" s="57"/>
      <c r="O700" s="57"/>
      <c r="P700" s="57"/>
      <c r="Q700" s="57"/>
      <c r="R700" s="77"/>
      <c r="S700" s="57"/>
      <c r="T700" s="57"/>
      <c r="U700" s="57"/>
      <c r="V700" s="57"/>
      <c r="W700" s="2"/>
      <c r="X700" s="2"/>
      <c r="Y700" s="2"/>
      <c r="Z700" s="2"/>
      <c r="AA700" s="2"/>
      <c r="AB700" s="2"/>
      <c r="AC700" s="2"/>
      <c r="AD700" s="2"/>
      <c r="AE700" s="2"/>
      <c r="AF700" s="2"/>
      <c r="AG700" s="2"/>
    </row>
    <row r="701" spans="1:33" ht="15" x14ac:dyDescent="0.2">
      <c r="A701" s="2"/>
      <c r="B701" s="2"/>
      <c r="C701" s="2"/>
      <c r="D701" s="2"/>
      <c r="E701" s="57"/>
      <c r="F701" s="73"/>
      <c r="G701" s="76"/>
      <c r="H701" s="68"/>
      <c r="I701" s="12"/>
      <c r="J701" s="12"/>
      <c r="K701" s="57"/>
      <c r="L701" s="57"/>
      <c r="M701" s="57"/>
      <c r="N701" s="57"/>
      <c r="O701" s="57"/>
      <c r="P701" s="57"/>
      <c r="Q701" s="57"/>
      <c r="R701" s="77"/>
      <c r="S701" s="57"/>
      <c r="T701" s="57"/>
      <c r="U701" s="57"/>
      <c r="V701" s="57"/>
      <c r="W701" s="2"/>
      <c r="X701" s="2"/>
      <c r="Y701" s="2"/>
      <c r="Z701" s="2"/>
      <c r="AA701" s="2"/>
      <c r="AB701" s="2"/>
      <c r="AC701" s="2"/>
      <c r="AD701" s="2"/>
      <c r="AE701" s="2"/>
      <c r="AF701" s="2"/>
      <c r="AG701" s="2"/>
    </row>
    <row r="702" spans="1:33" x14ac:dyDescent="0.2">
      <c r="A702" s="2"/>
      <c r="B702" s="2"/>
      <c r="C702" s="2"/>
      <c r="D702" s="20" t="s">
        <v>1361</v>
      </c>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row>
    <row r="703" spans="1:33" ht="15" x14ac:dyDescent="0.25">
      <c r="A703" s="2"/>
      <c r="B703" s="2"/>
      <c r="C703" s="2"/>
      <c r="D703" s="2"/>
      <c r="E703" s="75"/>
      <c r="M703"/>
      <c r="N703"/>
      <c r="O703"/>
      <c r="P703"/>
      <c r="Q703" s="75"/>
      <c r="R703" s="75"/>
      <c r="S703" s="75"/>
      <c r="T703" s="75"/>
      <c r="U703" s="75"/>
      <c r="V703" s="75"/>
      <c r="W703" s="2"/>
      <c r="X703" s="2"/>
      <c r="Y703" s="2"/>
      <c r="Z703" s="2"/>
      <c r="AA703" s="2"/>
      <c r="AB703" s="2"/>
      <c r="AC703" s="2"/>
      <c r="AD703" s="2"/>
      <c r="AE703" s="2"/>
      <c r="AF703" s="2"/>
      <c r="AG703" s="2"/>
    </row>
    <row r="704" spans="1:33" ht="15.75" x14ac:dyDescent="0.3">
      <c r="A704" s="2"/>
      <c r="B704" s="2"/>
      <c r="C704" s="2"/>
      <c r="D704" s="2"/>
      <c r="E704" s="2"/>
      <c r="F704" s="21" t="s">
        <v>1362</v>
      </c>
      <c r="G704" s="13" t="s">
        <v>332</v>
      </c>
      <c r="H704" s="2" t="s">
        <v>1363</v>
      </c>
      <c r="I704" s="2"/>
      <c r="J704" s="2"/>
      <c r="K704" s="2"/>
      <c r="L704" s="2"/>
      <c r="M704" s="2"/>
      <c r="N704" s="2"/>
      <c r="O704" s="2" t="s">
        <v>1364</v>
      </c>
      <c r="P704" s="2"/>
      <c r="Q704" s="2"/>
      <c r="R704" s="2"/>
      <c r="S704" s="2"/>
      <c r="T704" s="2"/>
      <c r="U704" s="2"/>
      <c r="V704" s="2"/>
      <c r="W704" s="2"/>
      <c r="X704" s="2"/>
      <c r="Y704" s="2"/>
      <c r="Z704" s="2"/>
      <c r="AA704" s="2"/>
      <c r="AB704" s="2"/>
      <c r="AC704" s="2"/>
      <c r="AD704" s="2"/>
      <c r="AE704" s="2"/>
      <c r="AF704" s="2"/>
      <c r="AG704" s="2"/>
    </row>
    <row r="705" spans="1:33" ht="15.75" x14ac:dyDescent="0.3">
      <c r="A705" s="2"/>
      <c r="B705" s="2"/>
      <c r="C705" s="2"/>
      <c r="D705" s="2"/>
      <c r="E705" s="2"/>
      <c r="F705" s="21" t="s">
        <v>1365</v>
      </c>
      <c r="G705" s="13" t="s">
        <v>332</v>
      </c>
      <c r="H705" s="231">
        <v>1</v>
      </c>
      <c r="I705" s="231"/>
      <c r="J705" s="231"/>
      <c r="K705" s="2"/>
      <c r="L705" s="2"/>
      <c r="M705" s="2"/>
      <c r="N705" s="2"/>
      <c r="O705" s="2" t="s">
        <v>1366</v>
      </c>
      <c r="P705" s="2"/>
      <c r="Q705" s="2"/>
      <c r="R705" s="2"/>
      <c r="S705" s="2"/>
      <c r="T705" s="2"/>
      <c r="U705" s="2"/>
      <c r="V705" s="2"/>
      <c r="W705" s="2"/>
      <c r="X705" s="2"/>
      <c r="Y705" s="2"/>
      <c r="Z705" s="2"/>
      <c r="AA705" s="2"/>
      <c r="AB705" s="2"/>
      <c r="AC705" s="2"/>
      <c r="AD705" s="2"/>
      <c r="AE705" s="2"/>
      <c r="AF705" s="2"/>
      <c r="AG705" s="2"/>
    </row>
    <row r="706" spans="1:33" x14ac:dyDescent="0.2">
      <c r="A706" s="2"/>
      <c r="B706" s="2"/>
      <c r="C706" s="2"/>
      <c r="D706" s="2"/>
      <c r="E706" s="2"/>
      <c r="F706" s="25" t="s">
        <v>744</v>
      </c>
      <c r="G706" s="12" t="s">
        <v>332</v>
      </c>
      <c r="H706" s="290">
        <v>1</v>
      </c>
      <c r="I706" s="290"/>
      <c r="J706" s="290"/>
      <c r="K706" s="3"/>
      <c r="L706" s="57"/>
      <c r="M706" s="57"/>
      <c r="N706" s="57"/>
      <c r="O706" s="3" t="s">
        <v>751</v>
      </c>
      <c r="P706" s="2"/>
      <c r="Q706" s="2"/>
      <c r="R706" s="2"/>
      <c r="S706" s="2"/>
      <c r="T706" s="2"/>
      <c r="U706" s="2"/>
      <c r="V706" s="2"/>
      <c r="W706" s="2"/>
      <c r="X706" s="2"/>
      <c r="Y706" s="2"/>
      <c r="Z706" s="2"/>
      <c r="AA706" s="2"/>
      <c r="AB706" s="2"/>
      <c r="AC706" s="2"/>
      <c r="AD706" s="2"/>
      <c r="AE706" s="2"/>
      <c r="AF706" s="2"/>
      <c r="AG706" s="2"/>
    </row>
    <row r="707" spans="1:33" ht="15.75" x14ac:dyDescent="0.3">
      <c r="A707" s="2"/>
      <c r="B707" s="2"/>
      <c r="C707" s="2"/>
      <c r="D707" s="2"/>
      <c r="E707" s="2"/>
      <c r="F707" s="21" t="s">
        <v>1367</v>
      </c>
      <c r="G707" s="13" t="s">
        <v>332</v>
      </c>
      <c r="H707" s="2" t="s">
        <v>1368</v>
      </c>
      <c r="I707" s="2"/>
      <c r="J707" s="2"/>
      <c r="K707" s="2"/>
      <c r="L707" s="2"/>
      <c r="M707" s="2"/>
      <c r="N707" s="2"/>
      <c r="O707" s="2" t="s">
        <v>1369</v>
      </c>
      <c r="P707" s="2"/>
      <c r="Q707" s="2"/>
      <c r="R707" s="2"/>
      <c r="S707" s="2"/>
      <c r="T707" s="2"/>
      <c r="U707" s="2"/>
      <c r="V707" s="2"/>
      <c r="W707" s="2"/>
      <c r="X707" s="2"/>
      <c r="Y707" s="2"/>
      <c r="Z707" s="2"/>
      <c r="AA707" s="2"/>
      <c r="AB707" s="2"/>
      <c r="AC707" s="2"/>
      <c r="AD707" s="2"/>
      <c r="AE707" s="2"/>
      <c r="AF707" s="2"/>
      <c r="AG707" s="2"/>
    </row>
    <row r="708" spans="1:33" x14ac:dyDescent="0.2">
      <c r="A708" s="2"/>
      <c r="B708" s="2"/>
      <c r="C708" s="2"/>
      <c r="D708" s="2"/>
      <c r="E708" s="2"/>
      <c r="F708" s="21"/>
      <c r="G708" s="13" t="s">
        <v>332</v>
      </c>
      <c r="H708" s="231">
        <f>8*G491*G512*G513*H706/1000</f>
        <v>71.651104852556131</v>
      </c>
      <c r="I708" s="231"/>
      <c r="J708" s="231"/>
      <c r="K708" s="2" t="s">
        <v>335</v>
      </c>
      <c r="L708" s="2"/>
      <c r="M708" s="2"/>
      <c r="N708" s="2"/>
      <c r="O708" s="2"/>
      <c r="P708" s="2"/>
      <c r="Q708" s="2"/>
      <c r="R708" s="2"/>
      <c r="S708" s="2"/>
      <c r="T708" s="2"/>
      <c r="U708" s="2"/>
      <c r="V708" s="2"/>
      <c r="W708" s="2"/>
      <c r="X708" s="2"/>
      <c r="Y708" s="2"/>
      <c r="Z708" s="2"/>
      <c r="AA708" s="2"/>
      <c r="AB708" s="2"/>
      <c r="AC708" s="2"/>
      <c r="AD708" s="2"/>
      <c r="AE708" s="2"/>
      <c r="AF708" s="2"/>
      <c r="AG708" s="2"/>
    </row>
    <row r="709" spans="1:33" ht="15.75" x14ac:dyDescent="0.3">
      <c r="A709" s="2"/>
      <c r="B709" s="2"/>
      <c r="C709" s="2"/>
      <c r="D709" s="2"/>
      <c r="E709" s="2"/>
      <c r="F709" s="21" t="s">
        <v>1362</v>
      </c>
      <c r="G709" s="13" t="s">
        <v>332</v>
      </c>
      <c r="H709" s="231">
        <f>H705*H708</f>
        <v>71.651104852556131</v>
      </c>
      <c r="I709" s="231"/>
      <c r="J709" s="231"/>
      <c r="K709" s="2" t="s">
        <v>335</v>
      </c>
      <c r="L709" s="2"/>
      <c r="M709" s="2"/>
      <c r="N709" s="2"/>
      <c r="O709" s="2"/>
      <c r="P709" s="2"/>
      <c r="Q709" s="2"/>
      <c r="R709" s="2"/>
      <c r="S709" s="2"/>
      <c r="T709" s="2"/>
      <c r="U709" s="2"/>
      <c r="V709" s="2"/>
      <c r="W709" s="2"/>
      <c r="X709" s="2"/>
      <c r="Y709" s="2"/>
      <c r="Z709" s="2"/>
      <c r="AA709" s="2"/>
      <c r="AB709" s="2"/>
      <c r="AC709" s="2"/>
      <c r="AD709" s="2"/>
      <c r="AE709" s="2"/>
      <c r="AF709" s="2"/>
      <c r="AG709" s="2"/>
    </row>
    <row r="710" spans="1:33" x14ac:dyDescent="0.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row>
    <row r="711" spans="1:33" ht="15.75" x14ac:dyDescent="0.3">
      <c r="A711" s="2"/>
      <c r="B711" s="2"/>
      <c r="C711" s="2"/>
      <c r="D711" s="2"/>
      <c r="E711" s="2"/>
      <c r="F711" s="21" t="s">
        <v>1370</v>
      </c>
      <c r="G711" s="13" t="s">
        <v>332</v>
      </c>
      <c r="H711" s="285">
        <f>K575/H709</f>
        <v>0.56128319540543892</v>
      </c>
      <c r="I711" s="285"/>
      <c r="J711" s="285"/>
      <c r="K711" s="2" t="s">
        <v>573</v>
      </c>
      <c r="L711" s="2"/>
      <c r="M711" s="2"/>
      <c r="N711" s="2"/>
      <c r="O711" s="2"/>
      <c r="P711" s="2"/>
      <c r="Q711" s="2"/>
      <c r="R711" s="2"/>
      <c r="S711" s="2"/>
      <c r="T711" s="2"/>
      <c r="U711" s="2"/>
      <c r="V711" s="2"/>
      <c r="W711" s="2"/>
      <c r="X711" s="2"/>
      <c r="Y711" s="2"/>
      <c r="Z711" s="2"/>
      <c r="AA711" s="2"/>
      <c r="AB711" s="2"/>
      <c r="AC711" s="2"/>
      <c r="AD711" s="2"/>
      <c r="AE711" s="2"/>
      <c r="AF711" s="2"/>
      <c r="AG711" s="2"/>
    </row>
    <row r="712" spans="1:33" ht="15" x14ac:dyDescent="0.25">
      <c r="A712" s="2"/>
      <c r="B712" s="2"/>
      <c r="C712" s="2"/>
      <c r="D712" s="2"/>
      <c r="E712" s="75"/>
      <c r="M712"/>
      <c r="N712"/>
      <c r="O712"/>
      <c r="P712"/>
      <c r="Q712" s="75"/>
      <c r="R712" s="75"/>
      <c r="S712" s="75"/>
      <c r="T712" s="75"/>
      <c r="U712" s="75"/>
      <c r="V712" s="75"/>
      <c r="W712" s="2"/>
      <c r="X712" s="2"/>
      <c r="Y712" s="2"/>
      <c r="Z712" s="2"/>
      <c r="AA712" s="2"/>
      <c r="AB712" s="2"/>
      <c r="AC712" s="2"/>
      <c r="AD712" s="2"/>
      <c r="AE712" s="2"/>
      <c r="AF712" s="2"/>
      <c r="AG712" s="2"/>
    </row>
    <row r="713" spans="1:33" ht="15" x14ac:dyDescent="0.25">
      <c r="A713" s="2"/>
      <c r="B713" s="2"/>
      <c r="C713" s="2"/>
      <c r="D713" s="2"/>
      <c r="E713" s="75"/>
      <c r="M713"/>
      <c r="N713"/>
      <c r="O713"/>
      <c r="P713"/>
      <c r="Q713" s="75"/>
      <c r="R713" s="75"/>
      <c r="S713" s="75"/>
      <c r="T713" s="75"/>
      <c r="U713" s="75"/>
      <c r="V713" s="75"/>
      <c r="W713" s="2"/>
      <c r="X713" s="2"/>
      <c r="Y713" s="2"/>
      <c r="Z713" s="2"/>
      <c r="AA713" s="2"/>
      <c r="AB713" s="2"/>
      <c r="AC713" s="2"/>
      <c r="AD713" s="2"/>
      <c r="AE713" s="2"/>
      <c r="AF713" s="2"/>
      <c r="AG713" s="2"/>
    </row>
    <row r="714" spans="1:33" ht="15" x14ac:dyDescent="0.25">
      <c r="A714" s="2"/>
      <c r="B714" s="2"/>
      <c r="C714" s="2"/>
      <c r="D714" s="2"/>
      <c r="E714" s="75"/>
      <c r="M714"/>
      <c r="N714"/>
      <c r="O714"/>
      <c r="P714"/>
      <c r="Q714" s="75"/>
      <c r="R714" s="75"/>
      <c r="S714" s="75"/>
      <c r="T714" s="75"/>
      <c r="U714" s="75"/>
      <c r="V714" s="75"/>
      <c r="W714" s="2"/>
      <c r="X714" s="2"/>
      <c r="Y714" s="2"/>
      <c r="Z714" s="2"/>
      <c r="AA714" s="2"/>
      <c r="AB714" s="2"/>
      <c r="AC714" s="2"/>
      <c r="AD714" s="2"/>
      <c r="AE714" s="2"/>
      <c r="AF714" s="2"/>
      <c r="AG714" s="2"/>
    </row>
    <row r="715" spans="1:33" ht="15" x14ac:dyDescent="0.25">
      <c r="A715" s="2"/>
      <c r="B715" s="2"/>
      <c r="C715" s="2"/>
      <c r="D715" s="2"/>
      <c r="E715" s="75"/>
      <c r="M715"/>
      <c r="N715"/>
      <c r="O715"/>
      <c r="P715"/>
      <c r="Q715" s="75"/>
      <c r="R715" s="75"/>
      <c r="S715" s="75"/>
      <c r="T715" s="75"/>
      <c r="U715" s="75"/>
      <c r="V715" s="75"/>
      <c r="W715" s="2"/>
      <c r="X715" s="2"/>
      <c r="Y715" s="2"/>
      <c r="Z715" s="2"/>
      <c r="AA715" s="2"/>
      <c r="AB715" s="2"/>
      <c r="AC715" s="2"/>
      <c r="AD715" s="2"/>
      <c r="AE715" s="2"/>
      <c r="AF715" s="2"/>
      <c r="AG715" s="2"/>
    </row>
    <row r="716" spans="1:33" ht="15" x14ac:dyDescent="0.25">
      <c r="A716" s="2"/>
      <c r="B716" s="2"/>
      <c r="C716" s="2"/>
      <c r="D716" s="2"/>
      <c r="E716" s="75"/>
      <c r="M716"/>
      <c r="N716"/>
      <c r="O716"/>
      <c r="P716"/>
      <c r="Q716" s="75"/>
      <c r="R716" s="75"/>
      <c r="S716" s="75"/>
      <c r="T716" s="75"/>
      <c r="U716" s="75"/>
      <c r="V716" s="75"/>
      <c r="W716" s="2"/>
      <c r="X716" s="2"/>
      <c r="Y716" s="2"/>
      <c r="Z716" s="2"/>
      <c r="AA716" s="2"/>
      <c r="AB716" s="2"/>
      <c r="AC716" s="2"/>
      <c r="AD716" s="2"/>
      <c r="AE716" s="2"/>
      <c r="AF716" s="2"/>
      <c r="AG716" s="2"/>
    </row>
    <row r="717" spans="1:33" ht="15" x14ac:dyDescent="0.25">
      <c r="A717" s="2"/>
      <c r="B717" s="2"/>
      <c r="C717" s="2"/>
      <c r="D717" s="2"/>
      <c r="E717" s="75"/>
      <c r="M717"/>
      <c r="N717"/>
      <c r="O717"/>
      <c r="P717"/>
      <c r="Q717" s="75"/>
      <c r="R717" s="75"/>
      <c r="S717" s="75"/>
      <c r="T717" s="75"/>
      <c r="U717" s="75"/>
      <c r="V717" s="75"/>
      <c r="W717" s="2"/>
      <c r="X717" s="2"/>
      <c r="Y717" s="2"/>
      <c r="Z717" s="2"/>
      <c r="AA717" s="2"/>
      <c r="AB717" s="2"/>
      <c r="AC717" s="2"/>
      <c r="AD717" s="2"/>
      <c r="AE717" s="2"/>
      <c r="AF717" s="2"/>
      <c r="AG717" s="2"/>
    </row>
    <row r="718" spans="1:33" ht="15" x14ac:dyDescent="0.25">
      <c r="A718" s="2"/>
      <c r="B718" s="2"/>
      <c r="C718" s="2"/>
      <c r="D718" s="2"/>
      <c r="E718" s="75"/>
      <c r="M718"/>
      <c r="N718"/>
      <c r="O718"/>
      <c r="P718"/>
      <c r="Q718" s="75"/>
      <c r="R718" s="75"/>
      <c r="S718" s="75"/>
      <c r="T718" s="75"/>
      <c r="U718" s="75"/>
      <c r="V718" s="75"/>
      <c r="W718" s="2"/>
      <c r="X718" s="2"/>
      <c r="Y718" s="2"/>
      <c r="Z718" s="2"/>
      <c r="AA718" s="2"/>
      <c r="AB718" s="2"/>
      <c r="AC718" s="2"/>
      <c r="AD718" s="2"/>
      <c r="AE718" s="2"/>
      <c r="AF718" s="2"/>
      <c r="AG718" s="2"/>
    </row>
    <row r="719" spans="1:33" ht="15" x14ac:dyDescent="0.25">
      <c r="A719" s="2"/>
      <c r="B719" s="2"/>
      <c r="C719" s="2"/>
      <c r="D719" s="2"/>
      <c r="E719" s="75"/>
      <c r="M719"/>
      <c r="N719"/>
      <c r="O719"/>
      <c r="P719"/>
      <c r="Q719" s="75"/>
      <c r="R719" s="75"/>
      <c r="S719" s="75"/>
      <c r="T719" s="75"/>
      <c r="U719" s="75"/>
      <c r="V719" s="75"/>
      <c r="W719" s="2"/>
      <c r="X719" s="2"/>
      <c r="Y719" s="2"/>
      <c r="Z719" s="2"/>
      <c r="AA719" s="2"/>
      <c r="AB719" s="2"/>
      <c r="AC719" s="2"/>
      <c r="AD719" s="2"/>
      <c r="AE719" s="2"/>
      <c r="AF719" s="2"/>
      <c r="AG719" s="2"/>
    </row>
    <row r="720" spans="1:33" ht="15" x14ac:dyDescent="0.25">
      <c r="A720" s="2"/>
      <c r="B720" s="2"/>
      <c r="C720" s="2"/>
      <c r="D720" s="2"/>
      <c r="E720" s="75"/>
      <c r="M720"/>
      <c r="N720"/>
      <c r="O720"/>
      <c r="P720"/>
      <c r="Q720" s="75"/>
      <c r="R720" s="75"/>
      <c r="S720" s="75"/>
      <c r="T720" s="75"/>
      <c r="U720" s="75"/>
      <c r="V720" s="75"/>
      <c r="W720" s="2"/>
      <c r="X720" s="2"/>
      <c r="Y720" s="2"/>
      <c r="Z720" s="2"/>
      <c r="AA720" s="2"/>
      <c r="AB720" s="2"/>
      <c r="AC720" s="2"/>
      <c r="AD720" s="2"/>
      <c r="AE720" s="2"/>
      <c r="AF720" s="2"/>
      <c r="AG720" s="2"/>
    </row>
    <row r="721" spans="1:33" ht="15" x14ac:dyDescent="0.25">
      <c r="A721" s="2"/>
      <c r="B721" s="2"/>
      <c r="C721" s="2"/>
      <c r="D721" s="2"/>
      <c r="E721" s="75"/>
      <c r="M721"/>
      <c r="N721"/>
      <c r="O721"/>
      <c r="P721"/>
      <c r="Q721" s="75"/>
      <c r="R721" s="75"/>
      <c r="S721" s="75"/>
      <c r="T721" s="75"/>
      <c r="U721" s="75"/>
      <c r="V721" s="75"/>
      <c r="W721" s="2"/>
      <c r="X721" s="2"/>
      <c r="Y721" s="2"/>
      <c r="Z721" s="2"/>
      <c r="AA721" s="2"/>
      <c r="AB721" s="2"/>
      <c r="AC721" s="2"/>
      <c r="AD721" s="2"/>
      <c r="AE721" s="2"/>
      <c r="AF721" s="2"/>
      <c r="AG721" s="2"/>
    </row>
    <row r="722" spans="1:33" ht="15" x14ac:dyDescent="0.25">
      <c r="A722" s="2"/>
      <c r="B722" s="2"/>
      <c r="C722" s="2"/>
      <c r="D722" s="2"/>
      <c r="E722" s="75"/>
      <c r="M722"/>
      <c r="N722"/>
      <c r="O722"/>
      <c r="P722"/>
      <c r="Q722" s="75"/>
      <c r="R722" s="75"/>
      <c r="S722" s="75"/>
      <c r="T722" s="75"/>
      <c r="U722" s="75"/>
      <c r="V722" s="75"/>
      <c r="W722" s="2"/>
      <c r="X722" s="2"/>
      <c r="Y722" s="2"/>
      <c r="Z722" s="2"/>
      <c r="AA722" s="2"/>
      <c r="AB722" s="2"/>
      <c r="AC722" s="2"/>
      <c r="AD722" s="2"/>
      <c r="AE722" s="2"/>
      <c r="AF722" s="2"/>
      <c r="AG722" s="2"/>
    </row>
    <row r="723" spans="1:33" ht="15" x14ac:dyDescent="0.25">
      <c r="A723" s="2"/>
      <c r="B723" s="2"/>
      <c r="C723" s="2"/>
      <c r="D723" s="2"/>
      <c r="E723" s="75"/>
      <c r="M723"/>
      <c r="N723"/>
      <c r="O723"/>
      <c r="P723"/>
      <c r="Q723" s="75"/>
      <c r="R723" s="75"/>
      <c r="S723" s="75"/>
      <c r="T723" s="75"/>
      <c r="U723" s="75"/>
      <c r="V723" s="75"/>
      <c r="W723" s="2"/>
      <c r="X723" s="2"/>
      <c r="Y723" s="2"/>
      <c r="Z723" s="2"/>
      <c r="AA723" s="2"/>
      <c r="AB723" s="2"/>
      <c r="AC723" s="2"/>
      <c r="AD723" s="2"/>
      <c r="AE723" s="2"/>
      <c r="AF723" s="2"/>
      <c r="AG723" s="2"/>
    </row>
    <row r="724" spans="1:33" ht="15" x14ac:dyDescent="0.25">
      <c r="A724" s="2"/>
      <c r="B724" s="2"/>
      <c r="C724" s="2"/>
      <c r="D724" s="2"/>
      <c r="E724" s="75"/>
      <c r="M724"/>
      <c r="N724"/>
      <c r="O724"/>
      <c r="P724"/>
      <c r="Q724" s="75"/>
      <c r="R724" s="75"/>
      <c r="S724" s="75"/>
      <c r="T724" s="75"/>
      <c r="U724" s="75"/>
      <c r="V724" s="75"/>
      <c r="W724" s="2"/>
      <c r="X724" s="2"/>
      <c r="Y724" s="2"/>
      <c r="Z724" s="2"/>
      <c r="AA724" s="2"/>
      <c r="AB724" s="2"/>
      <c r="AC724" s="2"/>
      <c r="AD724" s="2"/>
      <c r="AE724" s="2"/>
      <c r="AF724" s="2"/>
      <c r="AG724" s="2"/>
    </row>
    <row r="725" spans="1:33" ht="15" x14ac:dyDescent="0.25">
      <c r="A725" s="2"/>
      <c r="B725" s="2"/>
      <c r="C725" s="2"/>
      <c r="D725" s="2"/>
      <c r="E725" s="75"/>
      <c r="M725"/>
      <c r="N725"/>
      <c r="O725"/>
      <c r="P725"/>
      <c r="Q725" s="75"/>
      <c r="R725" s="75"/>
      <c r="S725" s="75"/>
      <c r="T725" s="75"/>
      <c r="U725" s="75"/>
      <c r="V725" s="75"/>
      <c r="W725" s="2"/>
      <c r="X725" s="2"/>
      <c r="Y725" s="2"/>
      <c r="Z725" s="2"/>
      <c r="AA725" s="2"/>
      <c r="AB725" s="2"/>
      <c r="AC725" s="2"/>
      <c r="AD725" s="2"/>
      <c r="AE725" s="2"/>
      <c r="AF725" s="2"/>
      <c r="AG725" s="2"/>
    </row>
    <row r="726" spans="1:33" ht="15" x14ac:dyDescent="0.25">
      <c r="A726" s="2"/>
      <c r="B726" s="2"/>
      <c r="C726" s="2"/>
      <c r="D726" s="2"/>
      <c r="E726" s="75"/>
      <c r="M726"/>
      <c r="N726"/>
      <c r="O726"/>
      <c r="P726"/>
      <c r="Q726" s="75"/>
      <c r="R726" s="75"/>
      <c r="S726" s="75"/>
      <c r="T726" s="75"/>
      <c r="U726" s="75"/>
      <c r="V726" s="75"/>
      <c r="W726" s="2"/>
      <c r="X726" s="2"/>
      <c r="Y726" s="2"/>
      <c r="Z726" s="2"/>
      <c r="AA726" s="2"/>
      <c r="AB726" s="2"/>
      <c r="AC726" s="2"/>
      <c r="AD726" s="2"/>
      <c r="AE726" s="2"/>
      <c r="AF726" s="2"/>
      <c r="AG726" s="2"/>
    </row>
    <row r="727" spans="1:33" ht="15" x14ac:dyDescent="0.25">
      <c r="A727" s="2"/>
      <c r="B727" s="2"/>
      <c r="C727" s="2"/>
      <c r="D727" s="2"/>
      <c r="E727" s="75"/>
      <c r="M727"/>
      <c r="N727"/>
      <c r="O727"/>
      <c r="P727"/>
      <c r="Q727" s="75"/>
      <c r="R727" s="75"/>
      <c r="S727" s="75"/>
      <c r="T727" s="75"/>
      <c r="U727" s="75"/>
      <c r="V727" s="75"/>
      <c r="W727" s="2"/>
      <c r="X727" s="2"/>
      <c r="Y727" s="2"/>
      <c r="Z727" s="2"/>
      <c r="AA727" s="2"/>
      <c r="AB727" s="2"/>
      <c r="AC727" s="2"/>
      <c r="AD727" s="2"/>
      <c r="AE727" s="2"/>
      <c r="AF727" s="2"/>
      <c r="AG727" s="2"/>
    </row>
    <row r="728" spans="1:33" ht="15" x14ac:dyDescent="0.25">
      <c r="A728" s="2"/>
      <c r="B728" s="2"/>
      <c r="C728" s="2"/>
      <c r="D728" s="2"/>
      <c r="E728" s="75"/>
      <c r="M728"/>
      <c r="N728"/>
      <c r="O728"/>
      <c r="P728"/>
      <c r="Q728" s="75"/>
      <c r="R728" s="75"/>
      <c r="S728" s="75"/>
      <c r="T728" s="75"/>
      <c r="U728" s="75"/>
      <c r="V728" s="75"/>
      <c r="W728" s="2"/>
      <c r="X728" s="2"/>
      <c r="Y728" s="2"/>
      <c r="Z728" s="2"/>
      <c r="AA728" s="2"/>
      <c r="AB728" s="2"/>
      <c r="AC728" s="2"/>
      <c r="AD728" s="2"/>
      <c r="AE728" s="2"/>
      <c r="AF728" s="2"/>
      <c r="AG728" s="2"/>
    </row>
    <row r="729" spans="1:33" ht="15" x14ac:dyDescent="0.25">
      <c r="A729" s="2"/>
      <c r="B729" s="2"/>
      <c r="C729" s="2"/>
      <c r="D729" s="2"/>
      <c r="E729" s="75"/>
      <c r="M729"/>
      <c r="N729"/>
      <c r="O729"/>
      <c r="P729"/>
      <c r="Q729" s="75"/>
      <c r="R729" s="75"/>
      <c r="S729" s="75"/>
      <c r="T729" s="75"/>
      <c r="U729" s="75"/>
      <c r="V729" s="75"/>
      <c r="W729" s="2"/>
      <c r="X729" s="2"/>
      <c r="Y729" s="2"/>
      <c r="Z729" s="2"/>
      <c r="AA729" s="2"/>
      <c r="AB729" s="2"/>
      <c r="AC729" s="2"/>
      <c r="AD729" s="2"/>
      <c r="AE729" s="2"/>
      <c r="AF729" s="2"/>
      <c r="AG729" s="2"/>
    </row>
    <row r="730" spans="1:33" ht="15" x14ac:dyDescent="0.25">
      <c r="A730" s="2"/>
      <c r="B730" s="2"/>
      <c r="C730" s="2"/>
      <c r="D730" s="2"/>
      <c r="E730" s="75"/>
      <c r="M730"/>
      <c r="N730"/>
      <c r="O730"/>
      <c r="P730"/>
      <c r="Q730" s="75"/>
      <c r="R730" s="75"/>
      <c r="S730" s="75"/>
      <c r="T730" s="75"/>
      <c r="U730" s="75"/>
      <c r="V730" s="75"/>
      <c r="W730" s="2"/>
      <c r="X730" s="2"/>
      <c r="Y730" s="2"/>
      <c r="Z730" s="2"/>
      <c r="AA730" s="2"/>
      <c r="AB730" s="2"/>
      <c r="AC730" s="2"/>
      <c r="AD730" s="2"/>
      <c r="AE730" s="2"/>
      <c r="AF730" s="2"/>
      <c r="AG730" s="2"/>
    </row>
    <row r="731" spans="1:33" ht="15" x14ac:dyDescent="0.25">
      <c r="A731" s="2"/>
      <c r="B731" s="2"/>
      <c r="C731" s="2"/>
      <c r="D731" s="2"/>
      <c r="E731" s="75"/>
      <c r="M731"/>
      <c r="N731"/>
      <c r="O731"/>
      <c r="P731"/>
      <c r="Q731" s="75"/>
      <c r="R731" s="75"/>
      <c r="S731" s="75"/>
      <c r="T731" s="75"/>
      <c r="U731" s="75"/>
      <c r="V731" s="75"/>
      <c r="W731" s="2"/>
      <c r="X731" s="2"/>
      <c r="Y731" s="2"/>
      <c r="Z731" s="2"/>
      <c r="AA731" s="2"/>
      <c r="AB731" s="2"/>
      <c r="AC731" s="2"/>
      <c r="AD731" s="2"/>
      <c r="AE731" s="2"/>
      <c r="AF731" s="2"/>
      <c r="AG731" s="2"/>
    </row>
    <row r="732" spans="1:33" ht="15" x14ac:dyDescent="0.25">
      <c r="A732" s="2"/>
      <c r="B732" s="2"/>
      <c r="C732" s="2"/>
      <c r="D732" s="2"/>
      <c r="E732" s="75"/>
      <c r="M732"/>
      <c r="N732"/>
      <c r="O732"/>
      <c r="P732"/>
      <c r="Q732" s="75"/>
      <c r="R732" s="75"/>
      <c r="S732" s="75"/>
      <c r="T732" s="75"/>
      <c r="U732" s="75"/>
      <c r="V732" s="75"/>
      <c r="W732" s="2"/>
      <c r="X732" s="2"/>
      <c r="Y732" s="2"/>
      <c r="Z732" s="2"/>
      <c r="AA732" s="2"/>
      <c r="AB732" s="2"/>
      <c r="AC732" s="2"/>
      <c r="AD732" s="2"/>
      <c r="AE732" s="2"/>
      <c r="AF732" s="2"/>
      <c r="AG732" s="2"/>
    </row>
    <row r="733" spans="1:33" ht="15" x14ac:dyDescent="0.25">
      <c r="A733" s="2"/>
      <c r="B733" s="2"/>
      <c r="C733" s="2"/>
      <c r="D733" s="2"/>
      <c r="E733" s="75"/>
      <c r="M733"/>
      <c r="N733"/>
      <c r="O733"/>
      <c r="P733"/>
      <c r="Q733" s="75"/>
      <c r="R733" s="75"/>
      <c r="S733" s="75"/>
      <c r="T733" s="75"/>
      <c r="U733" s="75"/>
      <c r="V733" s="75"/>
      <c r="W733" s="2"/>
      <c r="X733" s="2"/>
      <c r="Y733" s="2"/>
      <c r="Z733" s="2"/>
      <c r="AA733" s="2"/>
      <c r="AB733" s="2"/>
      <c r="AC733" s="2"/>
      <c r="AD733" s="2"/>
      <c r="AE733" s="2"/>
      <c r="AF733" s="2"/>
      <c r="AG733" s="2"/>
    </row>
    <row r="734" spans="1:33" ht="15" x14ac:dyDescent="0.25">
      <c r="A734" s="2"/>
      <c r="B734" s="2"/>
      <c r="C734" s="2"/>
      <c r="D734" s="2"/>
      <c r="E734" s="75"/>
      <c r="M734"/>
      <c r="N734"/>
      <c r="O734"/>
      <c r="P734"/>
      <c r="Q734" s="75"/>
      <c r="R734" s="75"/>
      <c r="S734" s="75"/>
      <c r="T734" s="75"/>
      <c r="U734" s="75"/>
      <c r="V734" s="75"/>
      <c r="W734" s="2"/>
      <c r="X734" s="2"/>
      <c r="Y734" s="2"/>
      <c r="Z734" s="2"/>
      <c r="AA734" s="2"/>
      <c r="AB734" s="2"/>
      <c r="AC734" s="2"/>
      <c r="AD734" s="2"/>
      <c r="AE734" s="2"/>
      <c r="AF734" s="2"/>
      <c r="AG734" s="2"/>
    </row>
    <row r="735" spans="1:33" ht="15" x14ac:dyDescent="0.25">
      <c r="A735" s="2"/>
      <c r="B735" s="2"/>
      <c r="C735" s="2"/>
      <c r="D735" s="2"/>
      <c r="E735" s="75"/>
      <c r="M735"/>
      <c r="N735"/>
      <c r="O735"/>
      <c r="P735"/>
      <c r="Q735" s="75"/>
      <c r="R735" s="75"/>
      <c r="S735" s="75"/>
      <c r="T735" s="75"/>
      <c r="U735" s="75"/>
      <c r="V735" s="75"/>
      <c r="W735" s="2"/>
      <c r="X735" s="2"/>
      <c r="Y735" s="2"/>
      <c r="Z735" s="2"/>
      <c r="AA735" s="2"/>
      <c r="AB735" s="2"/>
      <c r="AC735" s="2"/>
      <c r="AD735" s="2"/>
      <c r="AE735" s="2"/>
      <c r="AF735" s="2"/>
      <c r="AG735" s="2"/>
    </row>
    <row r="736" spans="1:33" ht="15" x14ac:dyDescent="0.25">
      <c r="A736" s="2"/>
      <c r="B736" s="2"/>
      <c r="C736" s="2"/>
      <c r="D736" s="2"/>
      <c r="E736" s="75"/>
      <c r="M736"/>
      <c r="N736"/>
      <c r="O736"/>
      <c r="P736"/>
      <c r="Q736" s="75"/>
      <c r="R736" s="75"/>
      <c r="S736" s="75"/>
      <c r="T736" s="75"/>
      <c r="U736" s="75"/>
      <c r="V736" s="75"/>
      <c r="W736" s="2"/>
      <c r="X736" s="2"/>
      <c r="Y736" s="2"/>
      <c r="Z736" s="2"/>
      <c r="AA736" s="2"/>
      <c r="AB736" s="2"/>
      <c r="AC736" s="2"/>
      <c r="AD736" s="2"/>
      <c r="AE736" s="2"/>
      <c r="AF736" s="2"/>
      <c r="AG736" s="2"/>
    </row>
    <row r="737" spans="1:41" ht="15" x14ac:dyDescent="0.25">
      <c r="A737" s="2"/>
      <c r="B737" s="2"/>
      <c r="C737" s="2"/>
      <c r="D737" s="2"/>
      <c r="E737" s="75"/>
      <c r="M737"/>
      <c r="N737"/>
      <c r="O737"/>
      <c r="P737"/>
      <c r="Q737" s="75"/>
      <c r="R737" s="75"/>
      <c r="S737" s="75"/>
      <c r="T737" s="75"/>
      <c r="U737" s="75"/>
      <c r="V737" s="75"/>
      <c r="W737" s="2"/>
      <c r="X737" s="2"/>
      <c r="Y737" s="2"/>
      <c r="Z737" s="2"/>
      <c r="AA737" s="2"/>
      <c r="AB737" s="2"/>
      <c r="AC737" s="2"/>
      <c r="AD737" s="2"/>
      <c r="AE737" s="2"/>
      <c r="AF737" s="2"/>
      <c r="AG737" s="2"/>
    </row>
    <row r="738" spans="1:41" x14ac:dyDescent="0.2">
      <c r="A738" s="2"/>
      <c r="B738" s="2"/>
      <c r="C738" s="2"/>
      <c r="D738" s="20" t="s">
        <v>1371</v>
      </c>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row>
    <row r="739" spans="1:41" x14ac:dyDescent="0.2">
      <c r="A739" s="2"/>
      <c r="B739" s="2"/>
      <c r="C739" s="2"/>
      <c r="D739" s="3" t="s">
        <v>965</v>
      </c>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2"/>
      <c r="AF739" s="2"/>
      <c r="AG739" s="2"/>
      <c r="AH739" s="67"/>
      <c r="AI739" s="67"/>
      <c r="AJ739" s="67"/>
      <c r="AK739" s="67"/>
      <c r="AL739" s="67"/>
      <c r="AM739" s="67"/>
      <c r="AN739" s="67"/>
      <c r="AO739" s="67"/>
    </row>
    <row r="740" spans="1:41" x14ac:dyDescent="0.2">
      <c r="A740" s="2"/>
      <c r="B740" s="2"/>
      <c r="C740" s="2"/>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2"/>
      <c r="AF740" s="2"/>
      <c r="AG740" s="2"/>
      <c r="AI740" s="67"/>
      <c r="AJ740" s="67"/>
      <c r="AK740" s="67"/>
      <c r="AL740" s="67"/>
    </row>
    <row r="741" spans="1:41" x14ac:dyDescent="0.2">
      <c r="A741" s="2"/>
      <c r="B741" s="2"/>
      <c r="C741" s="2"/>
      <c r="D741" s="3"/>
      <c r="F741" s="25" t="s">
        <v>744</v>
      </c>
      <c r="G741" s="12" t="s">
        <v>332</v>
      </c>
      <c r="H741" s="290">
        <v>1</v>
      </c>
      <c r="I741" s="290"/>
      <c r="J741" s="290"/>
      <c r="K741" s="3"/>
      <c r="L741" s="3"/>
      <c r="M741" s="3"/>
      <c r="N741" s="3"/>
      <c r="O741" s="3" t="s">
        <v>751</v>
      </c>
      <c r="P741" s="3"/>
      <c r="R741" s="3"/>
      <c r="S741" s="3"/>
      <c r="T741" s="3"/>
      <c r="U741" s="3"/>
      <c r="V741" s="3"/>
      <c r="W741" s="3"/>
      <c r="X741" s="3"/>
      <c r="Y741" s="3"/>
      <c r="Z741" s="3"/>
      <c r="AA741" s="3"/>
      <c r="AB741" s="3"/>
      <c r="AC741" s="3"/>
      <c r="AD741" s="3"/>
      <c r="AE741" s="2"/>
      <c r="AF741" s="2"/>
      <c r="AG741" s="2"/>
    </row>
    <row r="742" spans="1:41" ht="15.75" x14ac:dyDescent="0.25">
      <c r="A742" s="2"/>
      <c r="B742" s="2"/>
      <c r="C742" s="2"/>
      <c r="D742" s="3"/>
      <c r="F742" s="25" t="s">
        <v>726</v>
      </c>
      <c r="G742" s="12" t="s">
        <v>332</v>
      </c>
      <c r="H742" s="290">
        <f>G505</f>
        <v>185.5</v>
      </c>
      <c r="I742" s="290"/>
      <c r="J742" s="290"/>
      <c r="K742" s="3" t="s">
        <v>337</v>
      </c>
      <c r="L742"/>
      <c r="M742"/>
      <c r="N742"/>
      <c r="O742" s="3" t="s">
        <v>745</v>
      </c>
      <c r="P742" s="3"/>
      <c r="R742" s="3"/>
      <c r="S742" s="3"/>
      <c r="T742" s="3"/>
      <c r="U742" s="3"/>
      <c r="V742" s="3"/>
      <c r="W742" s="3"/>
      <c r="X742" s="3"/>
      <c r="Y742" s="3"/>
      <c r="Z742" s="3"/>
      <c r="AA742" s="3"/>
      <c r="AB742" s="3"/>
      <c r="AC742" s="3"/>
      <c r="AD742" s="3"/>
      <c r="AE742" s="2"/>
      <c r="AF742" s="2"/>
      <c r="AG742" s="2"/>
    </row>
    <row r="743" spans="1:41" ht="15.75" x14ac:dyDescent="0.25">
      <c r="A743" s="2"/>
      <c r="B743" s="2"/>
      <c r="C743" s="2"/>
      <c r="D743" s="3"/>
      <c r="F743" s="25" t="s">
        <v>727</v>
      </c>
      <c r="G743" s="12" t="s">
        <v>332</v>
      </c>
      <c r="H743" s="290">
        <f>G506</f>
        <v>274</v>
      </c>
      <c r="I743" s="290"/>
      <c r="J743" s="290"/>
      <c r="K743" s="3" t="s">
        <v>337</v>
      </c>
      <c r="L743"/>
      <c r="M743"/>
      <c r="N743"/>
      <c r="O743" s="3" t="s">
        <v>746</v>
      </c>
      <c r="P743" s="3"/>
      <c r="R743" s="3"/>
      <c r="S743" s="3"/>
      <c r="T743" s="3"/>
      <c r="U743" s="3"/>
      <c r="V743" s="3"/>
      <c r="W743" s="3"/>
      <c r="X743" s="3"/>
      <c r="Y743" s="3"/>
      <c r="Z743" s="3"/>
      <c r="AA743" s="3"/>
      <c r="AB743" s="3"/>
      <c r="AC743" s="3"/>
      <c r="AD743" s="3"/>
      <c r="AE743" s="2"/>
      <c r="AF743" s="2"/>
      <c r="AG743" s="2"/>
    </row>
    <row r="744" spans="1:41" ht="15.75" x14ac:dyDescent="0.25">
      <c r="A744" s="2"/>
      <c r="B744" s="2"/>
      <c r="C744" s="2"/>
      <c r="D744" s="3"/>
      <c r="F744" s="25" t="s">
        <v>747</v>
      </c>
      <c r="G744" s="12" t="s">
        <v>332</v>
      </c>
      <c r="H744" s="298">
        <f>(1+H743/H742)/4</f>
        <v>0.6192722371967655</v>
      </c>
      <c r="I744" s="363"/>
      <c r="J744" s="363"/>
      <c r="K744" s="3"/>
      <c r="L744"/>
      <c r="M744"/>
      <c r="N744"/>
      <c r="O744" s="3" t="s">
        <v>748</v>
      </c>
      <c r="P744" s="3"/>
      <c r="R744" s="3"/>
      <c r="S744" s="3"/>
      <c r="T744" s="3"/>
      <c r="U744" s="3"/>
      <c r="V744" s="3"/>
      <c r="W744" s="3"/>
      <c r="X744" s="3"/>
      <c r="Y744" s="3"/>
      <c r="Z744" s="3"/>
      <c r="AA744" s="3"/>
      <c r="AB744" s="3"/>
      <c r="AC744" s="3"/>
      <c r="AD744" s="3"/>
      <c r="AE744" s="2"/>
      <c r="AF744" s="2"/>
      <c r="AG744" s="2"/>
    </row>
    <row r="745" spans="1:41" ht="15.75" x14ac:dyDescent="0.25">
      <c r="A745" s="2"/>
      <c r="B745" s="2"/>
      <c r="C745" s="2"/>
      <c r="D745" s="3"/>
      <c r="F745" s="25" t="s">
        <v>749</v>
      </c>
      <c r="G745" s="12" t="s">
        <v>332</v>
      </c>
      <c r="H745" s="3" t="s">
        <v>750</v>
      </c>
      <c r="I745" s="3"/>
      <c r="J745" s="3"/>
      <c r="K745" s="3"/>
      <c r="L745"/>
      <c r="M745"/>
      <c r="N745"/>
      <c r="O745" s="3"/>
      <c r="P745" s="3"/>
      <c r="R745" s="3"/>
      <c r="S745" s="3"/>
      <c r="T745" s="3"/>
      <c r="U745" s="3"/>
      <c r="V745" s="3"/>
      <c r="W745" s="3"/>
      <c r="X745" s="3"/>
      <c r="Y745" s="3"/>
      <c r="Z745" s="3"/>
      <c r="AA745" s="3"/>
      <c r="AB745" s="3"/>
      <c r="AC745" s="3"/>
      <c r="AD745" s="3"/>
      <c r="AE745" s="2"/>
      <c r="AF745" s="2"/>
      <c r="AG745" s="2"/>
    </row>
    <row r="746" spans="1:41" ht="15" x14ac:dyDescent="0.25">
      <c r="A746" s="2"/>
      <c r="B746" s="2"/>
      <c r="C746" s="2"/>
      <c r="D746" s="3"/>
      <c r="F746" s="3"/>
      <c r="G746" s="3"/>
      <c r="H746" s="290">
        <f>13.3*H742*SQRT(G491)*G512*G514*SQRT(G513)*H741/1000*H744</f>
        <v>116.57362348776336</v>
      </c>
      <c r="I746" s="290"/>
      <c r="J746" s="290"/>
      <c r="K746" s="3" t="s">
        <v>335</v>
      </c>
      <c r="L746"/>
      <c r="M746"/>
      <c r="N746"/>
      <c r="O746" s="3"/>
      <c r="P746" s="3"/>
      <c r="R746" s="3"/>
      <c r="S746" s="3"/>
      <c r="T746" s="3"/>
      <c r="U746" s="3"/>
      <c r="V746" s="3"/>
      <c r="W746" s="3"/>
      <c r="X746" s="3"/>
      <c r="Y746" s="3"/>
      <c r="Z746" s="3"/>
      <c r="AA746" s="3"/>
      <c r="AB746" s="3"/>
      <c r="AC746" s="3"/>
      <c r="AD746" s="3"/>
      <c r="AE746" s="2"/>
      <c r="AF746" s="2"/>
      <c r="AG746" s="2"/>
    </row>
    <row r="747" spans="1:41" ht="15" x14ac:dyDescent="0.25">
      <c r="A747" s="2"/>
      <c r="B747" s="2"/>
      <c r="C747" s="2"/>
      <c r="D747" s="3"/>
      <c r="F747" s="3"/>
      <c r="G747" s="3"/>
      <c r="H747" s="47"/>
      <c r="I747" s="47"/>
      <c r="J747" s="47"/>
      <c r="K747" s="3"/>
      <c r="L747"/>
      <c r="M747"/>
      <c r="N747"/>
      <c r="O747" s="3"/>
      <c r="P747" s="3"/>
      <c r="R747" s="3"/>
      <c r="S747" s="3"/>
      <c r="T747" s="3"/>
      <c r="U747" s="3"/>
      <c r="V747" s="3"/>
      <c r="W747" s="3"/>
      <c r="X747" s="3"/>
      <c r="Y747" s="3"/>
      <c r="Z747" s="3"/>
      <c r="AA747" s="3"/>
      <c r="AB747" s="3"/>
      <c r="AC747" s="3"/>
      <c r="AD747" s="3"/>
      <c r="AE747" s="2"/>
      <c r="AF747" s="2"/>
      <c r="AG747" s="2"/>
    </row>
    <row r="748" spans="1:41" ht="15.75" x14ac:dyDescent="0.25">
      <c r="A748" s="2"/>
      <c r="B748" s="2"/>
      <c r="C748" s="2"/>
      <c r="D748" s="3"/>
      <c r="F748" s="25" t="s">
        <v>1502</v>
      </c>
      <c r="G748" s="12" t="s">
        <v>332</v>
      </c>
      <c r="H748" s="298">
        <f>K575/H746</f>
        <v>0.3449885135482158</v>
      </c>
      <c r="I748" s="298"/>
      <c r="J748" s="298"/>
      <c r="K748" s="2" t="s">
        <v>573</v>
      </c>
      <c r="L748"/>
      <c r="M748"/>
      <c r="N748"/>
      <c r="O748" s="3"/>
      <c r="P748" s="3"/>
      <c r="R748" s="3"/>
      <c r="S748" s="3"/>
      <c r="T748" s="3"/>
      <c r="U748" s="3"/>
      <c r="V748" s="3"/>
      <c r="W748" s="3"/>
      <c r="X748" s="3"/>
      <c r="Y748" s="3"/>
      <c r="Z748" s="3"/>
      <c r="AA748" s="3"/>
      <c r="AB748" s="3"/>
      <c r="AC748" s="3"/>
      <c r="AD748" s="3"/>
      <c r="AE748" s="2"/>
      <c r="AF748" s="2"/>
      <c r="AG748" s="2"/>
    </row>
    <row r="749" spans="1:41" x14ac:dyDescent="0.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row>
    <row r="750" spans="1:41" x14ac:dyDescent="0.2">
      <c r="A750" s="2"/>
      <c r="B750" s="2"/>
      <c r="C750" s="2"/>
      <c r="D750" s="2" t="s">
        <v>966</v>
      </c>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row>
    <row r="751" spans="1:41" x14ac:dyDescent="0.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row>
    <row r="752" spans="1:41" x14ac:dyDescent="0.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row>
    <row r="753" spans="1:33" x14ac:dyDescent="0.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row>
    <row r="754" spans="1:33" x14ac:dyDescent="0.2">
      <c r="A754" s="2"/>
      <c r="B754" s="2"/>
      <c r="C754" s="2"/>
      <c r="D754" s="16" t="s">
        <v>1437</v>
      </c>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row>
    <row r="755" spans="1:33" x14ac:dyDescent="0.2">
      <c r="A755" s="2"/>
      <c r="B755" s="2"/>
      <c r="C755" s="2"/>
      <c r="D755" s="2" t="s">
        <v>1438</v>
      </c>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row>
    <row r="756" spans="1:33" x14ac:dyDescent="0.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row>
    <row r="757" spans="1:33" ht="15.75" x14ac:dyDescent="0.2">
      <c r="A757" s="2"/>
      <c r="B757" s="2"/>
      <c r="C757" s="2"/>
      <c r="D757" s="2"/>
      <c r="E757" s="2"/>
      <c r="F757" s="25" t="s">
        <v>1439</v>
      </c>
      <c r="G757" s="12" t="s">
        <v>332</v>
      </c>
      <c r="H757" s="57" t="s">
        <v>1440</v>
      </c>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row>
    <row r="758" spans="1:33" x14ac:dyDescent="0.2">
      <c r="A758" s="2"/>
      <c r="B758" s="2"/>
      <c r="C758" s="2"/>
      <c r="D758" s="2"/>
      <c r="E758" s="2"/>
      <c r="F758" s="21" t="s">
        <v>513</v>
      </c>
      <c r="G758" s="13" t="s">
        <v>332</v>
      </c>
      <c r="H758" s="284">
        <f>'6. Pump Info'!J36</f>
        <v>2.452</v>
      </c>
      <c r="I758" s="284"/>
      <c r="J758" s="284"/>
      <c r="K758" s="2" t="s">
        <v>337</v>
      </c>
      <c r="L758" s="2"/>
      <c r="M758" s="2"/>
      <c r="N758" s="2"/>
      <c r="O758" s="2" t="s">
        <v>1441</v>
      </c>
      <c r="P758" s="2"/>
      <c r="Q758" s="2"/>
      <c r="R758" s="2"/>
      <c r="S758" s="2"/>
      <c r="T758" s="2"/>
      <c r="U758" s="2"/>
      <c r="V758" s="2"/>
      <c r="W758" s="2"/>
      <c r="X758" s="2"/>
      <c r="Y758" s="2"/>
      <c r="Z758" s="2"/>
      <c r="AA758" s="2"/>
      <c r="AB758" s="2"/>
      <c r="AC758" s="2"/>
      <c r="AD758" s="2"/>
      <c r="AE758" s="2"/>
      <c r="AF758" s="2"/>
      <c r="AG758" s="2"/>
    </row>
    <row r="759" spans="1:33" x14ac:dyDescent="0.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row>
    <row r="760" spans="1:33" ht="15.75" x14ac:dyDescent="0.2">
      <c r="A760" s="2"/>
      <c r="B760" s="2"/>
      <c r="C760" s="2"/>
      <c r="D760" s="2"/>
      <c r="E760" s="2"/>
      <c r="F760" s="25" t="s">
        <v>1439</v>
      </c>
      <c r="G760" s="12" t="s">
        <v>332</v>
      </c>
      <c r="H760" s="290">
        <f>(1+H758/(6*H742/1000))*H746</f>
        <v>373.3917050618835</v>
      </c>
      <c r="I760" s="290"/>
      <c r="J760" s="290"/>
      <c r="K760" s="3" t="s">
        <v>335</v>
      </c>
      <c r="L760" s="2"/>
      <c r="M760" s="2"/>
      <c r="N760" s="2"/>
      <c r="O760" s="2" t="s">
        <v>1442</v>
      </c>
      <c r="P760" s="2"/>
      <c r="Q760" s="2"/>
      <c r="R760" s="2"/>
      <c r="S760" s="2"/>
      <c r="T760" s="2"/>
      <c r="U760" s="2"/>
      <c r="V760" s="2"/>
      <c r="W760" s="2"/>
      <c r="X760" s="2"/>
      <c r="Y760" s="2"/>
      <c r="Z760" s="2"/>
      <c r="AA760" s="2"/>
      <c r="AB760" s="2"/>
      <c r="AC760" s="2"/>
      <c r="AD760" s="2"/>
      <c r="AE760" s="2"/>
      <c r="AF760" s="2"/>
      <c r="AG760" s="2"/>
    </row>
    <row r="761" spans="1:33" x14ac:dyDescent="0.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row>
    <row r="762" spans="1:33" ht="15.75" x14ac:dyDescent="0.3">
      <c r="A762" s="2"/>
      <c r="B762" s="2"/>
      <c r="C762" s="2"/>
      <c r="D762" s="2"/>
      <c r="E762" s="2" t="s">
        <v>1443</v>
      </c>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row>
    <row r="763" spans="1:33" x14ac:dyDescent="0.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row>
    <row r="764" spans="1:33" ht="15.75" x14ac:dyDescent="0.25">
      <c r="A764" s="2"/>
      <c r="B764" s="2"/>
      <c r="C764" s="2"/>
      <c r="D764" s="2"/>
      <c r="E764" s="2"/>
      <c r="F764" s="25" t="s">
        <v>1444</v>
      </c>
      <c r="G764" s="12" t="s">
        <v>332</v>
      </c>
      <c r="H764" s="298">
        <f>5*H550/H760</f>
        <v>0.53853045663276888</v>
      </c>
      <c r="I764" s="298"/>
      <c r="J764" s="298"/>
      <c r="K764" s="2" t="s">
        <v>573</v>
      </c>
      <c r="L764"/>
      <c r="M764"/>
      <c r="N764"/>
      <c r="O764" s="3"/>
      <c r="P764" s="2"/>
      <c r="Q764" s="2"/>
      <c r="R764" s="2"/>
      <c r="S764" s="2"/>
      <c r="T764" s="2"/>
      <c r="U764" s="2"/>
      <c r="V764" s="2"/>
      <c r="W764" s="2"/>
      <c r="X764" s="2"/>
      <c r="Y764" s="2"/>
      <c r="Z764" s="2"/>
      <c r="AA764" s="2"/>
      <c r="AB764" s="2"/>
      <c r="AC764" s="2"/>
      <c r="AD764" s="2"/>
      <c r="AE764" s="2"/>
      <c r="AF764" s="2"/>
      <c r="AG764" s="2"/>
    </row>
    <row r="765" spans="1:33" x14ac:dyDescent="0.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row>
    <row r="766" spans="1:33" x14ac:dyDescent="0.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row>
    <row r="767" spans="1:33" x14ac:dyDescent="0.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row>
    <row r="768" spans="1:33" x14ac:dyDescent="0.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row>
    <row r="769" spans="1:33" x14ac:dyDescent="0.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row>
    <row r="770" spans="1:33" x14ac:dyDescent="0.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row>
    <row r="771" spans="1:33" x14ac:dyDescent="0.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row>
    <row r="772" spans="1:33" x14ac:dyDescent="0.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row>
    <row r="773" spans="1:33" x14ac:dyDescent="0.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row>
    <row r="774" spans="1:33" x14ac:dyDescent="0.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row>
    <row r="775" spans="1:33" x14ac:dyDescent="0.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row>
    <row r="776" spans="1:33" x14ac:dyDescent="0.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row>
    <row r="777" spans="1:33" x14ac:dyDescent="0.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row>
    <row r="778" spans="1:33" x14ac:dyDescent="0.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row>
    <row r="779" spans="1:33" x14ac:dyDescent="0.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row>
    <row r="780" spans="1:33" x14ac:dyDescent="0.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row>
    <row r="781" spans="1:33" x14ac:dyDescent="0.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row>
    <row r="782" spans="1:33" x14ac:dyDescent="0.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row>
    <row r="783" spans="1:33" x14ac:dyDescent="0.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row>
    <row r="784" spans="1:33" x14ac:dyDescent="0.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row>
    <row r="785" spans="1:33" x14ac:dyDescent="0.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row>
    <row r="786" spans="1:33" x14ac:dyDescent="0.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row>
    <row r="787" spans="1:33" x14ac:dyDescent="0.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row>
    <row r="788" spans="1:33" x14ac:dyDescent="0.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row>
    <row r="789" spans="1:33" x14ac:dyDescent="0.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row>
    <row r="790" spans="1:33" x14ac:dyDescent="0.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c r="AG790" s="2"/>
    </row>
    <row r="791" spans="1:33" x14ac:dyDescent="0.2">
      <c r="A791" s="2"/>
      <c r="B791" s="2"/>
      <c r="C791" s="48" t="s">
        <v>1372</v>
      </c>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c r="AG791" s="2"/>
    </row>
    <row r="792" spans="1:33" x14ac:dyDescent="0.2">
      <c r="A792" s="2"/>
      <c r="B792" s="2"/>
      <c r="C792" s="232" t="s">
        <v>1510</v>
      </c>
      <c r="D792" s="232"/>
      <c r="E792" s="232"/>
      <c r="F792" s="232"/>
      <c r="G792" s="232"/>
      <c r="H792" s="232"/>
      <c r="I792" s="232"/>
      <c r="J792" s="232"/>
      <c r="K792" s="232"/>
      <c r="L792" s="232"/>
      <c r="M792" s="232"/>
      <c r="N792" s="232"/>
      <c r="O792" s="232"/>
      <c r="P792" s="232"/>
      <c r="Q792" s="232"/>
      <c r="R792" s="232"/>
      <c r="S792" s="232"/>
      <c r="T792" s="232"/>
      <c r="U792" s="232"/>
      <c r="V792" s="232"/>
      <c r="W792" s="232"/>
      <c r="X792" s="232"/>
      <c r="Y792" s="232"/>
      <c r="Z792" s="232"/>
      <c r="AA792" s="232"/>
      <c r="AB792" s="232"/>
      <c r="AC792" s="232"/>
      <c r="AD792" s="232"/>
      <c r="AE792" s="232"/>
      <c r="AF792" s="232"/>
      <c r="AG792" s="232"/>
    </row>
    <row r="793" spans="1:33" x14ac:dyDescent="0.2">
      <c r="A793" s="2"/>
      <c r="B793" s="2"/>
      <c r="C793" s="232"/>
      <c r="D793" s="232"/>
      <c r="E793" s="232"/>
      <c r="F793" s="232"/>
      <c r="G793" s="232"/>
      <c r="H793" s="232"/>
      <c r="I793" s="232"/>
      <c r="J793" s="232"/>
      <c r="K793" s="232"/>
      <c r="L793" s="232"/>
      <c r="M793" s="232"/>
      <c r="N793" s="232"/>
      <c r="O793" s="232"/>
      <c r="P793" s="232"/>
      <c r="Q793" s="232"/>
      <c r="R793" s="232"/>
      <c r="S793" s="232"/>
      <c r="T793" s="232"/>
      <c r="U793" s="232"/>
      <c r="V793" s="232"/>
      <c r="W793" s="232"/>
      <c r="X793" s="232"/>
      <c r="Y793" s="232"/>
      <c r="Z793" s="232"/>
      <c r="AA793" s="232"/>
      <c r="AB793" s="232"/>
      <c r="AC793" s="232"/>
      <c r="AD793" s="232"/>
      <c r="AE793" s="232"/>
      <c r="AF793" s="232"/>
      <c r="AG793" s="232"/>
    </row>
    <row r="794" spans="1:33" x14ac:dyDescent="0.2">
      <c r="A794" s="2"/>
      <c r="B794" s="2"/>
      <c r="C794" s="2" t="s">
        <v>1511</v>
      </c>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c r="AG794" s="2"/>
    </row>
    <row r="795" spans="1:33" x14ac:dyDescent="0.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c r="AG795" s="2"/>
    </row>
    <row r="796" spans="1:33" ht="15.75" x14ac:dyDescent="0.25">
      <c r="A796" s="2"/>
      <c r="B796" s="2"/>
      <c r="C796" s="2"/>
      <c r="D796" s="25" t="s">
        <v>752</v>
      </c>
      <c r="E796" s="12" t="s">
        <v>332</v>
      </c>
      <c r="F796" s="290">
        <f>MAX(J464:L468)</f>
        <v>8.1213860242607883</v>
      </c>
      <c r="G796" s="363"/>
      <c r="H796" s="363"/>
      <c r="I796" s="3" t="s">
        <v>335</v>
      </c>
      <c r="J796" s="12"/>
      <c r="K796"/>
      <c r="L796" s="3" t="s">
        <v>753</v>
      </c>
      <c r="M796"/>
      <c r="N796" s="3"/>
      <c r="O796" s="2"/>
      <c r="P796" s="2"/>
      <c r="Q796" s="2"/>
      <c r="R796" s="2"/>
      <c r="S796" s="2"/>
      <c r="T796" s="2"/>
      <c r="U796" s="2"/>
      <c r="V796" s="2"/>
      <c r="W796" s="2"/>
      <c r="X796" s="2"/>
      <c r="Y796" s="2"/>
      <c r="Z796" s="2"/>
      <c r="AA796" s="2"/>
      <c r="AB796" s="2"/>
      <c r="AC796" s="2"/>
      <c r="AD796" s="2"/>
      <c r="AE796" s="2"/>
      <c r="AF796" s="2"/>
      <c r="AG796" s="2"/>
    </row>
    <row r="797" spans="1:33" x14ac:dyDescent="0.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c r="AG797" s="2"/>
    </row>
    <row r="798" spans="1:33" x14ac:dyDescent="0.2">
      <c r="A798" s="2"/>
      <c r="B798" s="2"/>
      <c r="C798" s="2" t="s">
        <v>1344</v>
      </c>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c r="AG798" s="2"/>
    </row>
    <row r="799" spans="1:33" ht="14.25" customHeight="1" x14ac:dyDescent="0.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c r="AG799" s="2"/>
    </row>
    <row r="800" spans="1:33" x14ac:dyDescent="0.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c r="AG800" s="2"/>
    </row>
    <row r="801" spans="1:33" x14ac:dyDescent="0.2">
      <c r="A801" s="2"/>
      <c r="B801" s="2"/>
      <c r="C801" s="2"/>
      <c r="D801" s="20" t="s">
        <v>1373</v>
      </c>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c r="AG801" s="2"/>
    </row>
    <row r="802" spans="1:33" x14ac:dyDescent="0.2">
      <c r="A802" s="2"/>
      <c r="B802" s="2"/>
      <c r="C802" s="2"/>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2"/>
    </row>
    <row r="803" spans="1:33" x14ac:dyDescent="0.2">
      <c r="A803" s="2"/>
      <c r="B803" s="2"/>
      <c r="C803" s="2"/>
      <c r="D803" s="3"/>
      <c r="E803" s="25" t="s">
        <v>744</v>
      </c>
      <c r="F803" s="12" t="s">
        <v>332</v>
      </c>
      <c r="G803" s="298">
        <v>0.75</v>
      </c>
      <c r="H803" s="298"/>
      <c r="I803" s="298"/>
      <c r="J803" s="3"/>
      <c r="K803" s="3"/>
      <c r="L803" s="3"/>
      <c r="M803" s="3"/>
      <c r="N803" s="3" t="s">
        <v>1358</v>
      </c>
      <c r="O803" s="3"/>
      <c r="P803" s="3"/>
      <c r="R803" s="3"/>
      <c r="S803" s="3"/>
      <c r="T803" s="3"/>
      <c r="U803" s="3"/>
      <c r="V803" s="3"/>
      <c r="W803" s="3"/>
      <c r="X803" s="3"/>
      <c r="Y803" s="3"/>
      <c r="Z803" s="3"/>
      <c r="AA803" s="3"/>
      <c r="AB803" s="3"/>
      <c r="AC803" s="3"/>
      <c r="AD803" s="3"/>
      <c r="AE803" s="3"/>
      <c r="AF803" s="3"/>
      <c r="AG803" s="2"/>
    </row>
    <row r="804" spans="1:33" x14ac:dyDescent="0.2">
      <c r="A804" s="2"/>
      <c r="B804" s="2"/>
      <c r="C804" s="2"/>
      <c r="D804" s="3"/>
      <c r="E804" s="25" t="s">
        <v>650</v>
      </c>
      <c r="F804" s="12" t="s">
        <v>332</v>
      </c>
      <c r="G804" s="298">
        <v>0.8</v>
      </c>
      <c r="H804" s="298"/>
      <c r="I804" s="298"/>
      <c r="J804" s="3"/>
      <c r="K804" s="3"/>
      <c r="L804" s="3"/>
      <c r="M804" s="3"/>
      <c r="N804" s="3" t="s">
        <v>1445</v>
      </c>
      <c r="O804" s="3"/>
      <c r="P804" s="3"/>
      <c r="R804" s="3"/>
      <c r="S804" s="3"/>
      <c r="T804" s="3"/>
      <c r="U804" s="3"/>
      <c r="V804" s="3"/>
      <c r="W804" s="3"/>
      <c r="X804" s="3"/>
      <c r="Y804" s="3"/>
      <c r="Z804" s="3"/>
      <c r="AA804" s="3"/>
      <c r="AB804" s="3"/>
      <c r="AC804" s="3"/>
      <c r="AD804" s="3"/>
      <c r="AE804" s="3"/>
      <c r="AF804" s="3"/>
      <c r="AG804" s="2"/>
    </row>
    <row r="805" spans="1:33" ht="15.75" x14ac:dyDescent="0.2">
      <c r="A805" s="2"/>
      <c r="B805" s="2"/>
      <c r="C805" s="2"/>
      <c r="D805" s="3"/>
      <c r="E805" s="25" t="s">
        <v>754</v>
      </c>
      <c r="F805" s="12" t="s">
        <v>332</v>
      </c>
      <c r="G805" s="3" t="s">
        <v>755</v>
      </c>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2"/>
    </row>
    <row r="806" spans="1:33" ht="15" x14ac:dyDescent="0.25">
      <c r="A806" s="2"/>
      <c r="B806" s="2"/>
      <c r="C806" s="2"/>
      <c r="D806" s="3"/>
      <c r="E806" s="3"/>
      <c r="F806" s="12" t="s">
        <v>332</v>
      </c>
      <c r="G806" s="290">
        <f>G490*G520*0.6*G519*G803*G804/1000</f>
        <v>26.411492362290936</v>
      </c>
      <c r="H806" s="290"/>
      <c r="I806" s="290"/>
      <c r="J806" s="3" t="s">
        <v>335</v>
      </c>
      <c r="K806"/>
      <c r="L806"/>
      <c r="M806"/>
      <c r="N806"/>
      <c r="O806"/>
      <c r="P806" s="3"/>
      <c r="Q806" s="3"/>
      <c r="R806" s="3"/>
      <c r="S806" s="3"/>
      <c r="T806" s="3"/>
      <c r="U806" s="3"/>
      <c r="V806" s="3"/>
      <c r="W806" s="3"/>
      <c r="X806" s="3"/>
      <c r="Y806" s="3"/>
      <c r="Z806" s="3"/>
      <c r="AA806" s="3"/>
      <c r="AB806" s="3"/>
      <c r="AC806" s="3"/>
      <c r="AD806" s="3"/>
      <c r="AE806" s="3"/>
      <c r="AF806" s="3"/>
      <c r="AG806" s="2"/>
    </row>
    <row r="807" spans="1:33" ht="15" x14ac:dyDescent="0.25">
      <c r="A807" s="2"/>
      <c r="B807" s="2"/>
      <c r="C807" s="2"/>
      <c r="D807" s="3"/>
      <c r="E807" s="3"/>
      <c r="F807" s="12"/>
      <c r="G807" s="47"/>
      <c r="H807" s="47"/>
      <c r="I807" s="47"/>
      <c r="J807" s="3"/>
      <c r="K807"/>
      <c r="L807"/>
      <c r="M807"/>
      <c r="N807"/>
      <c r="O807"/>
      <c r="P807" s="3"/>
      <c r="Q807" s="3"/>
      <c r="R807" s="3"/>
      <c r="S807" s="3"/>
      <c r="T807" s="3"/>
      <c r="U807" s="3"/>
      <c r="V807" s="3"/>
      <c r="W807" s="3"/>
      <c r="X807" s="3"/>
      <c r="Y807" s="3"/>
      <c r="Z807" s="3"/>
      <c r="AA807" s="3"/>
      <c r="AB807" s="3"/>
      <c r="AC807" s="3"/>
      <c r="AD807" s="3"/>
      <c r="AE807" s="3"/>
      <c r="AF807" s="3"/>
      <c r="AG807" s="2"/>
    </row>
    <row r="808" spans="1:33" ht="15.75" x14ac:dyDescent="0.2">
      <c r="A808" s="2"/>
      <c r="B808" s="2"/>
      <c r="C808" s="2"/>
      <c r="D808" s="3"/>
      <c r="E808" s="25" t="s">
        <v>756</v>
      </c>
      <c r="F808" s="12" t="s">
        <v>332</v>
      </c>
      <c r="G808" s="298">
        <f>F796/G806</f>
        <v>0.3074944010303679</v>
      </c>
      <c r="H808" s="298"/>
      <c r="I808" s="298"/>
      <c r="J808" s="2" t="s">
        <v>573</v>
      </c>
      <c r="K808" s="3"/>
      <c r="L808" s="3"/>
      <c r="M808" s="3"/>
      <c r="N808" s="3"/>
      <c r="O808" s="3"/>
      <c r="P808" s="3"/>
      <c r="Q808" s="3"/>
      <c r="R808" s="3"/>
      <c r="S808" s="3"/>
      <c r="T808" s="3"/>
      <c r="U808" s="3"/>
      <c r="V808" s="3"/>
      <c r="W808" s="3"/>
      <c r="X808" s="3"/>
      <c r="Y808" s="3"/>
      <c r="Z808" s="3"/>
      <c r="AA808" s="3"/>
      <c r="AB808" s="3"/>
      <c r="AC808" s="3"/>
      <c r="AD808" s="3"/>
      <c r="AE808" s="3"/>
      <c r="AF808" s="3"/>
      <c r="AG808" s="2"/>
    </row>
    <row r="809" spans="1:33" x14ac:dyDescent="0.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c r="AG809" s="2"/>
    </row>
    <row r="810" spans="1:33" x14ac:dyDescent="0.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c r="AG810" s="2"/>
    </row>
    <row r="811" spans="1:33" x14ac:dyDescent="0.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c r="AG811" s="2"/>
    </row>
    <row r="812" spans="1:33" x14ac:dyDescent="0.2">
      <c r="A812" s="2"/>
      <c r="B812" s="2"/>
      <c r="C812" s="2"/>
      <c r="D812" s="20" t="s">
        <v>1374</v>
      </c>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c r="AG812" s="2"/>
    </row>
    <row r="813" spans="1:33" x14ac:dyDescent="0.2">
      <c r="A813" s="2"/>
      <c r="B813" s="2"/>
      <c r="C813" s="2"/>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row>
    <row r="814" spans="1:33" x14ac:dyDescent="0.2">
      <c r="A814" s="2"/>
      <c r="B814" s="2"/>
      <c r="C814" s="2"/>
      <c r="D814" s="3"/>
      <c r="E814" s="25" t="s">
        <v>744</v>
      </c>
      <c r="F814" s="12" t="s">
        <v>332</v>
      </c>
      <c r="G814" s="290">
        <v>1</v>
      </c>
      <c r="H814" s="290"/>
      <c r="I814" s="290"/>
      <c r="J814" s="3"/>
      <c r="K814" s="3"/>
      <c r="L814" s="3"/>
      <c r="M814" s="3"/>
      <c r="N814" s="3" t="s">
        <v>751</v>
      </c>
      <c r="O814" s="3"/>
      <c r="P814" s="3"/>
      <c r="R814" s="3"/>
      <c r="S814" s="3"/>
      <c r="T814" s="3"/>
      <c r="U814" s="3"/>
      <c r="V814" s="3"/>
      <c r="W814" s="3"/>
      <c r="X814" s="3"/>
      <c r="Y814" s="3"/>
      <c r="Z814" s="3"/>
      <c r="AA814" s="3"/>
      <c r="AB814" s="3"/>
      <c r="AC814" s="3"/>
      <c r="AD814" s="3"/>
      <c r="AE814" s="3"/>
      <c r="AF814" s="3"/>
      <c r="AG814" s="3"/>
    </row>
    <row r="815" spans="1:33" ht="15.75" x14ac:dyDescent="0.2">
      <c r="A815" s="2"/>
      <c r="B815" s="2"/>
      <c r="C815" s="2"/>
      <c r="D815" s="3"/>
      <c r="E815" s="25" t="s">
        <v>726</v>
      </c>
      <c r="F815" s="12" t="s">
        <v>332</v>
      </c>
      <c r="G815" s="290">
        <f>MIN(G505:I506)</f>
        <v>185.5</v>
      </c>
      <c r="H815" s="290"/>
      <c r="I815" s="290"/>
      <c r="J815" s="3" t="s">
        <v>337</v>
      </c>
      <c r="K815" s="12"/>
      <c r="N815" s="3" t="s">
        <v>767</v>
      </c>
      <c r="O815" s="3"/>
      <c r="P815" s="3"/>
      <c r="R815" s="3"/>
      <c r="S815" s="3"/>
      <c r="T815" s="3"/>
      <c r="U815" s="3"/>
      <c r="V815" s="3"/>
      <c r="W815" s="3"/>
      <c r="X815" s="3"/>
      <c r="Y815" s="3"/>
      <c r="Z815" s="3"/>
      <c r="AA815" s="3"/>
      <c r="AB815" s="3"/>
      <c r="AC815" s="3"/>
      <c r="AD815" s="3"/>
      <c r="AE815" s="3"/>
      <c r="AF815" s="3"/>
      <c r="AG815" s="3"/>
    </row>
    <row r="816" spans="1:33" ht="15.75" x14ac:dyDescent="0.2">
      <c r="A816" s="2"/>
      <c r="B816" s="2"/>
      <c r="C816" s="2"/>
      <c r="D816" s="3"/>
      <c r="E816" s="25" t="s">
        <v>757</v>
      </c>
      <c r="F816" s="12" t="s">
        <v>332</v>
      </c>
      <c r="G816" s="364">
        <f>4.5*G815^2</f>
        <v>154846.125</v>
      </c>
      <c r="H816" s="364"/>
      <c r="I816" s="364"/>
      <c r="J816" s="3" t="s">
        <v>555</v>
      </c>
      <c r="K816" s="12"/>
      <c r="N816" s="3" t="s">
        <v>768</v>
      </c>
      <c r="O816" s="3"/>
      <c r="P816" s="3"/>
      <c r="R816" s="3"/>
      <c r="S816" s="3"/>
      <c r="T816" s="3"/>
      <c r="U816" s="3"/>
      <c r="V816" s="3"/>
      <c r="W816" s="3"/>
      <c r="X816" s="3"/>
      <c r="Y816" s="3"/>
      <c r="Z816" s="3"/>
      <c r="AA816" s="3"/>
      <c r="AB816" s="3"/>
      <c r="AC816" s="3"/>
      <c r="AD816" s="3"/>
      <c r="AE816" s="3"/>
      <c r="AF816" s="3"/>
      <c r="AG816" s="3"/>
    </row>
    <row r="817" spans="1:33" ht="15.75" x14ac:dyDescent="0.2">
      <c r="A817" s="2"/>
      <c r="B817" s="2"/>
      <c r="C817" s="2"/>
      <c r="D817" s="3"/>
      <c r="E817" s="25" t="s">
        <v>758</v>
      </c>
      <c r="F817" s="12" t="s">
        <v>332</v>
      </c>
      <c r="G817" s="364">
        <f>4.5*G815^2</f>
        <v>154846.125</v>
      </c>
      <c r="H817" s="364"/>
      <c r="I817" s="364"/>
      <c r="J817" s="3" t="s">
        <v>555</v>
      </c>
      <c r="K817" s="12"/>
      <c r="N817" s="3" t="s">
        <v>769</v>
      </c>
      <c r="O817" s="3"/>
      <c r="P817" s="3"/>
      <c r="R817" s="3"/>
      <c r="S817" s="3"/>
      <c r="T817" s="3"/>
      <c r="U817" s="3"/>
      <c r="V817" s="3"/>
      <c r="W817" s="3"/>
      <c r="X817" s="3"/>
      <c r="Y817" s="3"/>
      <c r="Z817" s="3"/>
      <c r="AA817" s="3"/>
      <c r="AB817" s="3"/>
      <c r="AC817" s="3"/>
      <c r="AD817" s="3"/>
      <c r="AE817" s="3"/>
      <c r="AF817" s="3"/>
      <c r="AG817" s="3"/>
    </row>
    <row r="818" spans="1:33" x14ac:dyDescent="0.2">
      <c r="A818" s="2"/>
      <c r="B818" s="2"/>
      <c r="C818" s="2"/>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row>
    <row r="819" spans="1:33" ht="15.75" customHeight="1" x14ac:dyDescent="0.2">
      <c r="A819" s="2"/>
      <c r="B819" s="2"/>
      <c r="C819" s="2"/>
      <c r="D819" s="3"/>
      <c r="E819" s="25" t="s">
        <v>759</v>
      </c>
      <c r="F819" s="12" t="s">
        <v>332</v>
      </c>
      <c r="G819" s="290">
        <f>8*G482</f>
        <v>152.39999999999998</v>
      </c>
      <c r="H819" s="290"/>
      <c r="I819" s="290"/>
      <c r="J819" s="57" t="s">
        <v>337</v>
      </c>
      <c r="K819" s="12"/>
      <c r="N819" s="232" t="s">
        <v>770</v>
      </c>
      <c r="O819" s="232"/>
      <c r="P819" s="232"/>
      <c r="Q819" s="232"/>
      <c r="R819" s="232"/>
      <c r="S819" s="232"/>
      <c r="T819" s="232"/>
      <c r="U819" s="232"/>
      <c r="V819" s="232"/>
      <c r="W819" s="232"/>
      <c r="X819" s="232"/>
      <c r="Y819" s="232"/>
      <c r="Z819" s="232"/>
      <c r="AA819" s="232"/>
      <c r="AB819" s="232"/>
      <c r="AC819" s="232"/>
      <c r="AD819" s="232"/>
      <c r="AE819" s="232"/>
      <c r="AF819" s="232"/>
      <c r="AG819" s="232"/>
    </row>
    <row r="820" spans="1:33" x14ac:dyDescent="0.2">
      <c r="A820" s="2"/>
      <c r="B820" s="2"/>
      <c r="C820" s="2"/>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row>
    <row r="821" spans="1:33" x14ac:dyDescent="0.2">
      <c r="A821" s="2"/>
      <c r="B821" s="2"/>
      <c r="C821" s="2"/>
      <c r="D821" s="3"/>
      <c r="E821" s="232" t="s">
        <v>771</v>
      </c>
      <c r="F821" s="232"/>
      <c r="G821" s="232"/>
      <c r="H821" s="232"/>
      <c r="I821" s="232"/>
      <c r="J821" s="232"/>
      <c r="K821" s="232"/>
      <c r="L821" s="232"/>
      <c r="M821" s="232"/>
      <c r="N821" s="232"/>
      <c r="O821" s="232"/>
      <c r="P821" s="232"/>
      <c r="Q821" s="232"/>
      <c r="R821" s="232"/>
      <c r="S821" s="232"/>
      <c r="T821" s="232"/>
      <c r="U821" s="232"/>
      <c r="V821" s="232"/>
      <c r="W821" s="232"/>
      <c r="X821" s="232"/>
      <c r="Y821" s="3"/>
      <c r="Z821" s="3"/>
      <c r="AA821" s="3"/>
      <c r="AB821" s="3"/>
      <c r="AC821" s="3"/>
      <c r="AD821" s="3"/>
      <c r="AE821" s="3"/>
      <c r="AF821" s="3"/>
      <c r="AG821" s="3"/>
    </row>
    <row r="822" spans="1:33" x14ac:dyDescent="0.2">
      <c r="A822" s="2"/>
      <c r="B822" s="2"/>
      <c r="C822" s="2"/>
      <c r="D822" s="3"/>
      <c r="E822" s="232"/>
      <c r="F822" s="232"/>
      <c r="G822" s="232"/>
      <c r="H822" s="232"/>
      <c r="I822" s="232"/>
      <c r="J822" s="232"/>
      <c r="K822" s="232"/>
      <c r="L822" s="232"/>
      <c r="M822" s="232"/>
      <c r="N822" s="232"/>
      <c r="O822" s="232"/>
      <c r="P822" s="232"/>
      <c r="Q822" s="232"/>
      <c r="R822" s="232"/>
      <c r="S822" s="232"/>
      <c r="T822" s="232"/>
      <c r="U822" s="232"/>
      <c r="V822" s="232"/>
      <c r="W822" s="232"/>
      <c r="X822" s="232"/>
      <c r="Y822" s="3"/>
      <c r="Z822" s="3"/>
      <c r="AA822" s="3"/>
      <c r="AB822" s="3"/>
      <c r="AC822" s="3"/>
      <c r="AD822" s="3"/>
      <c r="AE822" s="3"/>
      <c r="AF822" s="3"/>
      <c r="AG822" s="3"/>
    </row>
    <row r="823" spans="1:33" x14ac:dyDescent="0.2">
      <c r="A823" s="2"/>
      <c r="B823" s="2"/>
      <c r="C823" s="2"/>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row>
    <row r="824" spans="1:33" ht="15.75" x14ac:dyDescent="0.2">
      <c r="A824" s="2"/>
      <c r="B824" s="2"/>
      <c r="C824" s="2"/>
      <c r="D824" s="3"/>
      <c r="E824" s="3"/>
      <c r="F824" s="25" t="s">
        <v>760</v>
      </c>
      <c r="G824" s="12" t="s">
        <v>332</v>
      </c>
      <c r="H824" s="3" t="s">
        <v>772</v>
      </c>
      <c r="I824" s="3"/>
      <c r="J824" s="3"/>
      <c r="K824" s="57"/>
      <c r="L824" s="57"/>
      <c r="M824" s="57"/>
      <c r="N824" s="57"/>
      <c r="O824" s="57"/>
      <c r="P824" s="3"/>
      <c r="Q824" s="3"/>
      <c r="R824" s="3"/>
      <c r="S824" s="3"/>
      <c r="T824" s="3"/>
      <c r="U824" s="3"/>
      <c r="V824" s="3"/>
      <c r="W824" s="3"/>
      <c r="X824" s="3"/>
      <c r="Y824" s="3"/>
      <c r="Z824" s="3"/>
      <c r="AA824" s="3"/>
      <c r="AB824" s="3"/>
      <c r="AC824" s="3"/>
      <c r="AD824" s="3"/>
      <c r="AE824" s="3"/>
      <c r="AF824" s="3"/>
      <c r="AG824" s="3"/>
    </row>
    <row r="825" spans="1:33" x14ac:dyDescent="0.2">
      <c r="A825" s="2"/>
      <c r="B825" s="2"/>
      <c r="C825" s="2"/>
      <c r="D825" s="3"/>
      <c r="E825" s="3"/>
      <c r="F825" s="25"/>
      <c r="G825" s="12" t="s">
        <v>332</v>
      </c>
      <c r="H825" s="290">
        <f>0.58*(G819/G482)^0.2*SQRT(G482)*G512*G514*SQRT(G513)*G815^1.5*G814/1000</f>
        <v>34.513049624639493</v>
      </c>
      <c r="I825" s="290"/>
      <c r="J825" s="290"/>
      <c r="K825" s="57" t="s">
        <v>335</v>
      </c>
      <c r="L825" s="12"/>
      <c r="P825" s="3"/>
      <c r="Q825" s="3"/>
      <c r="R825" s="3"/>
      <c r="S825" s="3"/>
      <c r="T825" s="3"/>
      <c r="U825" s="3"/>
      <c r="V825" s="3"/>
      <c r="W825" s="3"/>
      <c r="X825" s="3"/>
      <c r="Y825" s="3"/>
      <c r="Z825" s="3"/>
      <c r="AA825" s="3"/>
      <c r="AB825" s="3"/>
      <c r="AC825" s="3"/>
      <c r="AD825" s="3"/>
      <c r="AE825" s="3"/>
      <c r="AF825" s="3"/>
      <c r="AG825" s="3"/>
    </row>
    <row r="826" spans="1:33" ht="15.75" x14ac:dyDescent="0.2">
      <c r="A826" s="2"/>
      <c r="B826" s="2"/>
      <c r="C826" s="2"/>
      <c r="D826" s="57"/>
      <c r="E826" s="25"/>
      <c r="F826" s="25" t="s">
        <v>760</v>
      </c>
      <c r="G826" s="12" t="s">
        <v>332</v>
      </c>
      <c r="H826" s="3" t="s">
        <v>813</v>
      </c>
      <c r="I826" s="3"/>
      <c r="J826" s="3"/>
      <c r="K826" s="57"/>
      <c r="L826" s="57"/>
      <c r="M826" s="57"/>
      <c r="N826" s="57"/>
      <c r="O826" s="57"/>
      <c r="P826" s="57"/>
      <c r="Q826" s="57"/>
      <c r="R826" s="57"/>
      <c r="S826" s="57"/>
      <c r="T826" s="57"/>
      <c r="U826" s="57"/>
      <c r="V826" s="57"/>
      <c r="W826" s="57"/>
      <c r="X826" s="57"/>
      <c r="Y826" s="57"/>
      <c r="Z826" s="57"/>
      <c r="AA826" s="57"/>
      <c r="AB826" s="57"/>
      <c r="AC826" s="57"/>
      <c r="AD826" s="57"/>
      <c r="AE826" s="57"/>
      <c r="AF826" s="57"/>
      <c r="AG826" s="57"/>
    </row>
    <row r="827" spans="1:33" x14ac:dyDescent="0.2">
      <c r="A827" s="2"/>
      <c r="B827" s="2"/>
      <c r="C827" s="2"/>
      <c r="D827" s="57"/>
      <c r="F827" s="25"/>
      <c r="G827" s="12" t="s">
        <v>332</v>
      </c>
      <c r="H827" s="290">
        <f>3.75*G512*G514*SQRT(G513)*G815^1.5*G814/1000</f>
        <v>33.730371360455813</v>
      </c>
      <c r="I827" s="290"/>
      <c r="J827" s="290"/>
      <c r="K827" s="57" t="s">
        <v>335</v>
      </c>
      <c r="L827" s="12"/>
      <c r="P827" s="57"/>
      <c r="Q827" s="57"/>
      <c r="R827" s="57"/>
      <c r="S827" s="57"/>
      <c r="T827" s="57"/>
      <c r="U827" s="57"/>
      <c r="V827" s="57"/>
      <c r="W827" s="57"/>
      <c r="X827" s="57"/>
      <c r="Y827" s="57"/>
      <c r="Z827" s="57"/>
      <c r="AA827" s="57"/>
      <c r="AB827" s="57"/>
      <c r="AC827" s="57"/>
      <c r="AD827" s="57"/>
      <c r="AE827" s="57"/>
      <c r="AF827" s="57"/>
      <c r="AG827" s="57"/>
    </row>
    <row r="828" spans="1:33" x14ac:dyDescent="0.2">
      <c r="A828" s="2"/>
      <c r="B828" s="2"/>
      <c r="C828" s="2"/>
      <c r="D828" s="57"/>
      <c r="P828" s="57"/>
      <c r="Q828" s="57"/>
      <c r="R828" s="57"/>
      <c r="S828" s="57"/>
      <c r="T828" s="57"/>
      <c r="U828" s="57"/>
      <c r="V828" s="57"/>
      <c r="W828" s="57"/>
      <c r="X828" s="57"/>
      <c r="Y828" s="57"/>
      <c r="Z828" s="57"/>
      <c r="AA828" s="57"/>
      <c r="AB828" s="57"/>
      <c r="AC828" s="57"/>
      <c r="AD828" s="57"/>
      <c r="AE828" s="57"/>
      <c r="AF828" s="57"/>
      <c r="AG828" s="57"/>
    </row>
    <row r="829" spans="1:33" ht="15.75" x14ac:dyDescent="0.2">
      <c r="A829" s="2"/>
      <c r="B829" s="2"/>
      <c r="C829" s="2"/>
      <c r="D829" s="57"/>
      <c r="F829" s="25" t="s">
        <v>760</v>
      </c>
      <c r="G829" s="12" t="s">
        <v>332</v>
      </c>
      <c r="H829" s="290">
        <f>MIN(H825,H827)</f>
        <v>33.730371360455813</v>
      </c>
      <c r="I829" s="290"/>
      <c r="J829" s="290"/>
      <c r="K829" s="57" t="s">
        <v>335</v>
      </c>
      <c r="P829" s="57"/>
      <c r="Q829" s="57"/>
      <c r="R829" s="57"/>
      <c r="S829" s="57"/>
      <c r="T829" s="57"/>
      <c r="U829" s="57"/>
      <c r="V829" s="57"/>
      <c r="W829" s="57"/>
      <c r="X829" s="57"/>
      <c r="Y829" s="57"/>
      <c r="Z829" s="57"/>
      <c r="AA829" s="57"/>
      <c r="AB829" s="57"/>
      <c r="AC829" s="57"/>
      <c r="AD829" s="57"/>
      <c r="AE829" s="57"/>
      <c r="AF829" s="57"/>
      <c r="AG829" s="57"/>
    </row>
    <row r="830" spans="1:33" x14ac:dyDescent="0.2">
      <c r="A830" s="2"/>
      <c r="B830" s="2"/>
      <c r="C830" s="2"/>
      <c r="D830" s="57"/>
      <c r="E830" s="25"/>
      <c r="F830" s="12"/>
      <c r="G830" s="66"/>
      <c r="H830" s="66"/>
      <c r="I830" s="66"/>
      <c r="J830" s="57"/>
      <c r="K830" s="12"/>
      <c r="L830" s="47"/>
      <c r="M830" s="47"/>
      <c r="N830" s="47"/>
      <c r="O830" s="57"/>
      <c r="P830" s="57"/>
      <c r="Q830" s="57"/>
      <c r="R830" s="57"/>
      <c r="S830" s="57"/>
      <c r="T830" s="57"/>
      <c r="U830" s="57"/>
      <c r="V830" s="57"/>
      <c r="W830" s="57"/>
      <c r="X830" s="57"/>
      <c r="Y830" s="57"/>
      <c r="Z830" s="57"/>
      <c r="AA830" s="57"/>
      <c r="AB830" s="57"/>
      <c r="AC830" s="57"/>
      <c r="AD830" s="57"/>
      <c r="AE830" s="57"/>
      <c r="AF830" s="57"/>
      <c r="AG830" s="57"/>
    </row>
    <row r="831" spans="1:33" ht="15.75" x14ac:dyDescent="0.2">
      <c r="A831" s="2"/>
      <c r="B831" s="2"/>
      <c r="C831" s="2"/>
      <c r="D831" s="57"/>
      <c r="E831" s="73" t="s">
        <v>761</v>
      </c>
      <c r="F831" s="12" t="s">
        <v>332</v>
      </c>
      <c r="G831" s="298">
        <v>1</v>
      </c>
      <c r="H831" s="298"/>
      <c r="I831" s="298"/>
      <c r="J831" s="57"/>
      <c r="K831" s="57"/>
      <c r="L831" s="57"/>
      <c r="M831" s="57"/>
      <c r="N831" s="57" t="s">
        <v>788</v>
      </c>
      <c r="O831" s="57"/>
      <c r="P831" s="57"/>
      <c r="R831" s="57"/>
      <c r="S831" s="57"/>
      <c r="T831" s="57"/>
      <c r="U831" s="57"/>
      <c r="V831" s="57"/>
      <c r="W831" s="57"/>
      <c r="X831" s="57"/>
      <c r="Y831" s="57"/>
      <c r="Z831" s="57"/>
      <c r="AA831" s="57"/>
      <c r="AB831" s="57"/>
      <c r="AC831" s="57"/>
      <c r="AD831" s="57"/>
      <c r="AE831" s="57"/>
      <c r="AF831" s="57"/>
      <c r="AG831" s="57"/>
    </row>
    <row r="832" spans="1:33" ht="15.75" customHeight="1" x14ac:dyDescent="0.2">
      <c r="A832" s="2"/>
      <c r="B832" s="2"/>
      <c r="C832" s="2"/>
      <c r="D832" s="57"/>
      <c r="E832" s="25" t="s">
        <v>762</v>
      </c>
      <c r="F832" s="12" t="s">
        <v>332</v>
      </c>
      <c r="G832" s="298">
        <f>0.7+0.3*(G506/(1.5*G505))</f>
        <v>0.99541778975741235</v>
      </c>
      <c r="H832" s="298"/>
      <c r="I832" s="298"/>
      <c r="J832" s="57"/>
      <c r="K832" s="57"/>
      <c r="L832" s="57"/>
      <c r="M832" s="57"/>
      <c r="N832" s="3" t="s">
        <v>967</v>
      </c>
      <c r="O832" s="57"/>
      <c r="P832" s="57"/>
      <c r="R832" s="3"/>
      <c r="S832" s="3"/>
      <c r="T832" s="3"/>
      <c r="U832" s="3"/>
      <c r="V832" s="3"/>
      <c r="W832" s="3"/>
      <c r="X832" s="3"/>
      <c r="Y832" s="3"/>
      <c r="Z832" s="3"/>
      <c r="AA832" s="3"/>
      <c r="AB832" s="3"/>
      <c r="AC832" s="3"/>
      <c r="AD832" s="3"/>
      <c r="AE832" s="3"/>
      <c r="AF832" s="3"/>
      <c r="AG832" s="3"/>
    </row>
    <row r="833" spans="1:33" ht="15.75" x14ac:dyDescent="0.2">
      <c r="A833" s="2"/>
      <c r="B833" s="2"/>
      <c r="C833" s="2"/>
      <c r="D833" s="57"/>
      <c r="E833" s="73" t="s">
        <v>763</v>
      </c>
      <c r="F833" s="12" t="s">
        <v>332</v>
      </c>
      <c r="G833" s="298">
        <v>1</v>
      </c>
      <c r="H833" s="298"/>
      <c r="I833" s="298"/>
      <c r="J833" s="57"/>
      <c r="K833" s="57"/>
      <c r="L833" s="57"/>
      <c r="M833" s="57"/>
      <c r="N833" s="57" t="s">
        <v>789</v>
      </c>
      <c r="O833" s="57"/>
      <c r="P833" s="57"/>
      <c r="R833" s="57"/>
      <c r="S833" s="57"/>
      <c r="T833" s="57"/>
      <c r="U833" s="57"/>
      <c r="V833" s="57"/>
      <c r="W833" s="57"/>
      <c r="X833" s="57"/>
      <c r="Y833" s="57"/>
      <c r="Z833" s="57"/>
      <c r="AA833" s="57"/>
      <c r="AB833" s="57"/>
      <c r="AC833" s="57"/>
      <c r="AD833" s="57"/>
      <c r="AE833" s="57"/>
      <c r="AF833" s="57"/>
      <c r="AG833" s="57"/>
    </row>
    <row r="834" spans="1:33" ht="15.75" customHeight="1" x14ac:dyDescent="0.2">
      <c r="A834" s="2"/>
      <c r="B834" s="2"/>
      <c r="C834" s="2"/>
      <c r="D834" s="57"/>
      <c r="E834" s="73" t="s">
        <v>764</v>
      </c>
      <c r="F834" s="12" t="s">
        <v>332</v>
      </c>
      <c r="G834" s="298">
        <v>1</v>
      </c>
      <c r="H834" s="298"/>
      <c r="I834" s="298"/>
      <c r="J834" s="57"/>
      <c r="K834" s="57"/>
      <c r="L834" s="57"/>
      <c r="M834" s="57"/>
      <c r="N834" s="27" t="s">
        <v>790</v>
      </c>
      <c r="O834" s="57"/>
      <c r="P834" s="57"/>
      <c r="R834" s="27"/>
      <c r="S834" s="27"/>
      <c r="T834" s="27"/>
      <c r="U834" s="27"/>
      <c r="V834" s="27"/>
      <c r="W834" s="27"/>
      <c r="X834" s="27"/>
      <c r="Y834" s="27"/>
      <c r="Z834" s="27"/>
      <c r="AA834" s="27"/>
      <c r="AB834" s="27"/>
      <c r="AC834" s="27"/>
      <c r="AD834" s="27"/>
      <c r="AE834" s="27"/>
      <c r="AF834" s="27"/>
      <c r="AG834" s="27"/>
    </row>
    <row r="835" spans="1:33" x14ac:dyDescent="0.2">
      <c r="A835" s="2"/>
      <c r="B835" s="2"/>
      <c r="C835" s="2"/>
      <c r="D835" s="57"/>
      <c r="E835" s="73"/>
      <c r="F835" s="12"/>
      <c r="G835" s="66"/>
      <c r="H835" s="66"/>
      <c r="I835" s="66"/>
      <c r="J835" s="57"/>
      <c r="K835" s="57"/>
      <c r="L835" s="57"/>
      <c r="M835" s="57"/>
      <c r="N835" s="57"/>
      <c r="O835" s="57"/>
      <c r="P835" s="57"/>
      <c r="Q835" s="74"/>
      <c r="R835" s="74"/>
      <c r="S835" s="74"/>
      <c r="T835" s="74"/>
      <c r="U835" s="74"/>
      <c r="V835" s="74"/>
      <c r="W835" s="74"/>
      <c r="X835" s="74"/>
      <c r="Y835" s="74"/>
      <c r="Z835" s="74"/>
      <c r="AA835" s="74"/>
      <c r="AB835" s="74"/>
      <c r="AC835" s="74"/>
      <c r="AD835" s="74"/>
      <c r="AE835" s="74"/>
      <c r="AF835" s="74"/>
      <c r="AG835" s="74"/>
    </row>
    <row r="836" spans="1:33" ht="15.75" x14ac:dyDescent="0.2">
      <c r="A836" s="2"/>
      <c r="B836" s="2"/>
      <c r="C836" s="2"/>
      <c r="D836" s="75"/>
      <c r="E836" s="73" t="s">
        <v>765</v>
      </c>
      <c r="F836" s="76" t="s">
        <v>332</v>
      </c>
      <c r="G836" s="68" t="s">
        <v>773</v>
      </c>
      <c r="H836" s="68"/>
      <c r="I836" s="68"/>
      <c r="J836" s="68"/>
      <c r="K836" s="68"/>
      <c r="L836" s="75"/>
      <c r="M836" s="75"/>
      <c r="N836" s="75"/>
      <c r="O836" s="75"/>
      <c r="P836" s="75"/>
      <c r="Q836" s="75"/>
      <c r="R836" s="75"/>
      <c r="S836" s="75"/>
      <c r="T836" s="75"/>
      <c r="U836" s="75"/>
      <c r="V836" s="75"/>
      <c r="W836" s="75"/>
      <c r="X836" s="75"/>
      <c r="Y836" s="75"/>
      <c r="Z836" s="75"/>
      <c r="AA836" s="75"/>
      <c r="AB836" s="75"/>
      <c r="AC836" s="75"/>
      <c r="AD836" s="75"/>
      <c r="AE836" s="75"/>
      <c r="AF836" s="75"/>
      <c r="AG836" s="75"/>
    </row>
    <row r="837" spans="1:33" ht="15.75" x14ac:dyDescent="0.2">
      <c r="A837" s="2"/>
      <c r="B837" s="2"/>
      <c r="C837" s="2"/>
      <c r="D837" s="57"/>
      <c r="E837" s="73" t="s">
        <v>765</v>
      </c>
      <c r="F837" s="76" t="s">
        <v>332</v>
      </c>
      <c r="G837" s="290">
        <f>G817/G816*G831*G832*G833*G834*H829</f>
        <v>33.575811707321648</v>
      </c>
      <c r="H837" s="290"/>
      <c r="I837" s="290"/>
      <c r="J837" s="57" t="s">
        <v>335</v>
      </c>
      <c r="K837" s="12"/>
      <c r="P837" s="57"/>
      <c r="Q837" s="57"/>
      <c r="R837" s="57"/>
      <c r="S837" s="57"/>
      <c r="T837" s="57"/>
      <c r="U837" s="57"/>
      <c r="V837" s="57"/>
      <c r="W837" s="57"/>
      <c r="X837" s="57"/>
      <c r="Y837" s="57"/>
      <c r="Z837" s="57"/>
      <c r="AA837" s="57"/>
      <c r="AB837" s="57"/>
      <c r="AC837" s="57"/>
      <c r="AD837" s="57"/>
      <c r="AE837" s="57"/>
      <c r="AF837" s="57"/>
      <c r="AG837" s="57"/>
    </row>
    <row r="838" spans="1:33" x14ac:dyDescent="0.2">
      <c r="A838" s="2"/>
      <c r="B838" s="2"/>
      <c r="C838" s="2"/>
      <c r="D838" s="57"/>
      <c r="E838" s="57"/>
      <c r="F838" s="57"/>
      <c r="G838" s="57"/>
      <c r="H838" s="57"/>
      <c r="I838" s="57"/>
      <c r="J838" s="57"/>
      <c r="K838" s="57"/>
      <c r="L838" s="57"/>
      <c r="M838" s="57"/>
      <c r="N838" s="57"/>
      <c r="O838" s="57"/>
      <c r="P838" s="57"/>
      <c r="Q838" s="57"/>
      <c r="R838" s="57"/>
      <c r="S838" s="57"/>
      <c r="T838" s="57"/>
      <c r="U838" s="57"/>
      <c r="V838" s="57"/>
      <c r="W838" s="57"/>
      <c r="X838" s="57"/>
      <c r="Y838" s="57"/>
      <c r="Z838" s="57"/>
      <c r="AA838" s="57"/>
      <c r="AB838" s="57"/>
      <c r="AC838" s="57"/>
      <c r="AD838" s="57"/>
      <c r="AE838" s="57"/>
      <c r="AF838" s="57"/>
      <c r="AG838" s="57"/>
    </row>
    <row r="839" spans="1:33" ht="15.75" x14ac:dyDescent="0.2">
      <c r="A839" s="2"/>
      <c r="B839" s="2"/>
      <c r="C839" s="2"/>
      <c r="D839" s="57"/>
      <c r="E839" s="25" t="s">
        <v>766</v>
      </c>
      <c r="F839" s="12" t="s">
        <v>332</v>
      </c>
      <c r="G839" s="298">
        <f>F796/G837</f>
        <v>0.24188204577314248</v>
      </c>
      <c r="H839" s="298"/>
      <c r="I839" s="298"/>
      <c r="J839" s="57" t="s">
        <v>774</v>
      </c>
      <c r="K839" s="57"/>
      <c r="L839" s="57"/>
      <c r="M839" s="57"/>
      <c r="N839" s="57"/>
      <c r="O839" s="57"/>
      <c r="P839" s="57"/>
      <c r="Q839" s="57"/>
      <c r="R839" s="57"/>
      <c r="S839" s="57"/>
      <c r="T839" s="57"/>
      <c r="U839" s="57"/>
      <c r="V839" s="57"/>
      <c r="W839" s="57"/>
      <c r="X839" s="57"/>
      <c r="Y839" s="57"/>
      <c r="Z839" s="57"/>
      <c r="AA839" s="57"/>
      <c r="AB839" s="57"/>
      <c r="AC839" s="57"/>
      <c r="AD839" s="57"/>
      <c r="AE839" s="57"/>
      <c r="AF839" s="57"/>
      <c r="AG839" s="57"/>
    </row>
    <row r="840" spans="1:33" x14ac:dyDescent="0.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c r="AG840" s="2"/>
    </row>
    <row r="841" spans="1:33" x14ac:dyDescent="0.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c r="AG841" s="2"/>
    </row>
    <row r="842" spans="1:33" x14ac:dyDescent="0.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c r="AG842" s="2"/>
    </row>
    <row r="843" spans="1:33" x14ac:dyDescent="0.2">
      <c r="A843" s="2"/>
      <c r="B843" s="2"/>
      <c r="C843" s="2"/>
      <c r="D843" s="20" t="s">
        <v>1375</v>
      </c>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c r="AG843" s="2"/>
    </row>
    <row r="844" spans="1:33" x14ac:dyDescent="0.2">
      <c r="A844" s="2"/>
      <c r="B844" s="2"/>
      <c r="C844" s="2"/>
      <c r="D844" s="57"/>
      <c r="E844" s="57"/>
      <c r="F844" s="57"/>
      <c r="G844" s="57"/>
      <c r="H844" s="57"/>
      <c r="I844" s="57"/>
      <c r="J844" s="57"/>
      <c r="K844" s="57"/>
      <c r="L844" s="57"/>
      <c r="M844" s="57"/>
      <c r="N844" s="57"/>
      <c r="O844" s="57"/>
      <c r="P844" s="57"/>
      <c r="Q844" s="57"/>
      <c r="R844" s="57"/>
      <c r="S844" s="57"/>
      <c r="T844" s="57"/>
      <c r="U844" s="57"/>
      <c r="V844" s="2"/>
      <c r="W844" s="2"/>
      <c r="X844" s="2"/>
      <c r="Y844" s="2"/>
      <c r="Z844" s="2"/>
      <c r="AA844" s="2"/>
      <c r="AB844" s="2"/>
      <c r="AC844" s="2"/>
      <c r="AD844" s="2"/>
      <c r="AE844" s="2"/>
      <c r="AF844" s="2"/>
      <c r="AG844" s="2"/>
    </row>
    <row r="845" spans="1:33" ht="15.75" x14ac:dyDescent="0.2">
      <c r="A845" s="2"/>
      <c r="B845" s="2"/>
      <c r="C845" s="2"/>
      <c r="D845" s="57"/>
      <c r="E845" s="58" t="s">
        <v>775</v>
      </c>
      <c r="F845" s="12" t="s">
        <v>332</v>
      </c>
      <c r="G845" s="363">
        <v>2</v>
      </c>
      <c r="H845" s="363"/>
      <c r="I845" s="363"/>
      <c r="J845" s="57"/>
      <c r="K845" s="57"/>
      <c r="L845" s="57"/>
      <c r="M845" s="57"/>
      <c r="N845" s="57"/>
      <c r="O845" s="57"/>
      <c r="P845" s="57"/>
      <c r="Q845" s="3" t="s">
        <v>776</v>
      </c>
      <c r="R845" s="57"/>
      <c r="S845" s="57"/>
      <c r="T845" s="57"/>
      <c r="U845" s="57"/>
      <c r="V845" s="2"/>
      <c r="W845" s="2"/>
      <c r="X845" s="2"/>
      <c r="Y845" s="2"/>
      <c r="Z845" s="2"/>
      <c r="AA845" s="2"/>
      <c r="AB845" s="2"/>
      <c r="AC845" s="2"/>
      <c r="AD845" s="2"/>
      <c r="AE845" s="2"/>
      <c r="AF845" s="2"/>
      <c r="AG845" s="2"/>
    </row>
    <row r="846" spans="1:33" ht="15.75" x14ac:dyDescent="0.2">
      <c r="A846" s="2"/>
      <c r="B846" s="2"/>
      <c r="C846" s="2"/>
      <c r="D846" s="57"/>
      <c r="E846" s="73" t="s">
        <v>777</v>
      </c>
      <c r="F846" s="76" t="s">
        <v>332</v>
      </c>
      <c r="G846" s="68" t="s">
        <v>778</v>
      </c>
      <c r="H846" s="12"/>
      <c r="I846" s="12"/>
      <c r="J846" s="57"/>
      <c r="K846" s="57"/>
      <c r="L846" s="57"/>
      <c r="M846" s="57"/>
      <c r="N846" s="57"/>
      <c r="O846" s="57"/>
      <c r="P846" s="57"/>
      <c r="Q846" s="77"/>
      <c r="R846" s="57"/>
      <c r="S846" s="57"/>
      <c r="T846" s="57"/>
      <c r="U846" s="57"/>
      <c r="V846" s="2"/>
      <c r="W846" s="2"/>
      <c r="X846" s="2"/>
      <c r="Y846" s="2"/>
      <c r="Z846" s="2"/>
      <c r="AA846" s="2"/>
      <c r="AB846" s="2"/>
      <c r="AC846" s="2"/>
      <c r="AD846" s="2"/>
      <c r="AE846" s="2"/>
      <c r="AF846" s="2"/>
      <c r="AG846" s="2"/>
    </row>
    <row r="847" spans="1:33" ht="15" x14ac:dyDescent="0.25">
      <c r="A847" s="2"/>
      <c r="B847" s="2"/>
      <c r="E847" s="73"/>
      <c r="F847" s="76" t="s">
        <v>332</v>
      </c>
      <c r="G847" s="362">
        <f>G845*H677</f>
        <v>133.06458064820032</v>
      </c>
      <c r="H847" s="362"/>
      <c r="I847" s="362"/>
      <c r="J847" s="75" t="s">
        <v>335</v>
      </c>
      <c r="K847"/>
      <c r="AG847" s="2"/>
    </row>
    <row r="848" spans="1:33" ht="15" x14ac:dyDescent="0.25">
      <c r="A848" s="2"/>
      <c r="B848" s="2"/>
      <c r="E848" s="73"/>
      <c r="F848" s="76"/>
      <c r="G848" s="84"/>
      <c r="H848" s="84"/>
      <c r="I848" s="84"/>
      <c r="J848" s="75"/>
      <c r="K848"/>
      <c r="AG848" s="2"/>
    </row>
    <row r="849" spans="1:33" ht="15.75" x14ac:dyDescent="0.2">
      <c r="A849" s="2"/>
      <c r="B849" s="2"/>
      <c r="E849" s="25" t="s">
        <v>779</v>
      </c>
      <c r="F849" s="12" t="s">
        <v>332</v>
      </c>
      <c r="G849" s="298">
        <f>F796/G847</f>
        <v>6.1033416892000168E-2</v>
      </c>
      <c r="H849" s="298"/>
      <c r="I849" s="298"/>
      <c r="J849" s="57" t="s">
        <v>793</v>
      </c>
      <c r="K849" s="57"/>
      <c r="AG849" s="2"/>
    </row>
    <row r="850" spans="1:33" x14ac:dyDescent="0.2">
      <c r="A850" s="2"/>
      <c r="B850" s="2"/>
      <c r="AG850" s="2"/>
    </row>
    <row r="851" spans="1:33" ht="15.75" customHeight="1" x14ac:dyDescent="0.2">
      <c r="A851" s="2"/>
      <c r="B851" s="2"/>
      <c r="C851" s="2" t="s">
        <v>1031</v>
      </c>
      <c r="AG851" s="2"/>
    </row>
    <row r="852" spans="1:33" ht="15.75" customHeight="1" x14ac:dyDescent="0.2">
      <c r="A852" s="2"/>
      <c r="B852" s="2"/>
    </row>
    <row r="853" spans="1:33" ht="15.75" customHeight="1" x14ac:dyDescent="0.2">
      <c r="A853" s="2"/>
      <c r="B853" s="2"/>
    </row>
    <row r="854" spans="1:33" ht="15.75" customHeight="1" x14ac:dyDescent="0.2">
      <c r="A854" s="2"/>
      <c r="B854" s="2"/>
    </row>
    <row r="855" spans="1:33" ht="15.75" customHeight="1" x14ac:dyDescent="0.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c r="AG855" s="2"/>
    </row>
    <row r="856" spans="1:33" x14ac:dyDescent="0.2">
      <c r="A856" s="2"/>
      <c r="B856" s="2"/>
      <c r="C856" s="48" t="s">
        <v>1327</v>
      </c>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c r="AG856" s="2"/>
    </row>
    <row r="857" spans="1:33" x14ac:dyDescent="0.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c r="AG857" s="2"/>
    </row>
    <row r="858" spans="1:33" ht="15.75" x14ac:dyDescent="0.3">
      <c r="A858" s="2"/>
      <c r="B858" s="2"/>
      <c r="C858" s="2"/>
      <c r="D858" s="2"/>
      <c r="H858" s="2"/>
      <c r="I858" s="21" t="s">
        <v>1376</v>
      </c>
      <c r="J858" s="13" t="s">
        <v>332</v>
      </c>
      <c r="K858" s="285">
        <f>MAX(H587,H679,H711,H748)</f>
        <v>0.68521128001560638</v>
      </c>
      <c r="L858" s="285"/>
      <c r="M858" s="285"/>
      <c r="N858" s="2"/>
      <c r="O858" s="2"/>
      <c r="P858" s="2"/>
      <c r="Q858" s="2"/>
      <c r="R858" s="2"/>
      <c r="S858" s="2"/>
      <c r="T858" s="2"/>
      <c r="U858" s="2"/>
      <c r="V858" s="2"/>
      <c r="W858" s="2"/>
      <c r="X858" s="2"/>
      <c r="Y858" s="2"/>
      <c r="Z858" s="2"/>
      <c r="AA858" s="2"/>
      <c r="AB858" s="2"/>
      <c r="AC858" s="2"/>
      <c r="AD858" s="2"/>
      <c r="AE858" s="2"/>
      <c r="AF858" s="2"/>
      <c r="AG858" s="2"/>
    </row>
    <row r="859" spans="1:33" ht="15.75" x14ac:dyDescent="0.3">
      <c r="A859" s="2"/>
      <c r="B859" s="2"/>
      <c r="C859" s="2"/>
      <c r="D859" s="2"/>
      <c r="E859" s="2"/>
      <c r="F859" s="2"/>
      <c r="G859" s="2"/>
      <c r="H859" s="2"/>
      <c r="I859" s="21" t="s">
        <v>1377</v>
      </c>
      <c r="J859" s="13" t="s">
        <v>332</v>
      </c>
      <c r="K859" s="285">
        <f>MAX(G808,G839,G849)</f>
        <v>0.3074944010303679</v>
      </c>
      <c r="L859" s="285"/>
      <c r="M859" s="285"/>
      <c r="N859" s="2"/>
      <c r="O859" s="2"/>
      <c r="P859" s="2"/>
      <c r="Q859" s="2"/>
      <c r="R859" s="2"/>
      <c r="S859" s="2"/>
      <c r="T859" s="2"/>
      <c r="U859" s="2"/>
      <c r="V859" s="2"/>
      <c r="W859" s="2"/>
      <c r="X859" s="2"/>
      <c r="Y859" s="2"/>
      <c r="Z859" s="2"/>
      <c r="AA859" s="2"/>
      <c r="AB859" s="2"/>
      <c r="AC859" s="2"/>
      <c r="AD859" s="2"/>
      <c r="AE859" s="2"/>
      <c r="AF859" s="2"/>
      <c r="AG859" s="2"/>
    </row>
    <row r="860" spans="1:33" ht="15.75" x14ac:dyDescent="0.3">
      <c r="A860" s="2"/>
      <c r="B860" s="2"/>
      <c r="C860" s="2"/>
      <c r="D860" s="2"/>
      <c r="H860" s="2"/>
      <c r="I860" s="21" t="s">
        <v>1378</v>
      </c>
      <c r="J860" s="13" t="s">
        <v>332</v>
      </c>
      <c r="K860" s="285">
        <f>K858+K859</f>
        <v>0.99270568104597423</v>
      </c>
      <c r="L860" s="285"/>
      <c r="M860" s="285"/>
      <c r="N860" s="2" t="s">
        <v>1379</v>
      </c>
      <c r="O860" s="2"/>
      <c r="P860" s="2"/>
      <c r="Q860" s="2"/>
      <c r="R860" s="2"/>
      <c r="S860" s="2"/>
      <c r="T860" s="2"/>
      <c r="U860" s="2"/>
      <c r="V860" s="2"/>
      <c r="W860" s="2"/>
      <c r="X860" s="2"/>
      <c r="Y860" s="2"/>
      <c r="Z860" s="2"/>
      <c r="AA860" s="2"/>
      <c r="AB860" s="2"/>
      <c r="AC860" s="2"/>
      <c r="AD860" s="2"/>
      <c r="AE860" s="2"/>
      <c r="AF860" s="2"/>
      <c r="AG860" s="2"/>
    </row>
    <row r="861" spans="1:33" x14ac:dyDescent="0.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c r="AG861" s="2"/>
    </row>
    <row r="862" spans="1:33" x14ac:dyDescent="0.2">
      <c r="A862" s="2"/>
      <c r="B862" s="2"/>
      <c r="C862" s="2" t="s">
        <v>1380</v>
      </c>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c r="AG862" s="2"/>
    </row>
    <row r="863" spans="1:33" x14ac:dyDescent="0.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c r="AG863" s="2"/>
    </row>
    <row r="864" spans="1:33" x14ac:dyDescent="0.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c r="AG864" s="2"/>
    </row>
    <row r="865" spans="1:33" x14ac:dyDescent="0.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c r="AG865" s="2"/>
    </row>
    <row r="866" spans="1:33" x14ac:dyDescent="0.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c r="AG866" s="2"/>
    </row>
    <row r="867" spans="1:33" x14ac:dyDescent="0.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c r="AG867" s="2"/>
    </row>
    <row r="868" spans="1:33" x14ac:dyDescent="0.2">
      <c r="A868" s="2"/>
      <c r="B868" s="2"/>
      <c r="C868" s="48" t="s">
        <v>1326</v>
      </c>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c r="AG868" s="2"/>
    </row>
    <row r="869" spans="1:33" x14ac:dyDescent="0.2">
      <c r="A869" s="2"/>
      <c r="B869" s="2"/>
      <c r="C869" s="232" t="s">
        <v>1325</v>
      </c>
      <c r="D869" s="232"/>
      <c r="E869" s="232"/>
      <c r="F869" s="232"/>
      <c r="G869" s="232"/>
      <c r="H869" s="232"/>
      <c r="I869" s="232"/>
      <c r="J869" s="232"/>
      <c r="K869" s="232"/>
      <c r="L869" s="232"/>
      <c r="M869" s="232"/>
      <c r="N869" s="232"/>
      <c r="O869" s="232"/>
      <c r="P869" s="232"/>
      <c r="Q869" s="232"/>
      <c r="R869" s="232"/>
      <c r="S869" s="232"/>
      <c r="T869" s="232"/>
      <c r="U869" s="232"/>
      <c r="V869" s="232"/>
      <c r="W869" s="232"/>
      <c r="X869" s="232"/>
      <c r="Y869" s="232"/>
      <c r="Z869" s="232"/>
      <c r="AA869" s="232"/>
      <c r="AB869" s="232"/>
      <c r="AC869" s="232"/>
      <c r="AD869" s="232"/>
      <c r="AE869" s="232"/>
      <c r="AF869" s="232"/>
      <c r="AG869" s="232"/>
    </row>
    <row r="870" spans="1:33" x14ac:dyDescent="0.2">
      <c r="A870" s="2"/>
      <c r="B870" s="2"/>
      <c r="C870" s="232"/>
      <c r="D870" s="232"/>
      <c r="E870" s="232"/>
      <c r="F870" s="232"/>
      <c r="G870" s="232"/>
      <c r="H870" s="232"/>
      <c r="I870" s="232"/>
      <c r="J870" s="232"/>
      <c r="K870" s="232"/>
      <c r="L870" s="232"/>
      <c r="M870" s="232"/>
      <c r="N870" s="232"/>
      <c r="O870" s="232"/>
      <c r="P870" s="232"/>
      <c r="Q870" s="232"/>
      <c r="R870" s="232"/>
      <c r="S870" s="232"/>
      <c r="T870" s="232"/>
      <c r="U870" s="232"/>
      <c r="V870" s="232"/>
      <c r="W870" s="232"/>
      <c r="X870" s="232"/>
      <c r="Y870" s="232"/>
      <c r="Z870" s="232"/>
      <c r="AA870" s="232"/>
      <c r="AB870" s="232"/>
      <c r="AC870" s="232"/>
      <c r="AD870" s="232"/>
      <c r="AE870" s="232"/>
      <c r="AF870" s="232"/>
      <c r="AG870" s="232"/>
    </row>
    <row r="871" spans="1:33" x14ac:dyDescent="0.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c r="AG871" s="2"/>
    </row>
    <row r="872" spans="1:33" x14ac:dyDescent="0.2">
      <c r="A872" s="2"/>
      <c r="B872" s="2"/>
      <c r="C872" s="2"/>
      <c r="D872" s="16" t="s">
        <v>799</v>
      </c>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c r="AG872" s="2"/>
    </row>
    <row r="873" spans="1:33" ht="15.75" x14ac:dyDescent="0.3">
      <c r="A873" s="2"/>
      <c r="B873" s="2"/>
      <c r="C873" s="2"/>
      <c r="D873" s="2" t="s">
        <v>800</v>
      </c>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c r="AG873" s="2"/>
    </row>
    <row r="874" spans="1:33" x14ac:dyDescent="0.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c r="AG874" s="2"/>
    </row>
    <row r="875" spans="1:33" ht="15.75" x14ac:dyDescent="0.3">
      <c r="A875" s="2"/>
      <c r="B875" s="2"/>
      <c r="C875" s="2"/>
      <c r="D875" s="2"/>
      <c r="E875" s="2"/>
      <c r="F875" s="21" t="s">
        <v>801</v>
      </c>
      <c r="G875" s="13" t="s">
        <v>332</v>
      </c>
      <c r="H875" s="284">
        <f>6*G482</f>
        <v>114.29999999999998</v>
      </c>
      <c r="I875" s="284"/>
      <c r="J875" s="284"/>
      <c r="K875" s="2" t="s">
        <v>337</v>
      </c>
      <c r="L875" s="2"/>
      <c r="M875" s="2"/>
      <c r="N875" s="2" t="s">
        <v>804</v>
      </c>
      <c r="O875" s="2"/>
      <c r="P875" s="2"/>
      <c r="Q875" s="2"/>
      <c r="R875" s="2"/>
      <c r="S875" s="2"/>
      <c r="T875" s="2"/>
      <c r="U875" s="2"/>
      <c r="V875" s="2"/>
      <c r="W875" s="2"/>
      <c r="X875" s="2"/>
      <c r="Y875" s="2"/>
      <c r="Z875" s="2"/>
      <c r="AA875" s="2"/>
      <c r="AB875" s="2"/>
      <c r="AC875" s="2"/>
      <c r="AD875" s="2"/>
      <c r="AE875" s="2"/>
      <c r="AF875" s="2"/>
      <c r="AG875" s="2"/>
    </row>
    <row r="876" spans="1:33" ht="15.75" x14ac:dyDescent="0.3">
      <c r="A876" s="2"/>
      <c r="B876" s="2"/>
      <c r="C876" s="2"/>
      <c r="D876" s="2"/>
      <c r="E876" s="2"/>
      <c r="F876" s="21" t="s">
        <v>802</v>
      </c>
      <c r="G876" s="13" t="s">
        <v>332</v>
      </c>
      <c r="H876" s="231">
        <v>613</v>
      </c>
      <c r="I876" s="231"/>
      <c r="J876" s="231"/>
      <c r="K876" s="2" t="s">
        <v>337</v>
      </c>
      <c r="L876" s="2"/>
      <c r="M876" s="2"/>
      <c r="N876" s="2" t="s">
        <v>1328</v>
      </c>
      <c r="O876" s="2"/>
      <c r="P876" s="2"/>
      <c r="Q876" s="2"/>
      <c r="R876" s="2"/>
      <c r="S876" s="2"/>
      <c r="T876" s="2"/>
      <c r="U876" s="2"/>
      <c r="V876" s="2"/>
      <c r="W876" s="2"/>
      <c r="X876" s="2"/>
      <c r="Y876" s="2"/>
      <c r="Z876" s="2"/>
      <c r="AA876" s="2"/>
      <c r="AB876" s="2"/>
      <c r="AC876" s="2"/>
      <c r="AD876" s="2"/>
      <c r="AE876" s="2"/>
      <c r="AF876" s="2"/>
      <c r="AG876" s="2"/>
    </row>
    <row r="877" spans="1:33" x14ac:dyDescent="0.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c r="AG877" s="2"/>
    </row>
    <row r="878" spans="1:33" ht="15.75" x14ac:dyDescent="0.3">
      <c r="A878" s="2"/>
      <c r="B878" s="2"/>
      <c r="C878" s="2"/>
      <c r="D878" s="2" t="s">
        <v>803</v>
      </c>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c r="AG878" s="2"/>
    </row>
    <row r="879" spans="1:33" x14ac:dyDescent="0.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c r="AG879" s="2"/>
    </row>
    <row r="880" spans="1:33" x14ac:dyDescent="0.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c r="AG880" s="2"/>
    </row>
  </sheetData>
  <mergeCells count="248">
    <mergeCell ref="H585:J585"/>
    <mergeCell ref="H587:J587"/>
    <mergeCell ref="H583:J583"/>
    <mergeCell ref="H679:J679"/>
    <mergeCell ref="F588:H588"/>
    <mergeCell ref="I564:K564"/>
    <mergeCell ref="I565:K565"/>
    <mergeCell ref="I566:K566"/>
    <mergeCell ref="G218:I218"/>
    <mergeCell ref="D454:F454"/>
    <mergeCell ref="G454:I454"/>
    <mergeCell ref="J454:L454"/>
    <mergeCell ref="G278:I278"/>
    <mergeCell ref="G279:I279"/>
    <mergeCell ref="G280:I280"/>
    <mergeCell ref="G282:I282"/>
    <mergeCell ref="G284:I284"/>
    <mergeCell ref="C235:AG236"/>
    <mergeCell ref="G520:I520"/>
    <mergeCell ref="G392:I392"/>
    <mergeCell ref="G393:I393"/>
    <mergeCell ref="G394:I394"/>
    <mergeCell ref="G395:I395"/>
    <mergeCell ref="N395:AC395"/>
    <mergeCell ref="H71:J71"/>
    <mergeCell ref="H72:J72"/>
    <mergeCell ref="H75:J75"/>
    <mergeCell ref="H141:J141"/>
    <mergeCell ref="H142:J142"/>
    <mergeCell ref="H143:J143"/>
    <mergeCell ref="H145:J145"/>
    <mergeCell ref="H87:J87"/>
    <mergeCell ref="C91:AG92"/>
    <mergeCell ref="F110:H110"/>
    <mergeCell ref="G115:I115"/>
    <mergeCell ref="H76:J76"/>
    <mergeCell ref="H83:J83"/>
    <mergeCell ref="H84:J84"/>
    <mergeCell ref="H85:J85"/>
    <mergeCell ref="G213:I213"/>
    <mergeCell ref="G214:I214"/>
    <mergeCell ref="G215:I215"/>
    <mergeCell ref="H182:J182"/>
    <mergeCell ref="D119:AG120"/>
    <mergeCell ref="G129:I129"/>
    <mergeCell ref="G167:I167"/>
    <mergeCell ref="H175:J175"/>
    <mergeCell ref="H176:J176"/>
    <mergeCell ref="H177:J177"/>
    <mergeCell ref="H146:J146"/>
    <mergeCell ref="H154:J154"/>
    <mergeCell ref="G346:I346"/>
    <mergeCell ref="G353:I353"/>
    <mergeCell ref="G354:I354"/>
    <mergeCell ref="Q453:S453"/>
    <mergeCell ref="T453:V453"/>
    <mergeCell ref="J453:L453"/>
    <mergeCell ref="G448:O448"/>
    <mergeCell ref="Q448:V448"/>
    <mergeCell ref="G449:I450"/>
    <mergeCell ref="G365:I365"/>
    <mergeCell ref="G366:I366"/>
    <mergeCell ref="G367:I367"/>
    <mergeCell ref="G369:I369"/>
    <mergeCell ref="D372:AG373"/>
    <mergeCell ref="G376:I376"/>
    <mergeCell ref="G378:I378"/>
    <mergeCell ref="G379:I379"/>
    <mergeCell ref="C381:AG381"/>
    <mergeCell ref="J449:L450"/>
    <mergeCell ref="M449:O450"/>
    <mergeCell ref="Q449:S450"/>
    <mergeCell ref="T449:V450"/>
    <mergeCell ref="D451:F451"/>
    <mergeCell ref="G451:I451"/>
    <mergeCell ref="G220:I220"/>
    <mergeCell ref="G222:I222"/>
    <mergeCell ref="C226:AG227"/>
    <mergeCell ref="C230:AG231"/>
    <mergeCell ref="G323:I323"/>
    <mergeCell ref="C326:AG326"/>
    <mergeCell ref="D341:AG342"/>
    <mergeCell ref="G344:I344"/>
    <mergeCell ref="G345:I345"/>
    <mergeCell ref="C268:AG269"/>
    <mergeCell ref="F271:H271"/>
    <mergeCell ref="Q455:S455"/>
    <mergeCell ref="T455:V455"/>
    <mergeCell ref="D452:F452"/>
    <mergeCell ref="G452:I452"/>
    <mergeCell ref="J452:L452"/>
    <mergeCell ref="M452:O452"/>
    <mergeCell ref="Q452:S452"/>
    <mergeCell ref="T452:V452"/>
    <mergeCell ref="D453:F453"/>
    <mergeCell ref="M454:O454"/>
    <mergeCell ref="Q454:S454"/>
    <mergeCell ref="T454:V454"/>
    <mergeCell ref="D455:F455"/>
    <mergeCell ref="G453:I453"/>
    <mergeCell ref="G44:I44"/>
    <mergeCell ref="I48:K48"/>
    <mergeCell ref="I49:K49"/>
    <mergeCell ref="G58:I58"/>
    <mergeCell ref="G60:I60"/>
    <mergeCell ref="G61:I61"/>
    <mergeCell ref="H68:J68"/>
    <mergeCell ref="H69:J69"/>
    <mergeCell ref="H70:J70"/>
    <mergeCell ref="G59:I59"/>
    <mergeCell ref="G57:I57"/>
    <mergeCell ref="B14:AG15"/>
    <mergeCell ref="B17:AG18"/>
    <mergeCell ref="G36:I36"/>
    <mergeCell ref="G37:I37"/>
    <mergeCell ref="G39:I39"/>
    <mergeCell ref="G40:I40"/>
    <mergeCell ref="G41:I41"/>
    <mergeCell ref="G42:I42"/>
    <mergeCell ref="G43:I43"/>
    <mergeCell ref="D464:F464"/>
    <mergeCell ref="G464:I464"/>
    <mergeCell ref="J464:L464"/>
    <mergeCell ref="D465:F465"/>
    <mergeCell ref="G465:I465"/>
    <mergeCell ref="J465:L465"/>
    <mergeCell ref="C386:AG387"/>
    <mergeCell ref="G389:I389"/>
    <mergeCell ref="G391:I391"/>
    <mergeCell ref="G396:I396"/>
    <mergeCell ref="G397:I397"/>
    <mergeCell ref="C430:AG431"/>
    <mergeCell ref="G440:I440"/>
    <mergeCell ref="G441:I441"/>
    <mergeCell ref="G442:I442"/>
    <mergeCell ref="G461:L461"/>
    <mergeCell ref="G462:I463"/>
    <mergeCell ref="J462:L463"/>
    <mergeCell ref="M453:O453"/>
    <mergeCell ref="G399:I399"/>
    <mergeCell ref="G400:I400"/>
    <mergeCell ref="G455:I455"/>
    <mergeCell ref="J455:L455"/>
    <mergeCell ref="M455:O455"/>
    <mergeCell ref="H471:J471"/>
    <mergeCell ref="G482:I482"/>
    <mergeCell ref="G466:I466"/>
    <mergeCell ref="J466:L466"/>
    <mergeCell ref="D467:F467"/>
    <mergeCell ref="G467:I467"/>
    <mergeCell ref="J467:L467"/>
    <mergeCell ref="D466:F466"/>
    <mergeCell ref="G483:I483"/>
    <mergeCell ref="D468:F468"/>
    <mergeCell ref="G468:I468"/>
    <mergeCell ref="J468:L468"/>
    <mergeCell ref="H470:J470"/>
    <mergeCell ref="K575:M575"/>
    <mergeCell ref="D592:AG594"/>
    <mergeCell ref="H663:J663"/>
    <mergeCell ref="G507:I507"/>
    <mergeCell ref="G484:I484"/>
    <mergeCell ref="G485:I485"/>
    <mergeCell ref="G486:I486"/>
    <mergeCell ref="G487:I487"/>
    <mergeCell ref="G488:I488"/>
    <mergeCell ref="G489:I489"/>
    <mergeCell ref="G490:I490"/>
    <mergeCell ref="G491:I491"/>
    <mergeCell ref="G495:I495"/>
    <mergeCell ref="G523:I523"/>
    <mergeCell ref="G524:I524"/>
    <mergeCell ref="G512:I512"/>
    <mergeCell ref="G513:I513"/>
    <mergeCell ref="G514:I514"/>
    <mergeCell ref="G518:I518"/>
    <mergeCell ref="G519:I519"/>
    <mergeCell ref="F531:H531"/>
    <mergeCell ref="D536:AG537"/>
    <mergeCell ref="H550:J550"/>
    <mergeCell ref="C571:AG572"/>
    <mergeCell ref="G496:I496"/>
    <mergeCell ref="G497:I497"/>
    <mergeCell ref="G498:I498"/>
    <mergeCell ref="G499:I499"/>
    <mergeCell ref="G500:I500"/>
    <mergeCell ref="G501:I501"/>
    <mergeCell ref="G505:I505"/>
    <mergeCell ref="G506:I506"/>
    <mergeCell ref="G847:I847"/>
    <mergeCell ref="H665:J665"/>
    <mergeCell ref="H666:J666"/>
    <mergeCell ref="H667:J667"/>
    <mergeCell ref="H668:J668"/>
    <mergeCell ref="H670:J670"/>
    <mergeCell ref="H672:J672"/>
    <mergeCell ref="H673:J673"/>
    <mergeCell ref="G819:I819"/>
    <mergeCell ref="H758:J758"/>
    <mergeCell ref="H760:J760"/>
    <mergeCell ref="H764:J764"/>
    <mergeCell ref="H708:J708"/>
    <mergeCell ref="H709:J709"/>
    <mergeCell ref="H711:J711"/>
    <mergeCell ref="H706:J706"/>
    <mergeCell ref="H744:J744"/>
    <mergeCell ref="G849:I849"/>
    <mergeCell ref="H875:J875"/>
    <mergeCell ref="H876:J876"/>
    <mergeCell ref="G845:I845"/>
    <mergeCell ref="E821:X822"/>
    <mergeCell ref="H825:J825"/>
    <mergeCell ref="H827:J827"/>
    <mergeCell ref="H829:J829"/>
    <mergeCell ref="C869:AG870"/>
    <mergeCell ref="G831:I831"/>
    <mergeCell ref="G837:I837"/>
    <mergeCell ref="G839:I839"/>
    <mergeCell ref="G832:I832"/>
    <mergeCell ref="G833:I833"/>
    <mergeCell ref="G834:I834"/>
    <mergeCell ref="K858:M858"/>
    <mergeCell ref="K859:M859"/>
    <mergeCell ref="K860:M860"/>
    <mergeCell ref="J451:L451"/>
    <mergeCell ref="M451:O451"/>
    <mergeCell ref="Q451:S451"/>
    <mergeCell ref="T451:V451"/>
    <mergeCell ref="N819:AG819"/>
    <mergeCell ref="H674:J674"/>
    <mergeCell ref="H675:J675"/>
    <mergeCell ref="H677:J677"/>
    <mergeCell ref="H746:J746"/>
    <mergeCell ref="H748:J748"/>
    <mergeCell ref="F796:H796"/>
    <mergeCell ref="G803:I803"/>
    <mergeCell ref="G804:I804"/>
    <mergeCell ref="G806:I806"/>
    <mergeCell ref="G808:I808"/>
    <mergeCell ref="G814:I814"/>
    <mergeCell ref="G815:I815"/>
    <mergeCell ref="G816:I816"/>
    <mergeCell ref="G817:I817"/>
    <mergeCell ref="H705:J705"/>
    <mergeCell ref="C792:AG793"/>
    <mergeCell ref="H741:J741"/>
    <mergeCell ref="H742:J742"/>
    <mergeCell ref="H743:J743"/>
  </mergeCells>
  <pageMargins left="0.7" right="0.7" top="1.25" bottom="0.75" header="0.3" footer="0.3"/>
  <pageSetup scale="87" fitToHeight="0" orientation="portrait" horizontalDpi="1200" verticalDpi="1200" r:id="rId1"/>
  <headerFooter>
    <oddHeader>&amp;L&amp;G
Client: Keyera
Project No: F3KY&amp;C&amp;G&amp;RDesigned By: CW
Checked By: JS
Date: 13-MAY-2026
Revision: 0</oddHeader>
    <oddFooter>&amp;LContractor Document No:  F3KY-215-CAL-047</oddFooter>
  </headerFooter>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F6BEE-1951-4119-B038-CB93D06ABDEE}">
  <sheetPr>
    <pageSetUpPr fitToPage="1"/>
  </sheetPr>
  <dimension ref="A1:AS329"/>
  <sheetViews>
    <sheetView view="pageBreakPreview" topLeftCell="A143" zoomScale="115" zoomScaleNormal="100" zoomScaleSheetLayoutView="115" zoomScalePageLayoutView="85" workbookViewId="0">
      <selection activeCell="F165" sqref="F165:K165"/>
    </sheetView>
  </sheetViews>
  <sheetFormatPr defaultRowHeight="14.25" x14ac:dyDescent="0.2"/>
  <cols>
    <col min="1" max="33" width="3.140625" style="1" customWidth="1"/>
    <col min="34" max="16384" width="9.140625" style="1"/>
  </cols>
  <sheetData>
    <row r="1" spans="1:45" x14ac:dyDescent="0.2">
      <c r="AI1" s="1" t="s">
        <v>0</v>
      </c>
      <c r="AS1" s="1" t="s">
        <v>146</v>
      </c>
    </row>
    <row r="2" spans="1:45" ht="15" x14ac:dyDescent="0.25">
      <c r="B2" s="4" t="s">
        <v>1536</v>
      </c>
      <c r="AI2" s="1" t="s">
        <v>77</v>
      </c>
      <c r="AS2" s="1" t="s">
        <v>147</v>
      </c>
    </row>
    <row r="3" spans="1:45" x14ac:dyDescent="0.2">
      <c r="A3" s="2"/>
      <c r="B3" s="232" t="s">
        <v>1537</v>
      </c>
      <c r="C3" s="232"/>
      <c r="D3" s="232"/>
      <c r="E3" s="232"/>
      <c r="F3" s="232"/>
      <c r="G3" s="232"/>
      <c r="H3" s="232"/>
      <c r="I3" s="232"/>
      <c r="J3" s="232"/>
      <c r="K3" s="232"/>
      <c r="L3" s="232"/>
      <c r="M3" s="232"/>
      <c r="N3" s="232"/>
      <c r="O3" s="232"/>
      <c r="P3" s="232"/>
      <c r="Q3" s="232"/>
      <c r="R3" s="232"/>
      <c r="S3" s="232"/>
      <c r="T3" s="232"/>
      <c r="U3" s="232"/>
      <c r="V3" s="232"/>
      <c r="W3" s="232"/>
      <c r="X3" s="232"/>
      <c r="Y3" s="232"/>
      <c r="Z3" s="232"/>
      <c r="AA3" s="232"/>
      <c r="AB3" s="232"/>
      <c r="AC3" s="232"/>
      <c r="AD3" s="232"/>
      <c r="AE3" s="232"/>
      <c r="AF3" s="232"/>
      <c r="AG3" s="232"/>
      <c r="AI3" s="1" t="s">
        <v>150</v>
      </c>
      <c r="AS3" s="1" t="s">
        <v>148</v>
      </c>
    </row>
    <row r="4" spans="1:45" x14ac:dyDescent="0.2">
      <c r="A4" s="2"/>
      <c r="B4" s="232"/>
      <c r="C4" s="232"/>
      <c r="D4" s="232"/>
      <c r="E4" s="232"/>
      <c r="F4" s="232"/>
      <c r="G4" s="232"/>
      <c r="H4" s="232"/>
      <c r="I4" s="232"/>
      <c r="J4" s="232"/>
      <c r="K4" s="232"/>
      <c r="L4" s="232"/>
      <c r="M4" s="232"/>
      <c r="N4" s="232"/>
      <c r="O4" s="232"/>
      <c r="P4" s="232"/>
      <c r="Q4" s="232"/>
      <c r="R4" s="232"/>
      <c r="S4" s="232"/>
      <c r="T4" s="232"/>
      <c r="U4" s="232"/>
      <c r="V4" s="232"/>
      <c r="W4" s="232"/>
      <c r="X4" s="232"/>
      <c r="Y4" s="232"/>
      <c r="Z4" s="232"/>
      <c r="AA4" s="232"/>
      <c r="AB4" s="232"/>
      <c r="AC4" s="232"/>
      <c r="AD4" s="232"/>
      <c r="AE4" s="232"/>
      <c r="AF4" s="232"/>
      <c r="AG4" s="232"/>
    </row>
    <row r="5" spans="1:45" x14ac:dyDescent="0.2">
      <c r="A5" s="2"/>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row>
    <row r="6" spans="1:45" x14ac:dyDescent="0.2">
      <c r="A6" s="2"/>
      <c r="B6" s="29" t="s">
        <v>1538</v>
      </c>
      <c r="C6" s="14"/>
      <c r="D6" s="14"/>
      <c r="E6" s="14"/>
      <c r="F6" s="14"/>
      <c r="G6" s="14"/>
      <c r="H6" s="14"/>
      <c r="I6" s="14"/>
      <c r="J6" s="14"/>
      <c r="K6" s="14"/>
      <c r="L6" s="14"/>
      <c r="M6" s="14"/>
      <c r="N6" s="14"/>
      <c r="O6" s="14"/>
      <c r="P6" s="14"/>
      <c r="Q6" s="14"/>
      <c r="R6" s="14"/>
      <c r="S6" s="14"/>
      <c r="T6" s="14"/>
      <c r="U6" s="14"/>
      <c r="V6" s="14"/>
      <c r="W6" s="14"/>
      <c r="X6" s="14"/>
      <c r="Y6" s="14"/>
      <c r="Z6" s="14"/>
      <c r="AA6" s="14"/>
      <c r="AB6" s="14"/>
      <c r="AC6" s="14"/>
      <c r="AD6" s="14"/>
      <c r="AE6" s="14"/>
      <c r="AF6" s="14"/>
      <c r="AG6" s="14"/>
    </row>
    <row r="7" spans="1:45" x14ac:dyDescent="0.2">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row>
    <row r="8" spans="1:45" x14ac:dyDescent="0.2">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row>
    <row r="9" spans="1:45" x14ac:dyDescent="0.2">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row>
    <row r="10" spans="1:45" x14ac:dyDescent="0.2">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row>
    <row r="11" spans="1:45" x14ac:dyDescent="0.2">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row>
    <row r="12" spans="1:45" x14ac:dyDescent="0.2">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row>
    <row r="13" spans="1:45" x14ac:dyDescent="0.2">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row>
    <row r="14" spans="1:45" x14ac:dyDescent="0.2">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row>
    <row r="15" spans="1:45" x14ac:dyDescent="0.2">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row>
    <row r="16" spans="1:45" x14ac:dyDescent="0.2">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row>
    <row r="17" spans="1:33" x14ac:dyDescent="0.2">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row>
    <row r="18" spans="1:33" x14ac:dyDescent="0.2">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row>
    <row r="19" spans="1:33" x14ac:dyDescent="0.2">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row>
    <row r="20" spans="1:33" x14ac:dyDescent="0.2">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row>
    <row r="21" spans="1:33" x14ac:dyDescent="0.2">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row>
    <row r="22" spans="1:33" x14ac:dyDescent="0.2">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row>
    <row r="23" spans="1:33" x14ac:dyDescent="0.2">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row>
    <row r="24" spans="1:33" x14ac:dyDescent="0.2">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row>
    <row r="25" spans="1:33" x14ac:dyDescent="0.2">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row>
    <row r="26" spans="1:33" x14ac:dyDescent="0.2">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row>
    <row r="27" spans="1:33" x14ac:dyDescent="0.2">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row>
    <row r="28" spans="1:33" x14ac:dyDescent="0.2">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row>
    <row r="29" spans="1:33" x14ac:dyDescent="0.2">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row>
    <row r="30" spans="1:33" x14ac:dyDescent="0.2">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3" x14ac:dyDescent="0.2">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row>
    <row r="32" spans="1:33" x14ac:dyDescent="0.2">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row>
    <row r="33" spans="1:33" x14ac:dyDescent="0.2">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row>
    <row r="34" spans="1:33" x14ac:dyDescent="0.2">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row>
    <row r="35" spans="1:33"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row>
    <row r="36" spans="1:33"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row>
    <row r="37" spans="1:33"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row>
    <row r="38" spans="1:33"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row>
    <row r="39" spans="1:33"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row>
    <row r="40" spans="1:33"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row>
    <row r="41" spans="1:33"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row>
    <row r="42" spans="1:33"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row>
    <row r="43" spans="1:33"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row>
    <row r="44" spans="1:33"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row>
    <row r="45" spans="1:33"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row>
    <row r="46" spans="1:33"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row>
    <row r="47" spans="1:33"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row>
    <row r="48" spans="1:33"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row>
    <row r="49" spans="1:33" x14ac:dyDescent="0.2">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row>
    <row r="50" spans="1:33" x14ac:dyDescent="0.2">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row>
    <row r="51" spans="1:33" x14ac:dyDescent="0.2">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row>
    <row r="52" spans="1:33" x14ac:dyDescent="0.2">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row>
    <row r="53" spans="1:33" x14ac:dyDescent="0.2">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row>
    <row r="54" spans="1:33" x14ac:dyDescent="0.2">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row>
    <row r="55" spans="1:33" x14ac:dyDescent="0.2">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row>
    <row r="56" spans="1:33" ht="15" x14ac:dyDescent="0.25">
      <c r="A56" s="2"/>
      <c r="B56" s="4" t="s">
        <v>1539</v>
      </c>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row>
    <row r="57" spans="1:33" x14ac:dyDescent="0.2">
      <c r="A57" s="2"/>
      <c r="B57" s="2" t="s">
        <v>1540</v>
      </c>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row>
    <row r="58" spans="1:33" x14ac:dyDescent="0.2">
      <c r="A58" s="2"/>
      <c r="B58" s="2" t="s">
        <v>1607</v>
      </c>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row>
    <row r="59" spans="1:33" x14ac:dyDescent="0.2">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row>
    <row r="60" spans="1:33" x14ac:dyDescent="0.2">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row>
    <row r="61" spans="1:33" x14ac:dyDescent="0.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row>
    <row r="62" spans="1:33" x14ac:dyDescent="0.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row>
    <row r="63" spans="1:33" x14ac:dyDescent="0.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row>
    <row r="64" spans="1:33" x14ac:dyDescent="0.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row>
    <row r="65" spans="1:33" x14ac:dyDescent="0.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row>
    <row r="66" spans="1:33" x14ac:dyDescent="0.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row>
    <row r="67" spans="1:33" x14ac:dyDescent="0.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row>
    <row r="68" spans="1:33" x14ac:dyDescent="0.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row>
    <row r="69" spans="1:33" x14ac:dyDescent="0.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row>
    <row r="70" spans="1:33" x14ac:dyDescent="0.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row>
    <row r="71" spans="1:33" x14ac:dyDescent="0.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row>
    <row r="72" spans="1:33" x14ac:dyDescent="0.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row>
    <row r="73" spans="1:33" x14ac:dyDescent="0.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row>
    <row r="74" spans="1:33" x14ac:dyDescent="0.2">
      <c r="A74" s="2"/>
      <c r="B74" s="2" t="s">
        <v>1608</v>
      </c>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row>
    <row r="75" spans="1:33" x14ac:dyDescent="0.2">
      <c r="A75" s="2"/>
      <c r="B75" s="232" t="s">
        <v>1616</v>
      </c>
      <c r="C75" s="232"/>
      <c r="D75" s="232"/>
      <c r="E75" s="232"/>
      <c r="F75" s="232"/>
      <c r="G75" s="232"/>
      <c r="H75" s="232"/>
      <c r="I75" s="232"/>
      <c r="J75" s="232"/>
      <c r="K75" s="232"/>
      <c r="L75" s="232"/>
      <c r="M75" s="232"/>
      <c r="N75" s="232"/>
      <c r="O75" s="232"/>
      <c r="P75" s="232"/>
      <c r="Q75" s="232"/>
      <c r="R75" s="232"/>
      <c r="S75" s="232"/>
      <c r="T75" s="232"/>
      <c r="U75" s="232"/>
      <c r="V75" s="232"/>
      <c r="W75" s="232"/>
      <c r="X75" s="232"/>
      <c r="Y75" s="232"/>
      <c r="Z75" s="232"/>
      <c r="AA75" s="232"/>
      <c r="AB75" s="232"/>
      <c r="AC75" s="232"/>
      <c r="AD75" s="232"/>
      <c r="AE75" s="232"/>
      <c r="AF75" s="232"/>
      <c r="AG75" s="232"/>
    </row>
    <row r="76" spans="1:33" x14ac:dyDescent="0.2">
      <c r="A76" s="2"/>
      <c r="B76" s="232"/>
      <c r="C76" s="232"/>
      <c r="D76" s="232"/>
      <c r="E76" s="232"/>
      <c r="F76" s="232"/>
      <c r="G76" s="232"/>
      <c r="H76" s="232"/>
      <c r="I76" s="232"/>
      <c r="J76" s="232"/>
      <c r="K76" s="232"/>
      <c r="L76" s="232"/>
      <c r="M76" s="232"/>
      <c r="N76" s="232"/>
      <c r="O76" s="232"/>
      <c r="P76" s="232"/>
      <c r="Q76" s="232"/>
      <c r="R76" s="232"/>
      <c r="S76" s="232"/>
      <c r="T76" s="232"/>
      <c r="U76" s="232"/>
      <c r="V76" s="232"/>
      <c r="W76" s="232"/>
      <c r="X76" s="232"/>
      <c r="Y76" s="232"/>
      <c r="Z76" s="232"/>
      <c r="AA76" s="232"/>
      <c r="AB76" s="232"/>
      <c r="AC76" s="232"/>
      <c r="AD76" s="232"/>
      <c r="AE76" s="232"/>
      <c r="AF76" s="232"/>
      <c r="AG76" s="232"/>
    </row>
    <row r="77" spans="1:33" x14ac:dyDescent="0.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row>
    <row r="78" spans="1:33" x14ac:dyDescent="0.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row>
    <row r="79" spans="1:33" x14ac:dyDescent="0.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row>
    <row r="80" spans="1:33" x14ac:dyDescent="0.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row>
    <row r="81" spans="1:33" x14ac:dyDescent="0.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row>
    <row r="82" spans="1:33" x14ac:dyDescent="0.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row>
    <row r="83" spans="1:33" x14ac:dyDescent="0.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row>
    <row r="84" spans="1:33" x14ac:dyDescent="0.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row>
    <row r="85" spans="1:33" x14ac:dyDescent="0.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row>
    <row r="86" spans="1:33" x14ac:dyDescent="0.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row>
    <row r="87" spans="1:33" x14ac:dyDescent="0.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row>
    <row r="88" spans="1:33" x14ac:dyDescent="0.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row>
    <row r="89" spans="1:33" x14ac:dyDescent="0.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row>
    <row r="90" spans="1:33" x14ac:dyDescent="0.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row>
    <row r="91" spans="1:33" x14ac:dyDescent="0.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row>
    <row r="92" spans="1:33" x14ac:dyDescent="0.2">
      <c r="A92" s="2"/>
      <c r="B92" s="232" t="s">
        <v>1626</v>
      </c>
      <c r="C92" s="232"/>
      <c r="D92" s="232"/>
      <c r="E92" s="232"/>
      <c r="F92" s="232"/>
      <c r="G92" s="232"/>
      <c r="H92" s="232"/>
      <c r="I92" s="232"/>
      <c r="J92" s="232"/>
      <c r="K92" s="232"/>
      <c r="L92" s="232"/>
      <c r="M92" s="232"/>
      <c r="N92" s="232"/>
      <c r="O92" s="232"/>
      <c r="P92" s="232"/>
      <c r="Q92" s="232"/>
      <c r="R92" s="232"/>
      <c r="S92" s="232"/>
      <c r="T92" s="232"/>
      <c r="U92" s="232"/>
      <c r="V92" s="232"/>
      <c r="W92" s="232"/>
      <c r="X92" s="232"/>
      <c r="Y92" s="232"/>
      <c r="Z92" s="232"/>
      <c r="AA92" s="232"/>
      <c r="AB92" s="232"/>
      <c r="AC92" s="232"/>
      <c r="AD92" s="232"/>
      <c r="AE92" s="232"/>
      <c r="AF92" s="232"/>
      <c r="AG92" s="232"/>
    </row>
    <row r="93" spans="1:33" x14ac:dyDescent="0.2">
      <c r="A93" s="2"/>
      <c r="B93" s="232"/>
      <c r="C93" s="232"/>
      <c r="D93" s="232"/>
      <c r="E93" s="232"/>
      <c r="F93" s="232"/>
      <c r="G93" s="232"/>
      <c r="H93" s="232"/>
      <c r="I93" s="232"/>
      <c r="J93" s="232"/>
      <c r="K93" s="232"/>
      <c r="L93" s="232"/>
      <c r="M93" s="232"/>
      <c r="N93" s="232"/>
      <c r="O93" s="232"/>
      <c r="P93" s="232"/>
      <c r="Q93" s="232"/>
      <c r="R93" s="232"/>
      <c r="S93" s="232"/>
      <c r="T93" s="232"/>
      <c r="U93" s="232"/>
      <c r="V93" s="232"/>
      <c r="W93" s="232"/>
      <c r="X93" s="232"/>
      <c r="Y93" s="232"/>
      <c r="Z93" s="232"/>
      <c r="AA93" s="232"/>
      <c r="AB93" s="232"/>
      <c r="AC93" s="232"/>
      <c r="AD93" s="232"/>
      <c r="AE93" s="232"/>
      <c r="AF93" s="232"/>
      <c r="AG93" s="232"/>
    </row>
    <row r="94" spans="1:33" x14ac:dyDescent="0.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row>
    <row r="95" spans="1:33" x14ac:dyDescent="0.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row>
    <row r="96" spans="1:33" x14ac:dyDescent="0.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row>
    <row r="97" spans="1:33" x14ac:dyDescent="0.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row>
    <row r="98" spans="1:33" x14ac:dyDescent="0.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row>
    <row r="99" spans="1:33" x14ac:dyDescent="0.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row>
    <row r="100" spans="1:33" x14ac:dyDescent="0.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row>
    <row r="101" spans="1:33" x14ac:dyDescent="0.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row>
    <row r="102" spans="1:33" x14ac:dyDescent="0.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row>
    <row r="103" spans="1:33" x14ac:dyDescent="0.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row>
    <row r="104" spans="1:33" x14ac:dyDescent="0.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row>
    <row r="105" spans="1:33" x14ac:dyDescent="0.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row>
    <row r="106" spans="1:33" x14ac:dyDescent="0.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row>
    <row r="107" spans="1:33" x14ac:dyDescent="0.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row>
    <row r="108" spans="1:33" x14ac:dyDescent="0.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row>
    <row r="109" spans="1:33" x14ac:dyDescent="0.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row>
    <row r="110" spans="1:33" x14ac:dyDescent="0.2">
      <c r="A110" s="2"/>
      <c r="B110" s="2"/>
      <c r="C110" s="48" t="s">
        <v>1541</v>
      </c>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row>
    <row r="111" spans="1:33" x14ac:dyDescent="0.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row>
    <row r="112" spans="1:33" x14ac:dyDescent="0.2">
      <c r="A112" s="2"/>
      <c r="B112" s="2"/>
      <c r="C112" s="2"/>
      <c r="D112" s="16" t="s">
        <v>1527</v>
      </c>
      <c r="E112" s="21"/>
      <c r="F112" s="13"/>
      <c r="G112" s="28"/>
      <c r="H112" s="28"/>
      <c r="I112" s="28"/>
      <c r="J112" s="2"/>
      <c r="K112" s="2"/>
      <c r="L112" s="2"/>
      <c r="M112" s="2"/>
      <c r="N112" s="2"/>
      <c r="O112" s="2"/>
      <c r="P112" s="2"/>
      <c r="Q112" s="2"/>
      <c r="R112" s="2"/>
      <c r="S112" s="2"/>
      <c r="T112" s="2"/>
      <c r="U112" s="2"/>
      <c r="V112" s="2"/>
      <c r="W112" s="2"/>
      <c r="X112" s="2"/>
      <c r="Y112" s="2"/>
      <c r="Z112" s="2"/>
      <c r="AA112" s="2"/>
      <c r="AB112" s="2"/>
      <c r="AC112" s="2"/>
      <c r="AD112" s="2"/>
      <c r="AE112" s="2"/>
      <c r="AF112" s="2"/>
      <c r="AG112" s="2"/>
    </row>
    <row r="113" spans="1:33" x14ac:dyDescent="0.2">
      <c r="A113" s="2"/>
      <c r="B113" s="2"/>
      <c r="C113" s="2"/>
      <c r="D113" s="2"/>
      <c r="E113" s="21"/>
      <c r="F113" s="13"/>
      <c r="G113" s="28"/>
      <c r="H113" s="28"/>
      <c r="I113" s="28"/>
      <c r="J113" s="2"/>
      <c r="K113" s="2"/>
      <c r="L113" s="2"/>
      <c r="M113" s="2"/>
      <c r="N113" s="2"/>
      <c r="O113" s="2"/>
      <c r="P113" s="2"/>
      <c r="Q113" s="2"/>
      <c r="R113" s="2"/>
      <c r="S113" s="2"/>
      <c r="T113" s="2"/>
      <c r="U113" s="2"/>
      <c r="V113" s="2"/>
      <c r="W113" s="2"/>
      <c r="X113" s="2"/>
      <c r="Y113" s="2"/>
      <c r="Z113" s="2"/>
      <c r="AA113" s="2"/>
      <c r="AB113" s="2"/>
      <c r="AC113" s="2"/>
      <c r="AD113" s="2"/>
      <c r="AE113" s="2"/>
      <c r="AF113" s="2"/>
      <c r="AG113" s="2"/>
    </row>
    <row r="114" spans="1:33" x14ac:dyDescent="0.2">
      <c r="A114" s="2"/>
      <c r="B114" s="2"/>
      <c r="C114" s="2"/>
      <c r="D114" s="2"/>
      <c r="E114" s="2"/>
      <c r="F114" s="2"/>
      <c r="G114" s="2"/>
      <c r="H114" s="233" t="s">
        <v>367</v>
      </c>
      <c r="I114" s="234"/>
      <c r="J114" s="234"/>
      <c r="K114" s="235"/>
      <c r="L114" s="233" t="s">
        <v>368</v>
      </c>
      <c r="M114" s="234"/>
      <c r="N114" s="234"/>
      <c r="O114" s="235"/>
      <c r="P114" s="233" t="s">
        <v>369</v>
      </c>
      <c r="Q114" s="234"/>
      <c r="R114" s="234"/>
      <c r="S114" s="235"/>
      <c r="T114" s="233" t="s">
        <v>370</v>
      </c>
      <c r="U114" s="234"/>
      <c r="V114" s="234"/>
      <c r="W114" s="235"/>
      <c r="X114" s="2"/>
      <c r="Y114" s="2"/>
      <c r="Z114" s="2"/>
      <c r="AA114" s="2"/>
      <c r="AB114" s="2"/>
      <c r="AC114" s="2"/>
      <c r="AD114" s="2"/>
      <c r="AE114" s="2"/>
      <c r="AF114" s="2"/>
      <c r="AG114" s="2"/>
    </row>
    <row r="115" spans="1:33" x14ac:dyDescent="0.2">
      <c r="A115" s="2"/>
      <c r="B115" s="2"/>
      <c r="C115" s="2"/>
      <c r="D115" s="233" t="s">
        <v>361</v>
      </c>
      <c r="E115" s="234"/>
      <c r="F115" s="234"/>
      <c r="G115" s="235"/>
      <c r="H115" s="293">
        <v>0.9</v>
      </c>
      <c r="I115" s="234"/>
      <c r="J115" s="234"/>
      <c r="K115" s="235"/>
      <c r="L115" s="293">
        <v>1.2</v>
      </c>
      <c r="M115" s="234"/>
      <c r="N115" s="234"/>
      <c r="O115" s="235"/>
      <c r="P115" s="293">
        <f>'7. Load Development'!P65</f>
        <v>0.9</v>
      </c>
      <c r="Q115" s="234"/>
      <c r="R115" s="234"/>
      <c r="S115" s="235"/>
      <c r="T115" s="293">
        <f>H115*L115*P115</f>
        <v>0.97200000000000009</v>
      </c>
      <c r="U115" s="294"/>
      <c r="V115" s="294"/>
      <c r="W115" s="295"/>
      <c r="X115" s="2"/>
      <c r="Y115" s="2"/>
      <c r="Z115" s="2"/>
      <c r="AA115" s="2"/>
      <c r="AB115" s="2"/>
      <c r="AC115" s="2"/>
      <c r="AD115" s="2"/>
      <c r="AE115" s="2"/>
      <c r="AF115" s="2"/>
      <c r="AG115" s="2"/>
    </row>
    <row r="116" spans="1:33" x14ac:dyDescent="0.2">
      <c r="A116" s="2"/>
      <c r="B116" s="2"/>
      <c r="C116" s="2"/>
      <c r="D116" s="2"/>
      <c r="E116" s="2"/>
      <c r="F116" s="2"/>
      <c r="G116" s="2"/>
      <c r="H116" s="2"/>
      <c r="I116" s="2"/>
      <c r="J116" s="2"/>
      <c r="K116" s="2"/>
      <c r="L116" s="2"/>
      <c r="M116" s="2"/>
      <c r="N116" s="2"/>
      <c r="O116" s="2"/>
      <c r="P116" s="2"/>
      <c r="Q116" s="2"/>
      <c r="R116" s="2"/>
      <c r="S116" s="21" t="s">
        <v>362</v>
      </c>
      <c r="T116" s="304">
        <f>SUM(T114:W115)</f>
        <v>0.97200000000000009</v>
      </c>
      <c r="U116" s="304"/>
      <c r="V116" s="304"/>
      <c r="W116" s="304"/>
      <c r="X116" s="2" t="s">
        <v>373</v>
      </c>
      <c r="Y116" s="2"/>
      <c r="Z116" s="2"/>
      <c r="AA116" s="2"/>
      <c r="AB116" s="2"/>
      <c r="AC116" s="2"/>
      <c r="AD116" s="2"/>
      <c r="AE116" s="2"/>
      <c r="AF116" s="2"/>
      <c r="AG116" s="2"/>
    </row>
    <row r="117" spans="1:33" x14ac:dyDescent="0.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row>
    <row r="118" spans="1:33" x14ac:dyDescent="0.2">
      <c r="A118" s="2"/>
      <c r="B118" s="2"/>
      <c r="C118" s="2"/>
      <c r="D118" s="2"/>
      <c r="F118" s="2"/>
      <c r="G118" s="2"/>
      <c r="H118" s="2"/>
      <c r="I118" s="2"/>
      <c r="J118" s="2"/>
      <c r="K118" s="2"/>
      <c r="L118" s="21" t="s">
        <v>1528</v>
      </c>
      <c r="M118" s="13" t="s">
        <v>332</v>
      </c>
      <c r="N118" s="231">
        <f>'7. Load Development'!N70</f>
        <v>23.544</v>
      </c>
      <c r="O118" s="231"/>
      <c r="P118" s="231"/>
      <c r="Q118" s="2" t="s">
        <v>372</v>
      </c>
      <c r="R118" s="2"/>
      <c r="S118" s="2"/>
      <c r="T118" s="2"/>
      <c r="U118" s="27" t="s">
        <v>1530</v>
      </c>
      <c r="V118" s="23"/>
      <c r="W118" s="23"/>
      <c r="X118" s="23"/>
      <c r="Y118" s="2"/>
      <c r="Z118" s="2"/>
      <c r="AA118" s="2"/>
      <c r="AB118" s="2"/>
      <c r="AC118" s="2"/>
      <c r="AD118" s="2"/>
      <c r="AE118" s="2"/>
      <c r="AF118" s="2"/>
      <c r="AG118" s="2"/>
    </row>
    <row r="119" spans="1:33" ht="15.75" x14ac:dyDescent="0.3">
      <c r="A119" s="2"/>
      <c r="B119" s="2"/>
      <c r="C119" s="2"/>
      <c r="D119" s="2"/>
      <c r="F119" s="2"/>
      <c r="G119" s="2"/>
      <c r="H119" s="2"/>
      <c r="I119" s="2"/>
      <c r="J119" s="2"/>
      <c r="K119" s="2"/>
      <c r="L119" s="21" t="s">
        <v>1550</v>
      </c>
      <c r="M119" s="13" t="s">
        <v>332</v>
      </c>
      <c r="N119" s="231">
        <f>T116*N118</f>
        <v>22.884768000000001</v>
      </c>
      <c r="O119" s="231"/>
      <c r="P119" s="231"/>
      <c r="Q119" s="2" t="s">
        <v>335</v>
      </c>
      <c r="R119" s="2"/>
      <c r="S119" s="2"/>
      <c r="T119" s="2"/>
      <c r="U119" s="23"/>
      <c r="V119" s="23"/>
      <c r="W119" s="23"/>
      <c r="X119" s="23"/>
      <c r="Y119" s="2"/>
      <c r="Z119" s="2"/>
      <c r="AA119" s="2"/>
      <c r="AB119" s="2"/>
      <c r="AC119" s="2"/>
      <c r="AD119" s="2"/>
      <c r="AE119" s="2"/>
      <c r="AF119" s="2"/>
      <c r="AG119" s="2"/>
    </row>
    <row r="120" spans="1:33" x14ac:dyDescent="0.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row>
    <row r="121" spans="1:33" x14ac:dyDescent="0.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row>
    <row r="122" spans="1:33" x14ac:dyDescent="0.2">
      <c r="A122" s="2"/>
      <c r="B122" s="2"/>
      <c r="C122" s="48" t="s">
        <v>1542</v>
      </c>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row>
    <row r="123" spans="1:33" x14ac:dyDescent="0.2">
      <c r="A123" s="2"/>
      <c r="B123" s="2"/>
      <c r="C123" s="2" t="s">
        <v>1543</v>
      </c>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row>
    <row r="124" spans="1:33" s="2" customFormat="1" ht="12.75" x14ac:dyDescent="0.2">
      <c r="B124" s="18"/>
      <c r="F124" s="21"/>
      <c r="G124" s="13"/>
      <c r="H124" s="28"/>
      <c r="I124" s="28"/>
      <c r="J124" s="28"/>
    </row>
    <row r="125" spans="1:33" s="2" customFormat="1" ht="12.75" x14ac:dyDescent="0.2">
      <c r="B125" s="18"/>
      <c r="C125" s="2" t="s">
        <v>1555</v>
      </c>
      <c r="F125" s="21"/>
      <c r="G125" s="13"/>
      <c r="H125" s="28"/>
      <c r="I125" s="28"/>
      <c r="J125" s="28"/>
    </row>
    <row r="126" spans="1:33" s="2" customFormat="1" ht="12.75" x14ac:dyDescent="0.2">
      <c r="B126" s="18"/>
      <c r="F126" s="21"/>
      <c r="G126" s="13"/>
      <c r="H126" s="28"/>
      <c r="I126" s="28"/>
      <c r="J126" s="28"/>
    </row>
    <row r="127" spans="1:33" s="2" customFormat="1" ht="12.75" x14ac:dyDescent="0.2">
      <c r="B127" s="18"/>
      <c r="F127" s="21"/>
      <c r="G127" s="13"/>
      <c r="H127" s="28"/>
      <c r="I127" s="28"/>
      <c r="J127" s="28"/>
    </row>
    <row r="128" spans="1:33" s="2" customFormat="1" ht="12.75" x14ac:dyDescent="0.2">
      <c r="B128" s="18"/>
      <c r="F128" s="21"/>
      <c r="G128" s="13"/>
      <c r="H128" s="28"/>
      <c r="I128" s="28"/>
      <c r="J128" s="28"/>
    </row>
    <row r="129" spans="2:12" s="2" customFormat="1" ht="12.75" x14ac:dyDescent="0.2">
      <c r="B129" s="18"/>
      <c r="F129" s="21"/>
      <c r="G129" s="13"/>
      <c r="H129" s="28"/>
      <c r="I129" s="28"/>
      <c r="J129" s="28"/>
    </row>
    <row r="130" spans="2:12" s="2" customFormat="1" ht="12.75" x14ac:dyDescent="0.2">
      <c r="B130" s="18"/>
      <c r="F130" s="21"/>
      <c r="G130" s="13"/>
      <c r="H130" s="28"/>
      <c r="I130" s="28"/>
      <c r="J130" s="28"/>
    </row>
    <row r="131" spans="2:12" s="2" customFormat="1" ht="12.75" x14ac:dyDescent="0.2">
      <c r="B131" s="18"/>
      <c r="F131" s="21"/>
      <c r="G131" s="13"/>
      <c r="H131" s="28"/>
      <c r="I131" s="28"/>
      <c r="J131" s="28"/>
    </row>
    <row r="132" spans="2:12" s="2" customFormat="1" ht="12.75" x14ac:dyDescent="0.2">
      <c r="B132" s="18"/>
      <c r="F132" s="21"/>
      <c r="G132" s="13"/>
      <c r="H132" s="28"/>
      <c r="I132" s="28"/>
      <c r="J132" s="28"/>
    </row>
    <row r="133" spans="2:12" s="2" customFormat="1" ht="12.75" x14ac:dyDescent="0.2">
      <c r="B133" s="18"/>
      <c r="F133" s="21"/>
      <c r="G133" s="13"/>
      <c r="H133" s="28"/>
      <c r="I133" s="28"/>
      <c r="J133" s="28"/>
    </row>
    <row r="134" spans="2:12" s="2" customFormat="1" ht="12.75" x14ac:dyDescent="0.2">
      <c r="B134" s="18"/>
      <c r="F134" s="21"/>
      <c r="G134" s="13"/>
      <c r="H134" s="28"/>
      <c r="I134" s="28"/>
      <c r="J134" s="28"/>
    </row>
    <row r="135" spans="2:12" s="2" customFormat="1" ht="12.75" x14ac:dyDescent="0.2">
      <c r="B135" s="18"/>
      <c r="F135" s="21"/>
      <c r="G135" s="13"/>
      <c r="H135" s="28"/>
      <c r="I135" s="28"/>
      <c r="J135" s="28"/>
    </row>
    <row r="136" spans="2:12" s="2" customFormat="1" ht="12.75" x14ac:dyDescent="0.2">
      <c r="B136" s="18"/>
      <c r="F136" s="21"/>
      <c r="G136" s="13"/>
      <c r="H136" s="28"/>
      <c r="I136" s="28"/>
      <c r="J136" s="28"/>
    </row>
    <row r="137" spans="2:12" s="2" customFormat="1" ht="12.75" x14ac:dyDescent="0.2">
      <c r="B137" s="18"/>
      <c r="F137" s="21"/>
      <c r="G137" s="13"/>
      <c r="H137" s="28"/>
      <c r="I137" s="28"/>
      <c r="J137" s="28"/>
    </row>
    <row r="138" spans="2:12" s="2" customFormat="1" ht="12.75" x14ac:dyDescent="0.2">
      <c r="B138" s="18"/>
      <c r="F138" s="21"/>
      <c r="G138" s="13"/>
      <c r="H138" s="28"/>
      <c r="I138" s="28"/>
      <c r="J138" s="28"/>
    </row>
    <row r="139" spans="2:12" s="2" customFormat="1" ht="12.75" x14ac:dyDescent="0.2">
      <c r="B139" s="18"/>
      <c r="F139" s="21"/>
      <c r="G139" s="13"/>
      <c r="H139" s="28"/>
      <c r="I139" s="28"/>
      <c r="J139" s="28"/>
    </row>
    <row r="140" spans="2:12" s="2" customFormat="1" ht="12.75" x14ac:dyDescent="0.2">
      <c r="B140" s="18"/>
      <c r="F140" s="21"/>
      <c r="G140" s="13"/>
      <c r="H140" s="28"/>
      <c r="I140" s="28"/>
      <c r="J140" s="28"/>
    </row>
    <row r="141" spans="2:12" s="2" customFormat="1" ht="12.75" x14ac:dyDescent="0.2">
      <c r="B141" s="18"/>
      <c r="F141" s="21"/>
      <c r="G141" s="21" t="s">
        <v>132</v>
      </c>
      <c r="H141" s="13" t="s">
        <v>332</v>
      </c>
      <c r="I141" s="285">
        <v>0.73360999999999998</v>
      </c>
      <c r="J141" s="285"/>
      <c r="K141" s="285"/>
      <c r="L141" s="2" t="s">
        <v>551</v>
      </c>
    </row>
    <row r="142" spans="2:12" s="2" customFormat="1" ht="12.75" x14ac:dyDescent="0.2">
      <c r="B142" s="18"/>
      <c r="F142" s="21"/>
      <c r="G142" s="13"/>
      <c r="H142" s="28"/>
      <c r="I142" s="28"/>
      <c r="J142" s="28"/>
    </row>
    <row r="143" spans="2:12" s="2" customFormat="1" ht="12.75" x14ac:dyDescent="0.2">
      <c r="B143" s="18"/>
      <c r="D143" s="2" t="s">
        <v>1609</v>
      </c>
      <c r="F143" s="21"/>
      <c r="G143" s="13"/>
      <c r="H143" s="28"/>
      <c r="I143" s="28"/>
      <c r="J143" s="28"/>
    </row>
    <row r="144" spans="2:12" s="2" customFormat="1" ht="12.75" x14ac:dyDescent="0.2">
      <c r="B144" s="18"/>
      <c r="F144" s="21"/>
      <c r="G144" s="13"/>
      <c r="H144" s="28"/>
      <c r="I144" s="28"/>
      <c r="J144" s="28"/>
    </row>
    <row r="145" spans="2:33" s="2" customFormat="1" ht="12.75" x14ac:dyDescent="0.2">
      <c r="B145" s="18"/>
      <c r="F145" s="21"/>
      <c r="G145" s="13"/>
      <c r="H145" s="28"/>
      <c r="I145" s="28"/>
      <c r="J145" s="28"/>
    </row>
    <row r="146" spans="2:33" s="2" customFormat="1" ht="12.75" x14ac:dyDescent="0.2">
      <c r="B146" s="18"/>
      <c r="F146" s="21"/>
      <c r="G146" s="13"/>
      <c r="H146" s="28"/>
      <c r="I146" s="28"/>
      <c r="J146" s="28"/>
    </row>
    <row r="147" spans="2:33" s="2" customFormat="1" ht="12.75" x14ac:dyDescent="0.2">
      <c r="B147" s="18"/>
      <c r="F147" s="21"/>
      <c r="G147" s="13"/>
      <c r="H147" s="28"/>
      <c r="I147" s="28"/>
      <c r="J147" s="28"/>
    </row>
    <row r="148" spans="2:33" s="2" customFormat="1" ht="12.75" x14ac:dyDescent="0.2">
      <c r="B148" s="18"/>
      <c r="F148" s="21"/>
      <c r="G148" s="13"/>
      <c r="H148" s="28"/>
      <c r="I148" s="28"/>
      <c r="J148" s="28"/>
    </row>
    <row r="149" spans="2:33" s="2" customFormat="1" ht="12.75" x14ac:dyDescent="0.2">
      <c r="B149" s="18"/>
      <c r="F149" s="21"/>
      <c r="G149" s="13"/>
      <c r="H149" s="28"/>
      <c r="I149" s="28"/>
      <c r="J149" s="28"/>
    </row>
    <row r="150" spans="2:33" s="2" customFormat="1" ht="12.75" x14ac:dyDescent="0.2">
      <c r="B150" s="18"/>
      <c r="F150" s="21"/>
      <c r="G150" s="13"/>
      <c r="H150" s="28"/>
      <c r="I150" s="28"/>
      <c r="J150" s="28"/>
    </row>
    <row r="151" spans="2:33" s="2" customFormat="1" ht="12.75" x14ac:dyDescent="0.2">
      <c r="B151" s="18"/>
      <c r="F151" s="21"/>
      <c r="G151" s="13"/>
      <c r="H151" s="28"/>
      <c r="I151" s="28"/>
      <c r="J151" s="28"/>
    </row>
    <row r="152" spans="2:33" s="2" customFormat="1" ht="12.75" x14ac:dyDescent="0.2">
      <c r="B152" s="18"/>
      <c r="F152" s="21"/>
      <c r="G152" s="13"/>
      <c r="H152" s="28"/>
      <c r="I152" s="28"/>
      <c r="J152" s="28"/>
    </row>
    <row r="153" spans="2:33" s="2" customFormat="1" ht="12.75" x14ac:dyDescent="0.2">
      <c r="B153" s="18"/>
      <c r="F153" s="21"/>
      <c r="G153" s="13"/>
      <c r="H153" s="28"/>
      <c r="I153" s="28"/>
      <c r="J153" s="28"/>
    </row>
    <row r="154" spans="2:33" s="2" customFormat="1" ht="12.75" x14ac:dyDescent="0.2">
      <c r="B154" s="18"/>
      <c r="F154" s="21"/>
      <c r="G154" s="13"/>
      <c r="H154" s="28"/>
      <c r="I154" s="28"/>
      <c r="J154" s="28"/>
    </row>
    <row r="155" spans="2:33" s="2" customFormat="1" ht="12.75" x14ac:dyDescent="0.2">
      <c r="B155" s="18"/>
      <c r="F155" s="21"/>
      <c r="G155" s="13"/>
      <c r="H155" s="28"/>
      <c r="I155" s="28"/>
      <c r="J155" s="28"/>
    </row>
    <row r="156" spans="2:33" s="2" customFormat="1" ht="12.75" x14ac:dyDescent="0.2">
      <c r="B156" s="18"/>
      <c r="F156" s="21"/>
      <c r="G156" s="13"/>
      <c r="H156" s="28"/>
      <c r="I156" s="28"/>
      <c r="J156" s="28"/>
    </row>
    <row r="157" spans="2:33" s="2" customFormat="1" ht="12.75" x14ac:dyDescent="0.2">
      <c r="B157" s="18"/>
      <c r="D157" s="2" t="s">
        <v>1559</v>
      </c>
      <c r="F157" s="21"/>
      <c r="G157" s="13"/>
      <c r="H157" s="28"/>
      <c r="I157" s="28"/>
      <c r="J157" s="28"/>
    </row>
    <row r="158" spans="2:33" s="2" customFormat="1" ht="12.75" x14ac:dyDescent="0.2">
      <c r="B158" s="18"/>
      <c r="D158" s="232" t="s">
        <v>1613</v>
      </c>
      <c r="E158" s="232"/>
      <c r="F158" s="232"/>
      <c r="G158" s="232"/>
      <c r="H158" s="232"/>
      <c r="I158" s="232"/>
      <c r="J158" s="232"/>
      <c r="K158" s="232"/>
      <c r="L158" s="232"/>
      <c r="M158" s="232"/>
      <c r="N158" s="232"/>
      <c r="O158" s="232"/>
      <c r="P158" s="232"/>
      <c r="Q158" s="232"/>
      <c r="R158" s="232"/>
      <c r="S158" s="232"/>
      <c r="T158" s="232"/>
      <c r="U158" s="232"/>
      <c r="V158" s="232"/>
      <c r="W158" s="232"/>
      <c r="X158" s="232"/>
      <c r="Y158" s="232"/>
      <c r="Z158" s="232"/>
      <c r="AA158" s="232"/>
      <c r="AB158" s="232"/>
      <c r="AC158" s="232"/>
      <c r="AD158" s="232"/>
      <c r="AE158" s="232"/>
      <c r="AF158" s="232"/>
      <c r="AG158" s="232"/>
    </row>
    <row r="159" spans="2:33" s="2" customFormat="1" ht="12.75" x14ac:dyDescent="0.2">
      <c r="B159" s="18"/>
      <c r="D159" s="232"/>
      <c r="E159" s="232"/>
      <c r="F159" s="232"/>
      <c r="G159" s="232"/>
      <c r="H159" s="232"/>
      <c r="I159" s="232"/>
      <c r="J159" s="232"/>
      <c r="K159" s="232"/>
      <c r="L159" s="232"/>
      <c r="M159" s="232"/>
      <c r="N159" s="232"/>
      <c r="O159" s="232"/>
      <c r="P159" s="232"/>
      <c r="Q159" s="232"/>
      <c r="R159" s="232"/>
      <c r="S159" s="232"/>
      <c r="T159" s="232"/>
      <c r="U159" s="232"/>
      <c r="V159" s="232"/>
      <c r="W159" s="232"/>
      <c r="X159" s="232"/>
      <c r="Y159" s="232"/>
      <c r="Z159" s="232"/>
      <c r="AA159" s="232"/>
      <c r="AB159" s="232"/>
      <c r="AC159" s="232"/>
      <c r="AD159" s="232"/>
      <c r="AE159" s="232"/>
      <c r="AF159" s="232"/>
      <c r="AG159" s="232"/>
    </row>
    <row r="160" spans="2:33" s="2" customFormat="1" ht="12.75" x14ac:dyDescent="0.2">
      <c r="B160" s="18"/>
      <c r="F160" s="21"/>
      <c r="G160" s="13"/>
      <c r="H160" s="28"/>
      <c r="I160" s="28"/>
      <c r="J160" s="28"/>
    </row>
    <row r="161" spans="2:33" s="2" customFormat="1" ht="12.75" x14ac:dyDescent="0.2">
      <c r="B161" s="18"/>
      <c r="D161" s="239" t="s">
        <v>1532</v>
      </c>
      <c r="E161" s="239"/>
      <c r="F161" s="239"/>
      <c r="G161" s="239"/>
      <c r="H161" s="239"/>
      <c r="I161" s="239"/>
      <c r="J161" s="239"/>
      <c r="K161" s="233" t="s">
        <v>1557</v>
      </c>
      <c r="L161" s="234"/>
      <c r="M161" s="234"/>
      <c r="N161" s="235"/>
      <c r="O161" s="233" t="s">
        <v>1533</v>
      </c>
      <c r="P161" s="234"/>
      <c r="Q161" s="234"/>
      <c r="R161" s="235"/>
      <c r="S161" s="233" t="s">
        <v>1558</v>
      </c>
      <c r="T161" s="234"/>
      <c r="U161" s="234"/>
      <c r="V161" s="235"/>
      <c r="W161" s="233" t="s">
        <v>1556</v>
      </c>
      <c r="X161" s="234"/>
      <c r="Y161" s="234"/>
      <c r="Z161" s="235"/>
    </row>
    <row r="162" spans="2:33" s="2" customFormat="1" ht="12.75" x14ac:dyDescent="0.2">
      <c r="B162" s="18"/>
      <c r="D162" s="239" t="s">
        <v>1534</v>
      </c>
      <c r="E162" s="239"/>
      <c r="F162" s="239"/>
      <c r="G162" s="239"/>
      <c r="H162" s="239"/>
      <c r="I162" s="239"/>
      <c r="J162" s="239"/>
      <c r="K162" s="293">
        <v>3</v>
      </c>
      <c r="L162" s="234"/>
      <c r="M162" s="234"/>
      <c r="N162" s="235"/>
      <c r="O162" s="236">
        <f>I141*K162</f>
        <v>2.2008299999999998</v>
      </c>
      <c r="P162" s="237"/>
      <c r="Q162" s="237"/>
      <c r="R162" s="238"/>
      <c r="S162" s="236">
        <f>325*9.81/1000</f>
        <v>3.18825</v>
      </c>
      <c r="T162" s="237"/>
      <c r="U162" s="237"/>
      <c r="V162" s="238"/>
      <c r="W162" s="236">
        <v>20</v>
      </c>
      <c r="X162" s="237"/>
      <c r="Y162" s="237"/>
      <c r="Z162" s="238"/>
    </row>
    <row r="163" spans="2:33" s="2" customFormat="1" ht="12.75" x14ac:dyDescent="0.2">
      <c r="B163" s="18"/>
      <c r="D163" s="239" t="s">
        <v>1535</v>
      </c>
      <c r="E163" s="239"/>
      <c r="F163" s="239"/>
      <c r="G163" s="239"/>
      <c r="H163" s="239"/>
      <c r="I163" s="239"/>
      <c r="J163" s="239"/>
      <c r="K163" s="293">
        <v>2</v>
      </c>
      <c r="L163" s="234"/>
      <c r="M163" s="234"/>
      <c r="N163" s="235"/>
      <c r="O163" s="236">
        <f>I141*K163</f>
        <v>1.46722</v>
      </c>
      <c r="P163" s="237"/>
      <c r="Q163" s="237"/>
      <c r="R163" s="238"/>
      <c r="S163" s="236" t="s">
        <v>146</v>
      </c>
      <c r="T163" s="237"/>
      <c r="U163" s="237"/>
      <c r="V163" s="238"/>
      <c r="W163" s="236">
        <v>13</v>
      </c>
      <c r="X163" s="237"/>
      <c r="Y163" s="237"/>
      <c r="Z163" s="238"/>
    </row>
    <row r="164" spans="2:33" s="2" customFormat="1" ht="12.75" x14ac:dyDescent="0.2">
      <c r="B164" s="18"/>
      <c r="E164" s="21"/>
      <c r="F164" s="13"/>
      <c r="G164" s="28"/>
      <c r="H164" s="28"/>
      <c r="I164" s="28"/>
    </row>
    <row r="165" spans="2:33" s="2" customFormat="1" ht="12.75" x14ac:dyDescent="0.2">
      <c r="B165" s="18"/>
      <c r="E165" s="21"/>
      <c r="F165" s="21" t="s">
        <v>132</v>
      </c>
      <c r="G165" s="13" t="s">
        <v>332</v>
      </c>
      <c r="H165" s="231">
        <f>SUM(W162:Z163)</f>
        <v>33</v>
      </c>
      <c r="I165" s="231"/>
      <c r="J165" s="231"/>
      <c r="K165" s="2" t="s">
        <v>335</v>
      </c>
      <c r="O165" s="2" t="s">
        <v>1531</v>
      </c>
    </row>
    <row r="166" spans="2:33" s="2" customFormat="1" ht="12.75" x14ac:dyDescent="0.2">
      <c r="B166" s="18"/>
      <c r="E166" s="21"/>
      <c r="F166" s="21"/>
      <c r="G166" s="13"/>
      <c r="H166" s="28"/>
      <c r="I166" s="28"/>
      <c r="J166" s="28"/>
    </row>
    <row r="167" spans="2:33" s="2" customFormat="1" ht="12.75" x14ac:dyDescent="0.2">
      <c r="B167" s="18"/>
      <c r="E167" s="21"/>
      <c r="F167" s="21"/>
      <c r="G167" s="13"/>
      <c r="H167" s="28"/>
      <c r="I167" s="28"/>
      <c r="J167" s="28"/>
    </row>
    <row r="168" spans="2:33" s="2" customFormat="1" ht="12.75" x14ac:dyDescent="0.2">
      <c r="B168" s="18"/>
      <c r="F168" s="21"/>
      <c r="G168" s="13"/>
      <c r="H168" s="28"/>
      <c r="I168" s="28"/>
      <c r="J168" s="28"/>
    </row>
    <row r="169" spans="2:33" s="2" customFormat="1" ht="12.75" x14ac:dyDescent="0.2">
      <c r="B169" s="18"/>
      <c r="C169" s="48" t="s">
        <v>1599</v>
      </c>
      <c r="F169" s="21"/>
      <c r="G169" s="13"/>
      <c r="H169" s="28"/>
      <c r="I169" s="28"/>
      <c r="J169" s="28"/>
    </row>
    <row r="170" spans="2:33" s="2" customFormat="1" ht="12.75" x14ac:dyDescent="0.2">
      <c r="B170" s="18"/>
      <c r="C170" s="232" t="s">
        <v>1625</v>
      </c>
      <c r="D170" s="232"/>
      <c r="E170" s="232"/>
      <c r="F170" s="232"/>
      <c r="G170" s="232"/>
      <c r="H170" s="232"/>
      <c r="I170" s="232"/>
      <c r="J170" s="232"/>
      <c r="K170" s="232"/>
      <c r="L170" s="232"/>
      <c r="M170" s="232"/>
      <c r="N170" s="232"/>
      <c r="O170" s="232"/>
      <c r="P170" s="232"/>
      <c r="Q170" s="232"/>
      <c r="R170" s="232"/>
      <c r="S170" s="232"/>
      <c r="T170" s="232"/>
      <c r="U170" s="232"/>
      <c r="V170" s="232"/>
      <c r="W170" s="232"/>
      <c r="X170" s="232"/>
      <c r="Y170" s="232"/>
      <c r="Z170" s="232"/>
      <c r="AA170" s="232"/>
      <c r="AB170" s="232"/>
      <c r="AC170" s="232"/>
      <c r="AD170" s="232"/>
      <c r="AE170" s="232"/>
      <c r="AF170" s="232"/>
      <c r="AG170" s="232"/>
    </row>
    <row r="171" spans="2:33" s="2" customFormat="1" ht="12.75" x14ac:dyDescent="0.2">
      <c r="B171" s="18"/>
      <c r="C171" s="232"/>
      <c r="D171" s="232"/>
      <c r="E171" s="232"/>
      <c r="F171" s="232"/>
      <c r="G171" s="232"/>
      <c r="H171" s="232"/>
      <c r="I171" s="232"/>
      <c r="J171" s="232"/>
      <c r="K171" s="232"/>
      <c r="L171" s="232"/>
      <c r="M171" s="232"/>
      <c r="N171" s="232"/>
      <c r="O171" s="232"/>
      <c r="P171" s="232"/>
      <c r="Q171" s="232"/>
      <c r="R171" s="232"/>
      <c r="S171" s="232"/>
      <c r="T171" s="232"/>
      <c r="U171" s="232"/>
      <c r="V171" s="232"/>
      <c r="W171" s="232"/>
      <c r="X171" s="232"/>
      <c r="Y171" s="232"/>
      <c r="Z171" s="232"/>
      <c r="AA171" s="232"/>
      <c r="AB171" s="232"/>
      <c r="AC171" s="232"/>
      <c r="AD171" s="232"/>
      <c r="AE171" s="232"/>
      <c r="AF171" s="232"/>
      <c r="AG171" s="232"/>
    </row>
    <row r="172" spans="2:33" s="2" customFormat="1" ht="12.75" x14ac:dyDescent="0.2">
      <c r="B172" s="18"/>
      <c r="F172" s="21"/>
      <c r="G172" s="13"/>
      <c r="H172" s="28"/>
      <c r="I172" s="28"/>
      <c r="J172" s="28"/>
    </row>
    <row r="173" spans="2:33" s="2" customFormat="1" ht="12.75" x14ac:dyDescent="0.2">
      <c r="B173" s="18"/>
      <c r="C173" s="232" t="s">
        <v>1614</v>
      </c>
      <c r="D173" s="232"/>
      <c r="E173" s="232"/>
      <c r="F173" s="232"/>
      <c r="G173" s="232"/>
      <c r="H173" s="232"/>
      <c r="I173" s="232"/>
      <c r="J173" s="232"/>
      <c r="K173" s="232"/>
      <c r="L173" s="232"/>
      <c r="M173" s="232"/>
      <c r="N173" s="232"/>
      <c r="O173" s="232"/>
      <c r="P173" s="232"/>
      <c r="Q173" s="232"/>
      <c r="R173" s="232"/>
      <c r="S173" s="232"/>
      <c r="T173" s="232"/>
      <c r="U173" s="232"/>
      <c r="V173" s="232"/>
      <c r="W173" s="232"/>
      <c r="X173" s="232"/>
      <c r="Y173" s="232"/>
      <c r="Z173" s="232"/>
      <c r="AA173" s="232"/>
      <c r="AB173" s="232"/>
      <c r="AC173" s="232"/>
      <c r="AD173" s="232"/>
      <c r="AE173" s="232"/>
      <c r="AF173" s="232"/>
      <c r="AG173" s="232"/>
    </row>
    <row r="174" spans="2:33" s="2" customFormat="1" ht="12.75" x14ac:dyDescent="0.2">
      <c r="B174" s="18"/>
      <c r="C174" s="232"/>
      <c r="D174" s="232"/>
      <c r="E174" s="232"/>
      <c r="F174" s="232"/>
      <c r="G174" s="232"/>
      <c r="H174" s="232"/>
      <c r="I174" s="232"/>
      <c r="J174" s="232"/>
      <c r="K174" s="232"/>
      <c r="L174" s="232"/>
      <c r="M174" s="232"/>
      <c r="N174" s="232"/>
      <c r="O174" s="232"/>
      <c r="P174" s="232"/>
      <c r="Q174" s="232"/>
      <c r="R174" s="232"/>
      <c r="S174" s="232"/>
      <c r="T174" s="232"/>
      <c r="U174" s="232"/>
      <c r="V174" s="232"/>
      <c r="W174" s="232"/>
      <c r="X174" s="232"/>
      <c r="Y174" s="232"/>
      <c r="Z174" s="232"/>
      <c r="AA174" s="232"/>
      <c r="AB174" s="232"/>
      <c r="AC174" s="232"/>
      <c r="AD174" s="232"/>
      <c r="AE174" s="232"/>
      <c r="AF174" s="232"/>
      <c r="AG174" s="232"/>
    </row>
    <row r="175" spans="2:33" s="2" customFormat="1" ht="12.75" x14ac:dyDescent="0.2">
      <c r="B175" s="18"/>
      <c r="F175" s="21"/>
      <c r="G175" s="13"/>
      <c r="H175" s="28"/>
      <c r="I175" s="28"/>
      <c r="J175" s="28"/>
    </row>
    <row r="176" spans="2:33" s="2" customFormat="1" ht="12.75" x14ac:dyDescent="0.2">
      <c r="B176" s="18"/>
      <c r="C176" s="2" t="s">
        <v>1600</v>
      </c>
      <c r="F176" s="21"/>
      <c r="G176" s="13"/>
      <c r="H176" s="28"/>
      <c r="I176" s="28"/>
      <c r="J176" s="28"/>
    </row>
    <row r="177" spans="2:33" s="2" customFormat="1" ht="12.75" x14ac:dyDescent="0.2">
      <c r="B177" s="18"/>
      <c r="F177" s="21"/>
      <c r="G177" s="13"/>
      <c r="H177" s="28"/>
      <c r="I177" s="28"/>
      <c r="J177" s="28"/>
    </row>
    <row r="178" spans="2:33" s="2" customFormat="1" ht="12.75" x14ac:dyDescent="0.2">
      <c r="B178" s="18"/>
      <c r="F178" s="21"/>
      <c r="G178" s="13"/>
      <c r="H178" s="28"/>
      <c r="I178" s="28"/>
      <c r="J178" s="28"/>
    </row>
    <row r="179" spans="2:33" s="2" customFormat="1" ht="12.75" x14ac:dyDescent="0.2">
      <c r="B179" s="18"/>
      <c r="F179" s="21"/>
      <c r="G179" s="13"/>
      <c r="H179" s="28"/>
      <c r="I179" s="28"/>
      <c r="J179" s="28"/>
    </row>
    <row r="180" spans="2:33" s="2" customFormat="1" ht="12.75" x14ac:dyDescent="0.2">
      <c r="B180" s="18"/>
      <c r="C180" s="48" t="s">
        <v>1601</v>
      </c>
      <c r="F180" s="21"/>
      <c r="G180" s="13"/>
      <c r="H180" s="28"/>
      <c r="I180" s="28"/>
      <c r="J180" s="28"/>
    </row>
    <row r="181" spans="2:33" s="2" customFormat="1" ht="12.75" x14ac:dyDescent="0.2">
      <c r="B181" s="18"/>
      <c r="C181" s="2" t="s">
        <v>1602</v>
      </c>
      <c r="F181" s="21"/>
      <c r="G181" s="13"/>
      <c r="H181" s="28"/>
      <c r="I181" s="28"/>
      <c r="J181" s="28"/>
    </row>
    <row r="182" spans="2:33" s="2" customFormat="1" ht="12.75" x14ac:dyDescent="0.2">
      <c r="B182" s="18"/>
      <c r="F182" s="21"/>
      <c r="G182" s="13"/>
      <c r="H182" s="28"/>
      <c r="I182" s="28"/>
      <c r="J182" s="28"/>
    </row>
    <row r="183" spans="2:33" s="2" customFormat="1" ht="12.75" x14ac:dyDescent="0.2">
      <c r="B183" s="18"/>
      <c r="C183" s="232" t="s">
        <v>1603</v>
      </c>
      <c r="D183" s="232"/>
      <c r="E183" s="232"/>
      <c r="F183" s="232"/>
      <c r="G183" s="232"/>
      <c r="H183" s="232"/>
      <c r="I183" s="232"/>
      <c r="J183" s="232"/>
      <c r="K183" s="232"/>
      <c r="L183" s="232"/>
      <c r="M183" s="232"/>
      <c r="N183" s="232"/>
      <c r="O183" s="232"/>
      <c r="P183" s="232"/>
      <c r="Q183" s="232"/>
      <c r="R183" s="232"/>
      <c r="S183" s="232"/>
      <c r="T183" s="232"/>
      <c r="U183" s="232"/>
      <c r="V183" s="232"/>
      <c r="W183" s="232"/>
      <c r="X183" s="232"/>
      <c r="Y183" s="232"/>
      <c r="Z183" s="232"/>
      <c r="AA183" s="232"/>
      <c r="AB183" s="232"/>
      <c r="AC183" s="232"/>
      <c r="AD183" s="232"/>
      <c r="AE183" s="232"/>
      <c r="AF183" s="232"/>
      <c r="AG183" s="232"/>
    </row>
    <row r="184" spans="2:33" s="2" customFormat="1" ht="12.75" x14ac:dyDescent="0.2">
      <c r="B184" s="18"/>
      <c r="F184" s="21"/>
      <c r="G184" s="13"/>
      <c r="H184" s="28"/>
      <c r="I184" s="28"/>
      <c r="J184" s="28"/>
    </row>
    <row r="185" spans="2:33" s="2" customFormat="1" ht="15" customHeight="1" x14ac:dyDescent="0.2">
      <c r="C185" s="232" t="s">
        <v>1604</v>
      </c>
      <c r="D185" s="232"/>
      <c r="E185" s="232"/>
      <c r="F185" s="232"/>
      <c r="G185" s="232"/>
      <c r="H185" s="232"/>
      <c r="I185" s="232"/>
      <c r="J185" s="232"/>
      <c r="K185" s="232"/>
      <c r="L185" s="232"/>
      <c r="M185" s="232"/>
      <c r="N185" s="232"/>
      <c r="O185" s="232"/>
      <c r="P185" s="232"/>
      <c r="Q185" s="232"/>
      <c r="R185" s="232"/>
      <c r="S185" s="232"/>
      <c r="T185" s="232"/>
      <c r="U185" s="232"/>
      <c r="V185" s="232"/>
      <c r="W185" s="232"/>
      <c r="X185" s="232"/>
      <c r="Y185" s="232"/>
      <c r="Z185" s="232"/>
      <c r="AA185" s="232"/>
      <c r="AB185" s="232"/>
      <c r="AC185" s="232"/>
      <c r="AD185" s="232"/>
      <c r="AE185" s="232"/>
      <c r="AF185" s="232"/>
      <c r="AG185" s="232"/>
    </row>
    <row r="186" spans="2:33" s="2" customFormat="1" ht="12.75" x14ac:dyDescent="0.2">
      <c r="B186" s="23"/>
      <c r="C186" s="232"/>
      <c r="D186" s="232"/>
      <c r="E186" s="232"/>
      <c r="F186" s="232"/>
      <c r="G186" s="232"/>
      <c r="H186" s="232"/>
      <c r="I186" s="232"/>
      <c r="J186" s="232"/>
      <c r="K186" s="232"/>
      <c r="L186" s="232"/>
      <c r="M186" s="232"/>
      <c r="N186" s="232"/>
      <c r="O186" s="232"/>
      <c r="P186" s="232"/>
      <c r="Q186" s="232"/>
      <c r="R186" s="232"/>
      <c r="S186" s="232"/>
      <c r="T186" s="232"/>
      <c r="U186" s="232"/>
      <c r="V186" s="232"/>
      <c r="W186" s="232"/>
      <c r="X186" s="232"/>
      <c r="Y186" s="232"/>
      <c r="Z186" s="232"/>
      <c r="AA186" s="232"/>
      <c r="AB186" s="232"/>
      <c r="AC186" s="232"/>
      <c r="AD186" s="232"/>
      <c r="AE186" s="232"/>
      <c r="AF186" s="232"/>
      <c r="AG186" s="232"/>
    </row>
    <row r="187" spans="2:33" s="2" customFormat="1" ht="12.75" x14ac:dyDescent="0.2">
      <c r="B187" s="18"/>
      <c r="F187" s="21"/>
      <c r="G187" s="13"/>
      <c r="H187" s="28"/>
      <c r="I187" s="28"/>
      <c r="J187" s="28"/>
    </row>
    <row r="188" spans="2:33" s="2" customFormat="1" ht="12.75" x14ac:dyDescent="0.2">
      <c r="B188" s="18"/>
      <c r="F188" s="21"/>
      <c r="G188" s="13"/>
      <c r="H188" s="28"/>
      <c r="I188" s="28"/>
      <c r="J188" s="28"/>
    </row>
    <row r="189" spans="2:33" s="2" customFormat="1" ht="12.75" x14ac:dyDescent="0.2">
      <c r="B189" s="18"/>
      <c r="F189" s="21"/>
      <c r="G189" s="13"/>
      <c r="H189" s="28"/>
      <c r="I189" s="28"/>
      <c r="J189" s="28"/>
    </row>
    <row r="190" spans="2:33" s="2" customFormat="1" ht="12.75" x14ac:dyDescent="0.2">
      <c r="B190" s="18"/>
      <c r="F190" s="21"/>
      <c r="G190" s="13"/>
      <c r="H190" s="28"/>
      <c r="I190" s="28"/>
      <c r="J190" s="28"/>
    </row>
    <row r="191" spans="2:33" s="2" customFormat="1" ht="12.75" x14ac:dyDescent="0.2">
      <c r="B191" s="18"/>
      <c r="F191" s="21"/>
      <c r="G191" s="13"/>
      <c r="H191" s="28"/>
      <c r="I191" s="28"/>
      <c r="J191" s="28"/>
    </row>
    <row r="192" spans="2:33" s="2" customFormat="1" ht="15" x14ac:dyDescent="0.25">
      <c r="B192" s="4" t="s">
        <v>1544</v>
      </c>
      <c r="F192" s="21"/>
      <c r="G192" s="13"/>
      <c r="H192" s="28"/>
      <c r="I192" s="28"/>
      <c r="J192" s="28"/>
    </row>
    <row r="193" spans="1:33" s="2" customFormat="1" ht="12.75" x14ac:dyDescent="0.2">
      <c r="B193" s="2" t="s">
        <v>1560</v>
      </c>
      <c r="F193" s="21"/>
      <c r="G193" s="13"/>
      <c r="H193" s="28"/>
      <c r="I193" s="28"/>
      <c r="J193" s="28"/>
    </row>
    <row r="194" spans="1:33" s="2" customFormat="1" ht="12.75" x14ac:dyDescent="0.2">
      <c r="F194" s="21"/>
      <c r="G194" s="13"/>
      <c r="H194" s="28"/>
      <c r="I194" s="28"/>
      <c r="J194" s="28"/>
    </row>
    <row r="195" spans="1:33" s="2" customFormat="1" ht="12.75" x14ac:dyDescent="0.2">
      <c r="B195" s="2" t="s">
        <v>1554</v>
      </c>
      <c r="F195" s="21"/>
      <c r="G195" s="13"/>
      <c r="H195" s="28"/>
      <c r="I195" s="28"/>
      <c r="J195" s="28"/>
    </row>
    <row r="196" spans="1:33" x14ac:dyDescent="0.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row>
    <row r="197" spans="1:33" ht="15.75" x14ac:dyDescent="0.3">
      <c r="A197" s="2"/>
      <c r="B197" s="2"/>
      <c r="C197" s="2"/>
      <c r="D197" s="2" t="s">
        <v>1551</v>
      </c>
      <c r="E197" s="13" t="s">
        <v>332</v>
      </c>
      <c r="F197" s="2" t="s">
        <v>1552</v>
      </c>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row>
    <row r="198" spans="1:33" x14ac:dyDescent="0.2">
      <c r="A198" s="2"/>
      <c r="B198" s="2"/>
      <c r="C198" s="2"/>
      <c r="D198" s="2"/>
      <c r="E198" s="13" t="s">
        <v>332</v>
      </c>
      <c r="F198" s="231">
        <f>N119+H165</f>
        <v>55.884768000000001</v>
      </c>
      <c r="G198" s="284"/>
      <c r="H198" s="284"/>
      <c r="I198" s="2" t="s">
        <v>335</v>
      </c>
      <c r="J198" s="2"/>
      <c r="K198" s="2"/>
      <c r="L198" s="2"/>
      <c r="M198" s="2"/>
      <c r="N198" s="2"/>
      <c r="O198" s="2"/>
      <c r="P198" s="2"/>
      <c r="Q198" s="2"/>
      <c r="R198" s="2"/>
      <c r="S198" s="2"/>
      <c r="T198" s="2"/>
      <c r="U198" s="2"/>
      <c r="V198" s="2"/>
      <c r="W198" s="2"/>
      <c r="X198" s="2"/>
      <c r="Y198" s="2"/>
      <c r="Z198" s="2"/>
      <c r="AA198" s="2"/>
      <c r="AB198" s="2"/>
      <c r="AC198" s="2"/>
      <c r="AD198" s="2"/>
      <c r="AE198" s="2"/>
      <c r="AF198" s="2"/>
      <c r="AG198" s="2"/>
    </row>
    <row r="199" spans="1:33" x14ac:dyDescent="0.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row>
    <row r="200" spans="1:33" x14ac:dyDescent="0.2">
      <c r="A200" s="2"/>
      <c r="B200" s="2"/>
      <c r="C200" s="2"/>
      <c r="D200" s="21" t="s">
        <v>1553</v>
      </c>
      <c r="E200" s="13" t="s">
        <v>332</v>
      </c>
      <c r="F200" s="231">
        <f>F198*1.4</f>
        <v>78.238675200000003</v>
      </c>
      <c r="G200" s="284"/>
      <c r="H200" s="284"/>
      <c r="I200" s="2" t="s">
        <v>335</v>
      </c>
      <c r="J200" s="2"/>
      <c r="K200" s="2"/>
      <c r="L200" s="2"/>
      <c r="M200" s="2"/>
      <c r="N200" s="2"/>
      <c r="O200" s="2"/>
      <c r="P200" s="2"/>
      <c r="Q200" s="2"/>
      <c r="R200" s="2"/>
      <c r="S200" s="2"/>
      <c r="T200" s="2"/>
      <c r="U200" s="2"/>
      <c r="V200" s="2"/>
      <c r="W200" s="2"/>
      <c r="X200" s="2"/>
      <c r="Y200" s="2"/>
      <c r="Z200" s="2"/>
      <c r="AA200" s="2"/>
      <c r="AB200" s="2"/>
      <c r="AC200" s="2"/>
      <c r="AD200" s="2"/>
      <c r="AE200" s="2"/>
      <c r="AF200" s="2"/>
      <c r="AG200" s="2"/>
    </row>
    <row r="201" spans="1:33" x14ac:dyDescent="0.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row>
    <row r="202" spans="1:33" x14ac:dyDescent="0.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row>
    <row r="203" spans="1:33" x14ac:dyDescent="0.2">
      <c r="A203" s="2"/>
      <c r="B203" s="2"/>
      <c r="C203" s="2"/>
      <c r="D203" s="2"/>
      <c r="E203" s="2"/>
      <c r="F203" s="2"/>
      <c r="G203" s="2"/>
      <c r="H203" s="2"/>
      <c r="I203" s="2"/>
      <c r="J203" s="2"/>
      <c r="K203" s="2"/>
      <c r="L203" s="2"/>
      <c r="M203" s="2"/>
      <c r="N203" s="2"/>
      <c r="O203" s="2"/>
      <c r="P203" s="2"/>
      <c r="Q203" s="2"/>
      <c r="R203" s="2"/>
      <c r="S203" s="2"/>
      <c r="AC203" s="2"/>
      <c r="AD203" s="2"/>
      <c r="AE203" s="2"/>
      <c r="AF203" s="2"/>
      <c r="AG203" s="2"/>
    </row>
    <row r="204" spans="1:33" ht="15.75" x14ac:dyDescent="0.3">
      <c r="A204" s="2"/>
      <c r="B204" s="2"/>
      <c r="C204" s="91" t="s">
        <v>1605</v>
      </c>
      <c r="D204" s="2"/>
      <c r="E204" s="2"/>
      <c r="F204" s="2"/>
      <c r="G204" s="2"/>
      <c r="H204" s="2"/>
      <c r="I204" s="2"/>
      <c r="J204" s="2"/>
      <c r="K204" s="2"/>
      <c r="L204" s="2"/>
      <c r="M204" s="2"/>
      <c r="N204" s="2"/>
      <c r="O204" s="2"/>
      <c r="P204" s="2"/>
      <c r="Q204" s="2"/>
      <c r="R204" s="2"/>
      <c r="U204" s="231">
        <f>'8. Pile Design'!H132</f>
        <v>94.563519749129981</v>
      </c>
      <c r="V204" s="231"/>
      <c r="W204" s="231"/>
      <c r="X204" s="2" t="s">
        <v>335</v>
      </c>
      <c r="Y204" s="2" t="s">
        <v>1606</v>
      </c>
      <c r="Z204" s="2"/>
      <c r="AA204" s="2"/>
      <c r="AB204" s="2"/>
      <c r="AD204" s="2"/>
      <c r="AE204" s="2"/>
      <c r="AF204" s="2"/>
      <c r="AG204" s="2"/>
    </row>
    <row r="205" spans="1:33" x14ac:dyDescent="0.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row>
    <row r="206" spans="1:33" x14ac:dyDescent="0.2">
      <c r="A206" s="2"/>
      <c r="B206" s="2"/>
      <c r="C206" s="2" t="s">
        <v>1610</v>
      </c>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row>
    <row r="207" spans="1:33" x14ac:dyDescent="0.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row>
    <row r="208" spans="1:33" x14ac:dyDescent="0.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row>
    <row r="209" spans="1:33" x14ac:dyDescent="0.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row>
    <row r="210" spans="1:33" x14ac:dyDescent="0.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row>
    <row r="211" spans="1:33" x14ac:dyDescent="0.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row>
    <row r="212" spans="1:33" x14ac:dyDescent="0.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row>
    <row r="213" spans="1:33" x14ac:dyDescent="0.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row>
    <row r="214" spans="1:33" x14ac:dyDescent="0.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row>
    <row r="215" spans="1:33" x14ac:dyDescent="0.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row>
    <row r="216" spans="1:33" x14ac:dyDescent="0.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row>
    <row r="217" spans="1:33" x14ac:dyDescent="0.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row>
    <row r="218" spans="1:33" x14ac:dyDescent="0.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row>
    <row r="219" spans="1:33" x14ac:dyDescent="0.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row>
    <row r="220" spans="1:33" x14ac:dyDescent="0.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row>
    <row r="221" spans="1:33" x14ac:dyDescent="0.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row>
    <row r="222" spans="1:33" x14ac:dyDescent="0.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row>
    <row r="223" spans="1:33" x14ac:dyDescent="0.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row>
    <row r="224" spans="1:33" x14ac:dyDescent="0.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row>
    <row r="225" spans="1:33" ht="15" x14ac:dyDescent="0.25">
      <c r="A225" s="2"/>
      <c r="B225" s="4" t="s">
        <v>1561</v>
      </c>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row>
    <row r="226" spans="1:33" x14ac:dyDescent="0.2">
      <c r="A226" s="2"/>
      <c r="B226" s="232" t="s">
        <v>1611</v>
      </c>
      <c r="C226" s="232"/>
      <c r="D226" s="232"/>
      <c r="E226" s="232"/>
      <c r="F226" s="232"/>
      <c r="G226" s="232"/>
      <c r="H226" s="232"/>
      <c r="I226" s="232"/>
      <c r="J226" s="232"/>
      <c r="K226" s="232"/>
      <c r="L226" s="232"/>
      <c r="M226" s="232"/>
      <c r="N226" s="232"/>
      <c r="O226" s="232"/>
      <c r="P226" s="232"/>
      <c r="Q226" s="232"/>
      <c r="R226" s="232"/>
      <c r="S226" s="232"/>
      <c r="T226" s="232"/>
      <c r="U226" s="232"/>
      <c r="V226" s="232"/>
      <c r="W226" s="232"/>
      <c r="X226" s="232"/>
      <c r="Y226" s="232"/>
      <c r="Z226" s="232"/>
      <c r="AA226" s="232"/>
      <c r="AB226" s="232"/>
      <c r="AC226" s="232"/>
      <c r="AD226" s="232"/>
      <c r="AE226" s="232"/>
      <c r="AF226" s="232"/>
      <c r="AG226" s="232"/>
    </row>
    <row r="227" spans="1:33" x14ac:dyDescent="0.2">
      <c r="A227" s="2"/>
      <c r="B227" s="232"/>
      <c r="C227" s="232"/>
      <c r="D227" s="232"/>
      <c r="E227" s="232"/>
      <c r="F227" s="232"/>
      <c r="G227" s="232"/>
      <c r="H227" s="232"/>
      <c r="I227" s="232"/>
      <c r="J227" s="232"/>
      <c r="K227" s="232"/>
      <c r="L227" s="232"/>
      <c r="M227" s="232"/>
      <c r="N227" s="232"/>
      <c r="O227" s="232"/>
      <c r="P227" s="232"/>
      <c r="Q227" s="232"/>
      <c r="R227" s="232"/>
      <c r="S227" s="232"/>
      <c r="T227" s="232"/>
      <c r="U227" s="232"/>
      <c r="V227" s="232"/>
      <c r="W227" s="232"/>
      <c r="X227" s="232"/>
      <c r="Y227" s="232"/>
      <c r="Z227" s="232"/>
      <c r="AA227" s="232"/>
      <c r="AB227" s="232"/>
      <c r="AC227" s="232"/>
      <c r="AD227" s="232"/>
      <c r="AE227" s="232"/>
      <c r="AF227" s="232"/>
      <c r="AG227" s="232"/>
    </row>
    <row r="228" spans="1:33" x14ac:dyDescent="0.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row>
    <row r="229" spans="1:33" ht="15.75" x14ac:dyDescent="0.3">
      <c r="A229" s="2"/>
      <c r="B229" s="2"/>
      <c r="C229" s="2"/>
      <c r="D229" s="33" t="s">
        <v>553</v>
      </c>
      <c r="E229" s="12" t="s">
        <v>332</v>
      </c>
      <c r="F229" s="348">
        <f>'8. Pile Design'!H187</f>
        <v>0.219</v>
      </c>
      <c r="G229" s="348"/>
      <c r="H229" s="348"/>
      <c r="I229" s="34" t="s">
        <v>340</v>
      </c>
      <c r="J229" s="2"/>
      <c r="K229" s="2" t="s">
        <v>641</v>
      </c>
      <c r="L229" s="2"/>
      <c r="M229" s="2"/>
      <c r="N229" s="2"/>
      <c r="O229" s="2"/>
      <c r="P229" s="2"/>
      <c r="Q229" s="2"/>
      <c r="R229" s="2"/>
      <c r="S229" s="2"/>
      <c r="T229" s="2"/>
      <c r="U229" s="2"/>
      <c r="V229" s="2"/>
      <c r="W229" s="2"/>
      <c r="X229" s="2"/>
      <c r="Y229" s="2"/>
      <c r="Z229" s="2"/>
      <c r="AA229" s="2"/>
      <c r="AB229" s="2"/>
      <c r="AC229" s="2"/>
      <c r="AD229" s="2"/>
      <c r="AE229" s="2"/>
      <c r="AF229" s="2"/>
      <c r="AG229" s="2"/>
    </row>
    <row r="230" spans="1:33" ht="15.75" x14ac:dyDescent="0.3">
      <c r="A230" s="2"/>
      <c r="B230" s="2"/>
      <c r="C230" s="2"/>
      <c r="D230" s="33" t="s">
        <v>811</v>
      </c>
      <c r="E230" s="12" t="s">
        <v>332</v>
      </c>
      <c r="F230" s="348">
        <f>'8. Pile Design'!H188</f>
        <v>12</v>
      </c>
      <c r="G230" s="348"/>
      <c r="H230" s="348"/>
      <c r="I230" s="34" t="s">
        <v>340</v>
      </c>
      <c r="J230" s="2"/>
      <c r="K230" s="2" t="s">
        <v>1564</v>
      </c>
      <c r="L230" s="2"/>
      <c r="M230" s="2"/>
      <c r="N230" s="2"/>
      <c r="O230" s="2"/>
      <c r="P230" s="2"/>
      <c r="Q230" s="2"/>
      <c r="R230" s="2"/>
      <c r="S230" s="2"/>
      <c r="T230" s="2"/>
      <c r="U230" s="2"/>
      <c r="V230" s="2"/>
      <c r="W230" s="2"/>
      <c r="X230" s="2"/>
      <c r="Y230" s="2"/>
      <c r="Z230" s="2"/>
      <c r="AA230" s="2"/>
      <c r="AB230" s="2"/>
      <c r="AC230" s="2"/>
      <c r="AD230" s="2"/>
      <c r="AE230" s="2"/>
      <c r="AF230" s="2"/>
      <c r="AG230" s="2"/>
    </row>
    <row r="231" spans="1:33" x14ac:dyDescent="0.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row>
    <row r="232" spans="1:33" x14ac:dyDescent="0.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row>
    <row r="233" spans="1:33" x14ac:dyDescent="0.2">
      <c r="A233" s="2"/>
      <c r="B233" s="2"/>
      <c r="C233" s="16" t="s">
        <v>1569</v>
      </c>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row>
    <row r="234" spans="1:33" ht="15.75" x14ac:dyDescent="0.3">
      <c r="A234" s="2"/>
      <c r="B234" s="2"/>
      <c r="C234" s="2"/>
      <c r="D234" s="33" t="s">
        <v>381</v>
      </c>
      <c r="E234" s="12" t="s">
        <v>332</v>
      </c>
      <c r="F234" s="373">
        <f>'8. Pile Design'!J252</f>
        <v>214.62434239492654</v>
      </c>
      <c r="G234" s="373"/>
      <c r="H234" s="373"/>
      <c r="I234" s="34" t="s">
        <v>335</v>
      </c>
      <c r="J234" s="2"/>
      <c r="K234" s="2" t="s">
        <v>1563</v>
      </c>
      <c r="L234" s="2"/>
      <c r="M234" s="2"/>
      <c r="N234" s="2"/>
      <c r="O234" s="2"/>
      <c r="P234" s="2"/>
      <c r="Q234" s="2"/>
      <c r="R234" s="2"/>
      <c r="S234" s="2"/>
      <c r="T234" s="2"/>
      <c r="U234" s="2"/>
      <c r="V234" s="2"/>
      <c r="W234" s="2"/>
      <c r="X234" s="2"/>
      <c r="Y234" s="2"/>
      <c r="Z234" s="2"/>
      <c r="AA234" s="2"/>
      <c r="AB234" s="2"/>
      <c r="AC234" s="2"/>
      <c r="AD234" s="2"/>
      <c r="AE234" s="2"/>
      <c r="AF234" s="2"/>
      <c r="AG234" s="2"/>
    </row>
    <row r="235" spans="1:33" ht="15.75" x14ac:dyDescent="0.3">
      <c r="A235" s="2"/>
      <c r="B235" s="2"/>
      <c r="C235" s="2"/>
      <c r="D235" s="21" t="s">
        <v>1562</v>
      </c>
      <c r="E235" s="12" t="s">
        <v>332</v>
      </c>
      <c r="F235" s="374">
        <f>F200/F234</f>
        <v>0.36453775152882878</v>
      </c>
      <c r="G235" s="374"/>
      <c r="H235" s="374"/>
      <c r="I235" s="2" t="s">
        <v>1615</v>
      </c>
      <c r="J235" s="2"/>
      <c r="K235" s="2"/>
      <c r="L235" s="2"/>
      <c r="M235" s="2"/>
      <c r="N235" s="2"/>
      <c r="O235" s="2"/>
      <c r="P235" s="2"/>
      <c r="Q235" s="2"/>
      <c r="R235" s="2"/>
      <c r="S235" s="2"/>
      <c r="T235" s="2"/>
      <c r="U235" s="2"/>
      <c r="V235" s="2"/>
      <c r="W235" s="2"/>
      <c r="X235" s="2"/>
      <c r="Y235" s="2"/>
      <c r="Z235" s="2"/>
      <c r="AA235" s="2"/>
      <c r="AB235" s="2"/>
      <c r="AC235" s="2"/>
      <c r="AD235" s="2"/>
      <c r="AE235" s="2"/>
      <c r="AF235" s="2"/>
      <c r="AG235" s="2"/>
    </row>
    <row r="236" spans="1:33" x14ac:dyDescent="0.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row>
    <row r="237" spans="1:33" x14ac:dyDescent="0.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row>
    <row r="238" spans="1:33" x14ac:dyDescent="0.2">
      <c r="A238" s="2"/>
      <c r="B238" s="2"/>
      <c r="C238" s="16" t="s">
        <v>1571</v>
      </c>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row>
    <row r="239" spans="1:33" x14ac:dyDescent="0.2">
      <c r="A239" s="2"/>
      <c r="B239" s="2"/>
      <c r="C239" s="2" t="s">
        <v>1570</v>
      </c>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row>
    <row r="240" spans="1:33" x14ac:dyDescent="0.2">
      <c r="A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row>
    <row r="241" spans="1:33" x14ac:dyDescent="0.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row>
    <row r="242" spans="1:33" x14ac:dyDescent="0.2">
      <c r="A242" s="2"/>
      <c r="B242" s="2"/>
      <c r="C242" s="16" t="s">
        <v>1572</v>
      </c>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row>
    <row r="243" spans="1:33" x14ac:dyDescent="0.2">
      <c r="A243" s="2"/>
      <c r="B243" s="2"/>
      <c r="C243" s="232" t="s">
        <v>1573</v>
      </c>
      <c r="D243" s="232"/>
      <c r="E243" s="232"/>
      <c r="F243" s="232"/>
      <c r="G243" s="232"/>
      <c r="H243" s="232"/>
      <c r="I243" s="232"/>
      <c r="J243" s="232"/>
      <c r="K243" s="232"/>
      <c r="L243" s="232"/>
      <c r="M243" s="232"/>
      <c r="N243" s="232"/>
      <c r="O243" s="232"/>
      <c r="P243" s="232"/>
      <c r="Q243" s="232"/>
      <c r="R243" s="232"/>
      <c r="S243" s="232"/>
      <c r="T243" s="232"/>
      <c r="U243" s="232"/>
      <c r="V243" s="232"/>
      <c r="W243" s="232"/>
      <c r="X243" s="232"/>
      <c r="Y243" s="232"/>
      <c r="Z243" s="232"/>
      <c r="AA243" s="232"/>
      <c r="AB243" s="232"/>
      <c r="AC243" s="232"/>
      <c r="AD243" s="232"/>
      <c r="AE243" s="232"/>
      <c r="AF243" s="232"/>
      <c r="AG243" s="232"/>
    </row>
    <row r="244" spans="1:33" x14ac:dyDescent="0.2">
      <c r="A244" s="2"/>
      <c r="B244" s="2"/>
      <c r="C244" s="232"/>
      <c r="D244" s="232"/>
      <c r="E244" s="232"/>
      <c r="F244" s="232"/>
      <c r="G244" s="232"/>
      <c r="H244" s="232"/>
      <c r="I244" s="232"/>
      <c r="J244" s="232"/>
      <c r="K244" s="232"/>
      <c r="L244" s="232"/>
      <c r="M244" s="232"/>
      <c r="N244" s="232"/>
      <c r="O244" s="232"/>
      <c r="P244" s="232"/>
      <c r="Q244" s="232"/>
      <c r="R244" s="232"/>
      <c r="S244" s="232"/>
      <c r="T244" s="232"/>
      <c r="U244" s="232"/>
      <c r="V244" s="232"/>
      <c r="W244" s="232"/>
      <c r="X244" s="232"/>
      <c r="Y244" s="232"/>
      <c r="Z244" s="232"/>
      <c r="AA244" s="232"/>
      <c r="AB244" s="232"/>
      <c r="AC244" s="232"/>
      <c r="AD244" s="232"/>
      <c r="AE244" s="232"/>
      <c r="AF244" s="232"/>
      <c r="AG244" s="232"/>
    </row>
    <row r="245" spans="1:33" x14ac:dyDescent="0.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row>
    <row r="246" spans="1:33" x14ac:dyDescent="0.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row>
    <row r="247" spans="1:33" x14ac:dyDescent="0.2">
      <c r="A247" s="2"/>
      <c r="B247" s="2"/>
      <c r="C247" s="16" t="s">
        <v>1595</v>
      </c>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row>
    <row r="248" spans="1:33" x14ac:dyDescent="0.2">
      <c r="A248" s="2"/>
      <c r="B248" s="2"/>
      <c r="C248" s="2" t="s">
        <v>1574</v>
      </c>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row>
    <row r="249" spans="1:33" x14ac:dyDescent="0.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row>
    <row r="250" spans="1:33" x14ac:dyDescent="0.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row>
    <row r="251" spans="1:33" x14ac:dyDescent="0.2">
      <c r="A251" s="2"/>
      <c r="C251" s="16" t="s">
        <v>1575</v>
      </c>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row>
    <row r="252" spans="1:33" x14ac:dyDescent="0.2">
      <c r="A252" s="2"/>
      <c r="B252" s="2"/>
      <c r="C252" s="232" t="s">
        <v>1576</v>
      </c>
      <c r="D252" s="232"/>
      <c r="E252" s="232"/>
      <c r="F252" s="232"/>
      <c r="G252" s="232"/>
      <c r="H252" s="232"/>
      <c r="I252" s="232"/>
      <c r="J252" s="232"/>
      <c r="K252" s="232"/>
      <c r="L252" s="232"/>
      <c r="M252" s="232"/>
      <c r="N252" s="232"/>
      <c r="O252" s="232"/>
      <c r="P252" s="232"/>
      <c r="Q252" s="232"/>
      <c r="R252" s="232"/>
      <c r="S252" s="232"/>
      <c r="T252" s="232"/>
      <c r="U252" s="232"/>
      <c r="V252" s="232"/>
      <c r="W252" s="232"/>
      <c r="X252" s="232"/>
      <c r="Y252" s="232"/>
      <c r="Z252" s="232"/>
      <c r="AA252" s="232"/>
      <c r="AB252" s="232"/>
      <c r="AC252" s="232"/>
      <c r="AD252" s="232"/>
      <c r="AE252" s="232"/>
      <c r="AF252" s="232"/>
      <c r="AG252" s="232"/>
    </row>
    <row r="253" spans="1:33" x14ac:dyDescent="0.2">
      <c r="A253" s="2"/>
      <c r="B253" s="2"/>
      <c r="C253" s="232"/>
      <c r="D253" s="232"/>
      <c r="E253" s="232"/>
      <c r="F253" s="232"/>
      <c r="G253" s="232"/>
      <c r="H253" s="232"/>
      <c r="I253" s="232"/>
      <c r="J253" s="232"/>
      <c r="K253" s="232"/>
      <c r="L253" s="232"/>
      <c r="M253" s="232"/>
      <c r="N253" s="232"/>
      <c r="O253" s="232"/>
      <c r="P253" s="232"/>
      <c r="Q253" s="232"/>
      <c r="R253" s="232"/>
      <c r="S253" s="232"/>
      <c r="T253" s="232"/>
      <c r="U253" s="232"/>
      <c r="V253" s="232"/>
      <c r="W253" s="232"/>
      <c r="X253" s="232"/>
      <c r="Y253" s="232"/>
      <c r="Z253" s="232"/>
      <c r="AA253" s="232"/>
      <c r="AB253" s="232"/>
      <c r="AC253" s="232"/>
      <c r="AD253" s="232"/>
      <c r="AE253" s="232"/>
      <c r="AF253" s="232"/>
      <c r="AG253" s="232"/>
    </row>
    <row r="254" spans="1:33" x14ac:dyDescent="0.2">
      <c r="A254" s="2"/>
      <c r="B254" s="2"/>
      <c r="C254" s="2" t="s">
        <v>1577</v>
      </c>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row>
    <row r="255" spans="1:33" x14ac:dyDescent="0.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row>
    <row r="256" spans="1:33" x14ac:dyDescent="0.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row>
    <row r="257" spans="1:33" x14ac:dyDescent="0.2">
      <c r="A257" s="2"/>
      <c r="B257" s="2"/>
      <c r="C257" s="16" t="s">
        <v>1578</v>
      </c>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row>
    <row r="258" spans="1:33" x14ac:dyDescent="0.2">
      <c r="A258" s="2"/>
      <c r="B258" s="2"/>
      <c r="C258" s="2" t="s">
        <v>1579</v>
      </c>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row>
    <row r="259" spans="1:33" x14ac:dyDescent="0.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row>
    <row r="260" spans="1:33" ht="15.75" x14ac:dyDescent="0.3">
      <c r="A260" s="2"/>
      <c r="B260" s="2"/>
      <c r="C260" s="2"/>
      <c r="D260" s="33" t="s">
        <v>382</v>
      </c>
      <c r="E260" s="12" t="s">
        <v>332</v>
      </c>
      <c r="F260" s="373">
        <f>'8. Pile Design'!R259</f>
        <v>215</v>
      </c>
      <c r="G260" s="373"/>
      <c r="H260" s="373"/>
      <c r="I260" s="34" t="s">
        <v>335</v>
      </c>
      <c r="J260" s="2"/>
      <c r="K260" s="2"/>
      <c r="L260" s="2" t="s">
        <v>1566</v>
      </c>
      <c r="M260" s="2"/>
      <c r="N260" s="2"/>
      <c r="O260" s="2"/>
      <c r="P260" s="2"/>
      <c r="Q260" s="2"/>
      <c r="R260" s="2"/>
      <c r="S260" s="2"/>
      <c r="T260" s="2"/>
      <c r="U260" s="2"/>
      <c r="V260" s="2"/>
      <c r="W260" s="2"/>
      <c r="X260" s="2"/>
      <c r="Y260" s="2"/>
      <c r="Z260" s="2"/>
      <c r="AA260" s="2"/>
      <c r="AB260" s="2"/>
      <c r="AC260" s="2"/>
      <c r="AD260" s="2"/>
      <c r="AE260" s="2"/>
      <c r="AF260" s="2"/>
      <c r="AG260" s="2"/>
    </row>
    <row r="261" spans="1:33" ht="15.75" x14ac:dyDescent="0.3">
      <c r="A261" s="2"/>
      <c r="B261" s="2"/>
      <c r="C261" s="2"/>
      <c r="D261" s="33" t="s">
        <v>888</v>
      </c>
      <c r="E261" s="12" t="s">
        <v>332</v>
      </c>
      <c r="F261" s="373">
        <f>'8. Pile Design'!R275</f>
        <v>10</v>
      </c>
      <c r="G261" s="373"/>
      <c r="H261" s="373"/>
      <c r="I261" s="34" t="s">
        <v>335</v>
      </c>
      <c r="J261" s="2"/>
      <c r="K261" s="2"/>
      <c r="L261" s="2" t="s">
        <v>1567</v>
      </c>
      <c r="M261" s="2"/>
      <c r="N261" s="2"/>
      <c r="O261" s="2"/>
      <c r="P261" s="2"/>
      <c r="Q261" s="2"/>
      <c r="R261" s="2"/>
      <c r="S261" s="2"/>
      <c r="T261" s="2"/>
      <c r="U261" s="2"/>
      <c r="V261" s="2"/>
      <c r="W261" s="2"/>
      <c r="X261" s="2"/>
      <c r="Y261" s="2"/>
      <c r="Z261" s="2"/>
      <c r="AA261" s="2"/>
      <c r="AB261" s="2"/>
      <c r="AC261" s="2"/>
      <c r="AD261" s="2"/>
      <c r="AE261" s="2"/>
      <c r="AF261" s="2"/>
      <c r="AG261" s="2"/>
    </row>
    <row r="262" spans="1:33" ht="15.75" x14ac:dyDescent="0.3">
      <c r="A262" s="2"/>
      <c r="B262" s="2"/>
      <c r="C262" s="2"/>
      <c r="D262" s="33" t="s">
        <v>1565</v>
      </c>
      <c r="E262" s="12" t="s">
        <v>332</v>
      </c>
      <c r="F262" s="373">
        <f>'8. Pile Design'!N340</f>
        <v>185</v>
      </c>
      <c r="G262" s="373"/>
      <c r="H262" s="373"/>
      <c r="I262" s="34" t="s">
        <v>335</v>
      </c>
      <c r="J262" s="2"/>
      <c r="K262" s="2"/>
      <c r="L262" s="232" t="s">
        <v>1568</v>
      </c>
      <c r="M262" s="232"/>
      <c r="N262" s="232"/>
      <c r="O262" s="232"/>
      <c r="P262" s="232"/>
      <c r="Q262" s="232"/>
      <c r="R262" s="232"/>
      <c r="S262" s="232"/>
      <c r="T262" s="232"/>
      <c r="U262" s="232"/>
      <c r="V262" s="232"/>
      <c r="W262" s="232"/>
      <c r="X262" s="232"/>
      <c r="Y262" s="232"/>
      <c r="Z262" s="232"/>
      <c r="AA262" s="232"/>
      <c r="AB262" s="232"/>
      <c r="AC262" s="232"/>
      <c r="AD262" s="232"/>
      <c r="AE262" s="232"/>
      <c r="AF262" s="232"/>
      <c r="AG262" s="232"/>
    </row>
    <row r="263" spans="1:33" x14ac:dyDescent="0.2">
      <c r="A263" s="2"/>
      <c r="B263" s="2"/>
      <c r="C263" s="2"/>
      <c r="D263" s="2"/>
      <c r="E263" s="2"/>
      <c r="F263" s="2"/>
      <c r="G263" s="2"/>
      <c r="H263" s="2"/>
      <c r="I263" s="2"/>
      <c r="J263" s="2"/>
      <c r="K263" s="2"/>
      <c r="L263" s="232"/>
      <c r="M263" s="232"/>
      <c r="N263" s="232"/>
      <c r="O263" s="232"/>
      <c r="P263" s="232"/>
      <c r="Q263" s="232"/>
      <c r="R263" s="232"/>
      <c r="S263" s="232"/>
      <c r="T263" s="232"/>
      <c r="U263" s="232"/>
      <c r="V263" s="232"/>
      <c r="W263" s="232"/>
      <c r="X263" s="232"/>
      <c r="Y263" s="232"/>
      <c r="Z263" s="232"/>
      <c r="AA263" s="232"/>
      <c r="AB263" s="232"/>
      <c r="AC263" s="232"/>
      <c r="AD263" s="232"/>
      <c r="AE263" s="232"/>
      <c r="AF263" s="232"/>
      <c r="AG263" s="232"/>
    </row>
    <row r="264" spans="1:33" x14ac:dyDescent="0.2">
      <c r="A264" s="2"/>
      <c r="B264" s="2"/>
      <c r="C264" s="2"/>
      <c r="D264" s="2"/>
      <c r="E264" s="2"/>
      <c r="F264" s="2"/>
      <c r="G264" s="2"/>
      <c r="H264" s="2"/>
      <c r="I264" s="2"/>
      <c r="J264" s="2"/>
      <c r="K264" s="2"/>
      <c r="L264" s="14"/>
      <c r="M264" s="14"/>
      <c r="N264" s="14"/>
      <c r="O264" s="14"/>
      <c r="P264" s="14"/>
      <c r="Q264" s="14"/>
      <c r="R264" s="14"/>
      <c r="S264" s="14"/>
      <c r="T264" s="14"/>
      <c r="U264" s="14"/>
      <c r="V264" s="14"/>
      <c r="W264" s="14"/>
      <c r="X264" s="14"/>
      <c r="Y264" s="14"/>
      <c r="Z264" s="14"/>
      <c r="AA264" s="14"/>
      <c r="AB264" s="14"/>
      <c r="AC264" s="14"/>
      <c r="AD264" s="14"/>
      <c r="AE264" s="14"/>
      <c r="AF264" s="14"/>
      <c r="AG264" s="14"/>
    </row>
    <row r="265" spans="1:33" x14ac:dyDescent="0.2">
      <c r="A265" s="2"/>
      <c r="B265" s="2"/>
      <c r="C265" s="2"/>
      <c r="D265" s="2"/>
      <c r="E265" s="2"/>
      <c r="F265" s="2"/>
      <c r="G265" s="2"/>
      <c r="H265" s="2"/>
      <c r="I265" s="2"/>
      <c r="J265" s="2"/>
      <c r="K265" s="2"/>
      <c r="L265" s="14"/>
      <c r="M265" s="14"/>
      <c r="N265" s="14"/>
      <c r="O265" s="14"/>
      <c r="P265" s="14"/>
      <c r="Q265" s="14"/>
      <c r="R265" s="14"/>
      <c r="S265" s="14"/>
      <c r="T265" s="14"/>
      <c r="U265" s="14"/>
      <c r="V265" s="14"/>
      <c r="W265" s="14"/>
      <c r="X265" s="14"/>
      <c r="Y265" s="14"/>
      <c r="Z265" s="14"/>
      <c r="AA265" s="14"/>
      <c r="AB265" s="14"/>
      <c r="AC265" s="14"/>
      <c r="AD265" s="14"/>
      <c r="AE265" s="14"/>
      <c r="AF265" s="14"/>
      <c r="AG265" s="14"/>
    </row>
    <row r="266" spans="1:33" x14ac:dyDescent="0.2">
      <c r="A266" s="2"/>
      <c r="B266" s="2"/>
      <c r="C266" s="2"/>
      <c r="D266" s="2"/>
      <c r="E266" s="2"/>
      <c r="F266" s="2"/>
      <c r="G266" s="2"/>
      <c r="H266" s="2"/>
      <c r="I266" s="2"/>
      <c r="J266" s="2"/>
      <c r="K266" s="2"/>
      <c r="L266" s="14"/>
      <c r="M266" s="14"/>
      <c r="N266" s="14"/>
      <c r="O266" s="14"/>
      <c r="P266" s="14"/>
      <c r="Q266" s="14"/>
      <c r="R266" s="14"/>
      <c r="S266" s="14"/>
      <c r="T266" s="14"/>
      <c r="U266" s="14"/>
      <c r="V266" s="14"/>
      <c r="W266" s="14"/>
      <c r="X266" s="14"/>
      <c r="Y266" s="14"/>
      <c r="Z266" s="14"/>
      <c r="AA266" s="14"/>
      <c r="AB266" s="14"/>
      <c r="AC266" s="14"/>
      <c r="AD266" s="14"/>
      <c r="AE266" s="14"/>
      <c r="AF266" s="14"/>
      <c r="AG266" s="14"/>
    </row>
    <row r="267" spans="1:33" x14ac:dyDescent="0.2">
      <c r="A267" s="2"/>
      <c r="B267" s="2"/>
      <c r="C267" s="2"/>
      <c r="D267" s="2"/>
      <c r="E267" s="2"/>
      <c r="F267" s="2"/>
      <c r="G267" s="2"/>
      <c r="H267" s="2"/>
      <c r="I267" s="2"/>
      <c r="J267" s="2"/>
      <c r="K267" s="2"/>
      <c r="L267" s="14"/>
      <c r="M267" s="14"/>
      <c r="N267" s="14"/>
      <c r="O267" s="14"/>
      <c r="P267" s="14"/>
      <c r="Q267" s="14"/>
      <c r="R267" s="14"/>
      <c r="S267" s="14"/>
      <c r="T267" s="14"/>
      <c r="U267" s="14"/>
      <c r="V267" s="14"/>
      <c r="W267" s="14"/>
      <c r="X267" s="14"/>
      <c r="Y267" s="14"/>
      <c r="Z267" s="14"/>
      <c r="AA267" s="14"/>
      <c r="AB267" s="14"/>
      <c r="AC267" s="14"/>
      <c r="AD267" s="14"/>
      <c r="AE267" s="14"/>
      <c r="AF267" s="14"/>
      <c r="AG267" s="14"/>
    </row>
    <row r="268" spans="1:33" x14ac:dyDescent="0.2">
      <c r="A268" s="2"/>
      <c r="B268" s="2"/>
      <c r="C268" s="2"/>
      <c r="D268" s="2"/>
      <c r="E268" s="2"/>
      <c r="F268" s="2"/>
      <c r="G268" s="2"/>
      <c r="H268" s="2"/>
      <c r="I268" s="2"/>
      <c r="J268" s="2"/>
      <c r="K268" s="2"/>
      <c r="L268" s="14"/>
      <c r="M268" s="14"/>
      <c r="N268" s="14"/>
      <c r="O268" s="14"/>
      <c r="P268" s="14"/>
      <c r="Q268" s="14"/>
      <c r="R268" s="14"/>
      <c r="S268" s="14"/>
      <c r="T268" s="14"/>
      <c r="U268" s="14"/>
      <c r="V268" s="14"/>
      <c r="W268" s="14"/>
      <c r="X268" s="14"/>
      <c r="Y268" s="14"/>
      <c r="Z268" s="14"/>
      <c r="AA268" s="14"/>
      <c r="AB268" s="14"/>
      <c r="AC268" s="14"/>
      <c r="AD268" s="14"/>
      <c r="AE268" s="14"/>
      <c r="AF268" s="14"/>
      <c r="AG268" s="14"/>
    </row>
    <row r="269" spans="1:33" x14ac:dyDescent="0.2">
      <c r="A269" s="2"/>
      <c r="B269" s="2"/>
      <c r="C269" s="2"/>
      <c r="D269" s="2"/>
      <c r="E269" s="2"/>
      <c r="F269" s="2"/>
      <c r="G269" s="2"/>
      <c r="H269" s="2"/>
      <c r="I269" s="2"/>
      <c r="J269" s="2"/>
      <c r="K269" s="2"/>
      <c r="L269" s="14"/>
      <c r="M269" s="14"/>
      <c r="N269" s="14"/>
      <c r="O269" s="14"/>
      <c r="P269" s="14"/>
      <c r="Q269" s="14"/>
      <c r="R269" s="14"/>
      <c r="S269" s="14"/>
      <c r="T269" s="14"/>
      <c r="U269" s="14"/>
      <c r="V269" s="14"/>
      <c r="W269" s="14"/>
      <c r="X269" s="14"/>
      <c r="Y269" s="14"/>
      <c r="Z269" s="14"/>
      <c r="AA269" s="14"/>
      <c r="AB269" s="14"/>
      <c r="AC269" s="14"/>
      <c r="AD269" s="14"/>
      <c r="AE269" s="14"/>
      <c r="AF269" s="14"/>
      <c r="AG269" s="14"/>
    </row>
    <row r="270" spans="1:33" x14ac:dyDescent="0.2">
      <c r="A270" s="2"/>
      <c r="B270" s="2"/>
      <c r="C270" s="2"/>
      <c r="D270" s="2"/>
      <c r="E270" s="2"/>
      <c r="F270" s="2"/>
      <c r="G270" s="2"/>
      <c r="H270" s="2"/>
      <c r="I270" s="2"/>
      <c r="J270" s="2"/>
      <c r="K270" s="2"/>
      <c r="L270" s="14"/>
      <c r="M270" s="14"/>
      <c r="N270" s="14"/>
      <c r="O270" s="14"/>
      <c r="P270" s="14"/>
      <c r="Q270" s="14"/>
      <c r="R270" s="14"/>
      <c r="S270" s="14"/>
      <c r="T270" s="14"/>
      <c r="U270" s="14"/>
      <c r="V270" s="14"/>
      <c r="W270" s="14"/>
      <c r="X270" s="14"/>
      <c r="Y270" s="14"/>
      <c r="Z270" s="14"/>
      <c r="AA270" s="14"/>
      <c r="AB270" s="14"/>
      <c r="AC270" s="14"/>
      <c r="AD270" s="14"/>
      <c r="AE270" s="14"/>
      <c r="AF270" s="14"/>
      <c r="AG270" s="14"/>
    </row>
    <row r="271" spans="1:33" x14ac:dyDescent="0.2">
      <c r="A271" s="2"/>
      <c r="B271" s="2"/>
      <c r="C271" s="2"/>
      <c r="D271" s="2"/>
      <c r="E271" s="2"/>
      <c r="F271" s="2"/>
      <c r="G271" s="2"/>
      <c r="H271" s="2"/>
      <c r="I271" s="2"/>
      <c r="J271" s="2"/>
      <c r="K271" s="2"/>
      <c r="L271" s="14"/>
      <c r="M271" s="14"/>
      <c r="N271" s="14"/>
      <c r="O271" s="14"/>
      <c r="P271" s="14"/>
      <c r="Q271" s="14"/>
      <c r="R271" s="14"/>
      <c r="S271" s="14"/>
      <c r="T271" s="14"/>
      <c r="U271" s="14"/>
      <c r="V271" s="14"/>
      <c r="W271" s="14"/>
      <c r="X271" s="14"/>
      <c r="Y271" s="14"/>
      <c r="Z271" s="14"/>
      <c r="AA271" s="14"/>
      <c r="AB271" s="14"/>
      <c r="AC271" s="14"/>
      <c r="AD271" s="14"/>
      <c r="AE271" s="14"/>
      <c r="AF271" s="14"/>
      <c r="AG271" s="14"/>
    </row>
    <row r="272" spans="1:33" x14ac:dyDescent="0.2">
      <c r="A272" s="2"/>
      <c r="B272" s="2"/>
      <c r="C272" s="2"/>
      <c r="D272" s="2"/>
      <c r="E272" s="2"/>
      <c r="F272" s="2"/>
      <c r="G272" s="2"/>
      <c r="H272" s="2"/>
      <c r="I272" s="2"/>
      <c r="J272" s="2"/>
      <c r="K272" s="2"/>
      <c r="L272" s="14"/>
      <c r="M272" s="14"/>
      <c r="N272" s="14"/>
      <c r="O272" s="14"/>
      <c r="P272" s="14"/>
      <c r="Q272" s="14"/>
      <c r="R272" s="14"/>
      <c r="S272" s="14"/>
      <c r="T272" s="14"/>
      <c r="U272" s="14"/>
      <c r="V272" s="14"/>
      <c r="W272" s="14"/>
      <c r="X272" s="14"/>
      <c r="Y272" s="14"/>
      <c r="Z272" s="14"/>
      <c r="AA272" s="14"/>
      <c r="AB272" s="14"/>
      <c r="AC272" s="14"/>
      <c r="AD272" s="14"/>
      <c r="AE272" s="14"/>
      <c r="AF272" s="14"/>
      <c r="AG272" s="14"/>
    </row>
    <row r="273" spans="1:33" x14ac:dyDescent="0.2">
      <c r="A273" s="2"/>
      <c r="B273" s="2"/>
      <c r="C273" s="2"/>
      <c r="D273" s="2"/>
      <c r="E273" s="2"/>
      <c r="F273" s="2"/>
      <c r="G273" s="2"/>
      <c r="H273" s="2"/>
      <c r="I273" s="2"/>
      <c r="J273" s="2"/>
      <c r="K273" s="2"/>
      <c r="L273" s="14"/>
      <c r="M273" s="14"/>
      <c r="N273" s="14"/>
      <c r="O273" s="14"/>
      <c r="P273" s="14"/>
      <c r="Q273" s="14"/>
      <c r="R273" s="14"/>
      <c r="S273" s="14"/>
      <c r="T273" s="14"/>
      <c r="U273" s="14"/>
      <c r="V273" s="14"/>
      <c r="W273" s="14"/>
      <c r="X273" s="14"/>
      <c r="Y273" s="14"/>
      <c r="Z273" s="14"/>
      <c r="AA273" s="14"/>
      <c r="AB273" s="14"/>
      <c r="AC273" s="14"/>
      <c r="AD273" s="14"/>
      <c r="AE273" s="14"/>
      <c r="AF273" s="14"/>
      <c r="AG273" s="14"/>
    </row>
    <row r="274" spans="1:33" x14ac:dyDescent="0.2">
      <c r="A274" s="2"/>
      <c r="B274" s="2"/>
      <c r="C274" s="2"/>
      <c r="D274" s="2"/>
      <c r="E274" s="2"/>
      <c r="F274" s="2"/>
      <c r="G274" s="2"/>
      <c r="H274" s="2"/>
      <c r="I274" s="2"/>
      <c r="J274" s="2"/>
      <c r="K274" s="2"/>
      <c r="L274" s="14"/>
      <c r="M274" s="14"/>
      <c r="N274" s="14"/>
      <c r="O274" s="14"/>
      <c r="P274" s="14"/>
      <c r="Q274" s="14"/>
      <c r="R274" s="14"/>
      <c r="S274" s="14"/>
      <c r="T274" s="14"/>
      <c r="U274" s="14"/>
      <c r="V274" s="14"/>
      <c r="W274" s="14"/>
      <c r="X274" s="14"/>
      <c r="Y274" s="14"/>
      <c r="Z274" s="14"/>
      <c r="AA274" s="14"/>
      <c r="AB274" s="14"/>
      <c r="AC274" s="14"/>
      <c r="AD274" s="14"/>
      <c r="AE274" s="14"/>
      <c r="AF274" s="14"/>
      <c r="AG274" s="14"/>
    </row>
    <row r="275" spans="1:33" x14ac:dyDescent="0.2">
      <c r="A275" s="2"/>
      <c r="B275" s="2"/>
      <c r="C275" s="2"/>
      <c r="D275" s="2"/>
      <c r="E275" s="2"/>
      <c r="F275" s="2"/>
      <c r="G275" s="2"/>
      <c r="H275" s="2"/>
      <c r="I275" s="2"/>
      <c r="J275" s="2"/>
      <c r="K275" s="2"/>
      <c r="L275" s="14"/>
      <c r="M275" s="14"/>
      <c r="N275" s="14"/>
      <c r="O275" s="14"/>
      <c r="P275" s="14"/>
      <c r="Q275" s="14"/>
      <c r="R275" s="14"/>
      <c r="S275" s="14"/>
      <c r="T275" s="14"/>
      <c r="U275" s="14"/>
      <c r="V275" s="14"/>
      <c r="W275" s="14"/>
      <c r="X275" s="14"/>
      <c r="Y275" s="14"/>
      <c r="Z275" s="14"/>
      <c r="AA275" s="14"/>
      <c r="AB275" s="14"/>
      <c r="AC275" s="14"/>
      <c r="AD275" s="14"/>
      <c r="AE275" s="14"/>
      <c r="AF275" s="14"/>
      <c r="AG275" s="14"/>
    </row>
    <row r="276" spans="1:33" x14ac:dyDescent="0.2">
      <c r="A276" s="2"/>
      <c r="B276" s="2"/>
      <c r="C276" s="2"/>
      <c r="D276" s="2"/>
      <c r="E276" s="2"/>
      <c r="F276" s="2"/>
      <c r="G276" s="2"/>
      <c r="H276" s="2"/>
      <c r="I276" s="2"/>
      <c r="J276" s="2"/>
      <c r="K276" s="2"/>
      <c r="L276" s="14"/>
      <c r="M276" s="14"/>
      <c r="N276" s="14"/>
      <c r="O276" s="14"/>
      <c r="P276" s="14"/>
      <c r="Q276" s="14"/>
      <c r="R276" s="14"/>
      <c r="S276" s="14"/>
      <c r="T276" s="14"/>
      <c r="U276" s="14"/>
      <c r="V276" s="14"/>
      <c r="W276" s="14"/>
      <c r="X276" s="14"/>
      <c r="Y276" s="14"/>
      <c r="Z276" s="14"/>
      <c r="AA276" s="14"/>
      <c r="AB276" s="14"/>
      <c r="AC276" s="14"/>
      <c r="AD276" s="14"/>
      <c r="AE276" s="14"/>
      <c r="AF276" s="14"/>
      <c r="AG276" s="14"/>
    </row>
    <row r="277" spans="1:33" x14ac:dyDescent="0.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row>
    <row r="278" spans="1:33" ht="15" x14ac:dyDescent="0.25">
      <c r="A278" s="2"/>
      <c r="B278" s="4" t="s">
        <v>1580</v>
      </c>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row>
    <row r="279" spans="1:33" x14ac:dyDescent="0.2">
      <c r="A279" s="2"/>
      <c r="B279" s="2" t="s">
        <v>1581</v>
      </c>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row>
    <row r="280" spans="1:33" x14ac:dyDescent="0.2">
      <c r="A280" s="2"/>
      <c r="B280" s="2" t="s">
        <v>1588</v>
      </c>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row>
    <row r="281" spans="1:33" x14ac:dyDescent="0.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row>
    <row r="282" spans="1:33" x14ac:dyDescent="0.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row>
    <row r="283" spans="1:33" x14ac:dyDescent="0.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row>
    <row r="284" spans="1:33" x14ac:dyDescent="0.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row>
    <row r="285" spans="1:33" x14ac:dyDescent="0.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row>
    <row r="286" spans="1:33" x14ac:dyDescent="0.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row>
    <row r="287" spans="1:33" x14ac:dyDescent="0.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row>
    <row r="288" spans="1:33" x14ac:dyDescent="0.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row>
    <row r="289" spans="1:33" x14ac:dyDescent="0.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row>
    <row r="290" spans="1:33" x14ac:dyDescent="0.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row>
    <row r="291" spans="1:33" x14ac:dyDescent="0.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row>
    <row r="292" spans="1:33" x14ac:dyDescent="0.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row>
    <row r="293" spans="1:33" x14ac:dyDescent="0.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row>
    <row r="294" spans="1:33" x14ac:dyDescent="0.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row>
    <row r="295" spans="1:33" x14ac:dyDescent="0.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row>
    <row r="296" spans="1:33" ht="15.75" x14ac:dyDescent="0.3">
      <c r="A296" s="2"/>
      <c r="B296" s="2"/>
      <c r="C296" s="2"/>
      <c r="D296" s="33" t="s">
        <v>533</v>
      </c>
      <c r="E296" s="12" t="s">
        <v>332</v>
      </c>
      <c r="F296" s="2" t="s">
        <v>1553</v>
      </c>
      <c r="G296" s="2"/>
      <c r="H296" s="2"/>
      <c r="I296" s="2"/>
      <c r="J296" s="2"/>
      <c r="K296" s="2"/>
      <c r="L296" s="2"/>
      <c r="M296" s="2" t="s">
        <v>1589</v>
      </c>
      <c r="N296" s="2"/>
      <c r="O296" s="2"/>
      <c r="P296" s="2"/>
      <c r="Q296" s="2"/>
      <c r="R296" s="2"/>
      <c r="S296" s="2"/>
      <c r="T296" s="2"/>
      <c r="U296" s="2"/>
      <c r="V296" s="2"/>
      <c r="W296" s="2"/>
      <c r="X296" s="2"/>
      <c r="Y296" s="2"/>
      <c r="Z296" s="2"/>
      <c r="AA296" s="2"/>
      <c r="AB296" s="2"/>
      <c r="AC296" s="2"/>
      <c r="AD296" s="2"/>
      <c r="AE296" s="2"/>
      <c r="AF296" s="2"/>
      <c r="AG296" s="2"/>
    </row>
    <row r="297" spans="1:33" x14ac:dyDescent="0.2">
      <c r="A297" s="2"/>
      <c r="B297" s="2"/>
      <c r="C297" s="2"/>
      <c r="D297" s="2"/>
      <c r="E297" s="12" t="s">
        <v>332</v>
      </c>
      <c r="F297" s="373">
        <f>F200</f>
        <v>78.238675200000003</v>
      </c>
      <c r="G297" s="373"/>
      <c r="H297" s="373"/>
      <c r="I297" s="2" t="s">
        <v>335</v>
      </c>
      <c r="J297" s="2"/>
      <c r="K297" s="2"/>
      <c r="L297" s="2"/>
      <c r="M297" s="2"/>
      <c r="N297" s="2"/>
      <c r="O297" s="2"/>
      <c r="P297" s="2"/>
      <c r="Q297" s="2"/>
      <c r="R297" s="2"/>
      <c r="S297" s="2"/>
      <c r="T297" s="2"/>
      <c r="U297" s="2"/>
      <c r="V297" s="2"/>
      <c r="W297" s="2"/>
      <c r="X297" s="2"/>
      <c r="Y297" s="2"/>
      <c r="Z297" s="2"/>
      <c r="AA297" s="2"/>
      <c r="AB297" s="2"/>
      <c r="AC297" s="2"/>
      <c r="AD297" s="2"/>
      <c r="AE297" s="2"/>
      <c r="AF297" s="2"/>
      <c r="AG297" s="2"/>
    </row>
    <row r="298" spans="1:33" x14ac:dyDescent="0.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row>
    <row r="299" spans="1:33" ht="15.75" x14ac:dyDescent="0.3">
      <c r="A299" s="2"/>
      <c r="B299" s="2"/>
      <c r="C299" s="2"/>
      <c r="D299" s="33" t="s">
        <v>535</v>
      </c>
      <c r="E299" s="12" t="s">
        <v>332</v>
      </c>
      <c r="F299" s="2" t="s">
        <v>1582</v>
      </c>
      <c r="G299" s="2"/>
      <c r="H299" s="2"/>
      <c r="I299" s="2"/>
      <c r="J299" s="2"/>
      <c r="K299" s="2"/>
      <c r="L299" s="2"/>
      <c r="M299" s="2" t="s">
        <v>1583</v>
      </c>
      <c r="N299" s="2"/>
      <c r="O299" s="2"/>
      <c r="P299" s="2"/>
      <c r="Q299" s="2"/>
      <c r="R299" s="2"/>
      <c r="S299" s="2"/>
      <c r="T299" s="2"/>
      <c r="U299" s="2"/>
      <c r="V299" s="2"/>
      <c r="W299" s="2"/>
      <c r="X299" s="2"/>
      <c r="Y299" s="2"/>
      <c r="Z299" s="2"/>
      <c r="AA299" s="2"/>
      <c r="AB299" s="2"/>
      <c r="AC299" s="2"/>
      <c r="AD299" s="2"/>
      <c r="AE299" s="2"/>
      <c r="AF299" s="2"/>
      <c r="AG299" s="2"/>
    </row>
    <row r="300" spans="1:33" x14ac:dyDescent="0.2">
      <c r="A300" s="2"/>
      <c r="B300" s="2"/>
      <c r="C300" s="2"/>
      <c r="D300" s="33" t="s">
        <v>1529</v>
      </c>
      <c r="E300" s="12" t="s">
        <v>332</v>
      </c>
      <c r="F300" s="373">
        <v>450</v>
      </c>
      <c r="G300" s="373"/>
      <c r="H300" s="373"/>
      <c r="I300" s="2" t="s">
        <v>337</v>
      </c>
      <c r="J300" s="2"/>
      <c r="K300" s="2"/>
      <c r="L300" s="2"/>
      <c r="M300" s="2" t="s">
        <v>1596</v>
      </c>
      <c r="N300" s="2"/>
      <c r="O300" s="2"/>
      <c r="P300" s="2"/>
      <c r="Q300" s="2"/>
      <c r="R300" s="2"/>
      <c r="S300" s="2"/>
      <c r="T300" s="2"/>
      <c r="U300" s="2"/>
      <c r="V300" s="2"/>
      <c r="W300" s="2"/>
      <c r="X300" s="2"/>
      <c r="Y300" s="2"/>
      <c r="Z300" s="2"/>
      <c r="AA300" s="2"/>
      <c r="AB300" s="2"/>
      <c r="AC300" s="2"/>
      <c r="AD300" s="2"/>
      <c r="AE300" s="2"/>
      <c r="AF300" s="2"/>
      <c r="AG300" s="2"/>
    </row>
    <row r="301" spans="1:33" ht="15.75" x14ac:dyDescent="0.3">
      <c r="A301" s="2"/>
      <c r="B301" s="2"/>
      <c r="C301" s="2"/>
      <c r="D301" s="33" t="s">
        <v>535</v>
      </c>
      <c r="E301" s="12" t="s">
        <v>332</v>
      </c>
      <c r="F301" s="373">
        <f>F200*F300/1000</f>
        <v>35.207403839999998</v>
      </c>
      <c r="G301" s="373"/>
      <c r="H301" s="373"/>
      <c r="I301" s="2" t="s">
        <v>524</v>
      </c>
      <c r="J301" s="2"/>
      <c r="K301" s="2"/>
      <c r="L301" s="2"/>
      <c r="M301" s="2"/>
      <c r="N301" s="2"/>
      <c r="O301" s="2"/>
      <c r="P301" s="2"/>
      <c r="Q301" s="2"/>
      <c r="R301" s="2"/>
      <c r="S301" s="2"/>
      <c r="T301" s="2"/>
      <c r="U301" s="2"/>
      <c r="V301" s="2"/>
      <c r="W301" s="2"/>
      <c r="X301" s="2"/>
      <c r="Y301" s="2"/>
      <c r="Z301" s="2"/>
      <c r="AA301" s="2"/>
      <c r="AB301" s="2"/>
      <c r="AC301" s="2"/>
      <c r="AD301" s="2"/>
      <c r="AE301" s="2"/>
      <c r="AF301" s="2"/>
      <c r="AG301" s="2"/>
    </row>
    <row r="302" spans="1:33" x14ac:dyDescent="0.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row>
    <row r="303" spans="1:33" x14ac:dyDescent="0.2">
      <c r="A303" s="2"/>
      <c r="B303" s="2" t="s">
        <v>1597</v>
      </c>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row>
    <row r="304" spans="1:33" x14ac:dyDescent="0.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row>
    <row r="305" spans="1:33" x14ac:dyDescent="0.2">
      <c r="A305" s="2"/>
      <c r="B305" s="18" t="s">
        <v>1590</v>
      </c>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row>
    <row r="306" spans="1:33"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row>
    <row r="307" spans="1:33"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row>
    <row r="308" spans="1:33" x14ac:dyDescent="0.2">
      <c r="A308" s="2"/>
      <c r="B308" s="232" t="s">
        <v>1612</v>
      </c>
      <c r="C308" s="232"/>
      <c r="D308" s="232"/>
      <c r="E308" s="232"/>
      <c r="F308" s="232"/>
      <c r="G308" s="232"/>
      <c r="H308" s="232"/>
      <c r="I308" s="232"/>
      <c r="J308" s="232"/>
      <c r="K308" s="232"/>
      <c r="L308" s="232"/>
      <c r="M308" s="232"/>
      <c r="N308" s="232"/>
      <c r="O308" s="232"/>
      <c r="P308" s="232"/>
      <c r="Q308" s="232"/>
      <c r="R308" s="232"/>
      <c r="S308" s="232"/>
      <c r="T308" s="232"/>
      <c r="U308" s="232"/>
      <c r="V308" s="232"/>
      <c r="W308" s="232"/>
      <c r="X308" s="232"/>
      <c r="Y308" s="232"/>
      <c r="Z308" s="232"/>
      <c r="AA308" s="232"/>
      <c r="AB308" s="232"/>
      <c r="AC308" s="232"/>
      <c r="AD308" s="232"/>
      <c r="AE308" s="232"/>
      <c r="AF308" s="232"/>
      <c r="AG308" s="232"/>
    </row>
    <row r="309" spans="1:33" x14ac:dyDescent="0.2">
      <c r="A309" s="2"/>
      <c r="B309" s="232"/>
      <c r="C309" s="232"/>
      <c r="D309" s="232"/>
      <c r="E309" s="232"/>
      <c r="F309" s="232"/>
      <c r="G309" s="232"/>
      <c r="H309" s="232"/>
      <c r="I309" s="232"/>
      <c r="J309" s="232"/>
      <c r="K309" s="232"/>
      <c r="L309" s="232"/>
      <c r="M309" s="232"/>
      <c r="N309" s="232"/>
      <c r="O309" s="232"/>
      <c r="P309" s="232"/>
      <c r="Q309" s="232"/>
      <c r="R309" s="232"/>
      <c r="S309" s="232"/>
      <c r="T309" s="232"/>
      <c r="U309" s="232"/>
      <c r="V309" s="232"/>
      <c r="W309" s="232"/>
      <c r="X309" s="232"/>
      <c r="Y309" s="232"/>
      <c r="Z309" s="232"/>
      <c r="AA309" s="232"/>
      <c r="AB309" s="232"/>
      <c r="AC309" s="232"/>
      <c r="AD309" s="232"/>
      <c r="AE309" s="232"/>
      <c r="AF309" s="232"/>
      <c r="AG309" s="232"/>
    </row>
    <row r="310" spans="1:33" x14ac:dyDescent="0.2">
      <c r="A310" s="2"/>
      <c r="B310" s="232" t="s">
        <v>1618</v>
      </c>
      <c r="C310" s="232"/>
      <c r="D310" s="232"/>
      <c r="E310" s="232"/>
      <c r="F310" s="232"/>
      <c r="G310" s="232"/>
      <c r="H310" s="232"/>
      <c r="I310" s="232"/>
      <c r="J310" s="232"/>
      <c r="K310" s="232"/>
      <c r="L310" s="232"/>
      <c r="M310" s="232"/>
      <c r="N310" s="232"/>
      <c r="O310" s="232"/>
      <c r="P310" s="232"/>
      <c r="Q310" s="232"/>
      <c r="R310" s="232"/>
      <c r="S310" s="232"/>
      <c r="T310" s="232"/>
      <c r="U310" s="232"/>
      <c r="V310" s="232"/>
      <c r="W310" s="232"/>
      <c r="X310" s="232"/>
      <c r="Y310" s="232"/>
      <c r="Z310" s="232"/>
      <c r="AA310" s="232"/>
      <c r="AB310" s="232"/>
      <c r="AC310" s="232"/>
      <c r="AD310" s="232"/>
      <c r="AE310" s="232"/>
      <c r="AF310" s="232"/>
      <c r="AG310" s="232"/>
    </row>
    <row r="311" spans="1:33" x14ac:dyDescent="0.2">
      <c r="A311" s="2"/>
      <c r="B311" s="232"/>
      <c r="C311" s="232"/>
      <c r="D311" s="232"/>
      <c r="E311" s="232"/>
      <c r="F311" s="232"/>
      <c r="G311" s="232"/>
      <c r="H311" s="232"/>
      <c r="I311" s="232"/>
      <c r="J311" s="232"/>
      <c r="K311" s="232"/>
      <c r="L311" s="232"/>
      <c r="M311" s="232"/>
      <c r="N311" s="232"/>
      <c r="O311" s="232"/>
      <c r="P311" s="232"/>
      <c r="Q311" s="232"/>
      <c r="R311" s="232"/>
      <c r="S311" s="232"/>
      <c r="T311" s="232"/>
      <c r="U311" s="232"/>
      <c r="V311" s="232"/>
      <c r="W311" s="232"/>
      <c r="X311" s="232"/>
      <c r="Y311" s="232"/>
      <c r="Z311" s="232"/>
      <c r="AA311" s="232"/>
      <c r="AB311" s="232"/>
      <c r="AC311" s="232"/>
      <c r="AD311" s="232"/>
      <c r="AE311" s="232"/>
      <c r="AF311" s="232"/>
      <c r="AG311" s="232"/>
    </row>
    <row r="312" spans="1:33"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row>
    <row r="313" spans="1:33" x14ac:dyDescent="0.2">
      <c r="A313" s="2"/>
      <c r="B313" s="2" t="s">
        <v>1619</v>
      </c>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row>
    <row r="314" spans="1:33"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row>
    <row r="315" spans="1:33" ht="15.75" x14ac:dyDescent="0.3">
      <c r="A315" s="2"/>
      <c r="B315" s="2"/>
      <c r="C315" s="2"/>
      <c r="D315" s="33" t="s">
        <v>1584</v>
      </c>
      <c r="E315" s="12" t="s">
        <v>332</v>
      </c>
      <c r="F315" s="373">
        <f>'9. Pile Cap'!H154</f>
        <v>823.42880626780618</v>
      </c>
      <c r="G315" s="373"/>
      <c r="H315" s="373"/>
      <c r="I315" s="2" t="s">
        <v>524</v>
      </c>
      <c r="J315" s="2"/>
      <c r="K315" s="2"/>
      <c r="L315" s="2"/>
      <c r="M315" s="2" t="s">
        <v>1585</v>
      </c>
      <c r="N315" s="2"/>
      <c r="O315" s="2"/>
      <c r="P315" s="2"/>
      <c r="Q315" s="2"/>
      <c r="R315" s="2"/>
      <c r="S315" s="2"/>
      <c r="T315" s="2"/>
      <c r="U315" s="2"/>
      <c r="V315" s="2"/>
      <c r="W315" s="2"/>
      <c r="X315" s="2"/>
      <c r="Y315" s="2"/>
      <c r="Z315" s="2"/>
      <c r="AA315" s="2"/>
      <c r="AB315" s="2"/>
      <c r="AC315" s="2"/>
      <c r="AD315" s="2"/>
      <c r="AE315" s="2"/>
      <c r="AF315" s="2"/>
      <c r="AG315" s="2"/>
    </row>
    <row r="316" spans="1:33" ht="15.75" x14ac:dyDescent="0.3">
      <c r="A316" s="2"/>
      <c r="B316" s="2"/>
      <c r="C316" s="2"/>
      <c r="D316" s="33" t="s">
        <v>1617</v>
      </c>
      <c r="E316" s="12" t="s">
        <v>332</v>
      </c>
      <c r="F316" s="373">
        <f>F315*1200/1800</f>
        <v>548.95253751187079</v>
      </c>
      <c r="G316" s="373"/>
      <c r="H316" s="373"/>
      <c r="I316" s="2" t="s">
        <v>524</v>
      </c>
      <c r="J316" s="2"/>
      <c r="K316" s="2"/>
      <c r="L316" s="2"/>
      <c r="M316" s="2" t="s">
        <v>1620</v>
      </c>
      <c r="N316" s="2"/>
      <c r="O316" s="2"/>
      <c r="P316" s="2"/>
      <c r="Q316" s="2"/>
      <c r="R316" s="2"/>
      <c r="S316" s="2"/>
      <c r="T316" s="2"/>
      <c r="U316" s="2"/>
      <c r="V316" s="2"/>
      <c r="W316" s="2"/>
      <c r="X316" s="2"/>
      <c r="Y316" s="2"/>
      <c r="Z316" s="2"/>
      <c r="AA316" s="2"/>
      <c r="AB316" s="2"/>
      <c r="AC316" s="2"/>
      <c r="AD316" s="2"/>
      <c r="AE316" s="2"/>
      <c r="AF316" s="2"/>
      <c r="AG316" s="2"/>
    </row>
    <row r="317" spans="1:33" x14ac:dyDescent="0.2">
      <c r="A317" s="2"/>
      <c r="B317" s="2"/>
      <c r="C317" s="2"/>
      <c r="D317" s="33"/>
      <c r="E317" s="12"/>
      <c r="F317" s="90"/>
      <c r="G317" s="90"/>
      <c r="H317" s="90"/>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row>
    <row r="318" spans="1:33" ht="15.75" x14ac:dyDescent="0.3">
      <c r="A318" s="2"/>
      <c r="B318" s="2"/>
      <c r="C318" s="2"/>
      <c r="D318" s="33" t="s">
        <v>1587</v>
      </c>
      <c r="E318" s="12" t="s">
        <v>332</v>
      </c>
      <c r="F318" s="373">
        <f>'9. Pile Cap'!H145</f>
        <v>798.5794888425321</v>
      </c>
      <c r="G318" s="373"/>
      <c r="H318" s="373"/>
      <c r="I318" s="2" t="s">
        <v>524</v>
      </c>
      <c r="J318" s="2"/>
      <c r="K318" s="2"/>
      <c r="L318" s="2"/>
      <c r="M318" s="2" t="s">
        <v>1586</v>
      </c>
      <c r="N318" s="2"/>
      <c r="O318" s="2"/>
      <c r="P318" s="2"/>
      <c r="Q318" s="2"/>
      <c r="R318" s="2"/>
      <c r="S318" s="2"/>
      <c r="T318" s="2"/>
      <c r="U318" s="2"/>
      <c r="V318" s="2"/>
      <c r="W318" s="2"/>
      <c r="X318" s="2"/>
      <c r="Y318" s="2"/>
      <c r="Z318" s="2"/>
      <c r="AA318" s="2"/>
      <c r="AB318" s="2"/>
      <c r="AC318" s="2"/>
      <c r="AD318" s="2"/>
      <c r="AE318" s="2"/>
      <c r="AF318" s="2"/>
      <c r="AG318" s="2"/>
    </row>
    <row r="319" spans="1:33" ht="15.75" x14ac:dyDescent="0.3">
      <c r="A319" s="2"/>
      <c r="B319" s="2"/>
      <c r="C319" s="2"/>
      <c r="D319" s="33" t="s">
        <v>1623</v>
      </c>
      <c r="E319" s="12" t="s">
        <v>332</v>
      </c>
      <c r="F319" s="373">
        <f>F318*1200/1800</f>
        <v>532.3863258950214</v>
      </c>
      <c r="G319" s="373"/>
      <c r="H319" s="373"/>
      <c r="I319" s="2" t="s">
        <v>524</v>
      </c>
      <c r="J319" s="2"/>
      <c r="K319" s="2"/>
      <c r="L319" s="2"/>
      <c r="M319" s="2" t="s">
        <v>1621</v>
      </c>
      <c r="N319" s="2"/>
      <c r="O319" s="2"/>
      <c r="P319" s="2"/>
      <c r="Q319" s="2"/>
      <c r="R319" s="2"/>
      <c r="S319" s="2"/>
      <c r="T319" s="2"/>
      <c r="U319" s="2"/>
      <c r="V319" s="2"/>
      <c r="W319" s="2"/>
      <c r="X319" s="2"/>
      <c r="Y319" s="2"/>
      <c r="Z319" s="2"/>
      <c r="AA319" s="2"/>
      <c r="AB319" s="2"/>
      <c r="AC319" s="2"/>
      <c r="AD319" s="2"/>
      <c r="AE319" s="2"/>
      <c r="AF319" s="2"/>
      <c r="AG319" s="2"/>
    </row>
    <row r="320" spans="1:33"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row>
    <row r="321" spans="1:33" ht="15.75" x14ac:dyDescent="0.3">
      <c r="A321" s="2"/>
      <c r="C321" s="2"/>
      <c r="D321" s="33" t="s">
        <v>1591</v>
      </c>
      <c r="E321" s="12" t="s">
        <v>332</v>
      </c>
      <c r="F321" s="373">
        <f>'9. Pile Cap'!G282</f>
        <v>579.55161932989597</v>
      </c>
      <c r="G321" s="373"/>
      <c r="H321" s="373"/>
      <c r="I321" s="2" t="s">
        <v>335</v>
      </c>
      <c r="J321" s="2"/>
      <c r="K321" s="2"/>
      <c r="L321" s="2"/>
      <c r="M321" s="2" t="s">
        <v>1592</v>
      </c>
      <c r="N321" s="2"/>
    </row>
    <row r="322" spans="1:33" ht="15.75" x14ac:dyDescent="0.3">
      <c r="A322" s="2"/>
      <c r="B322" s="2"/>
      <c r="C322" s="2"/>
      <c r="D322" s="33" t="s">
        <v>1624</v>
      </c>
      <c r="E322" s="12" t="s">
        <v>332</v>
      </c>
      <c r="F322" s="373">
        <f>F321*1200/1800</f>
        <v>386.36774621993067</v>
      </c>
      <c r="G322" s="373"/>
      <c r="H322" s="373"/>
      <c r="I322" s="2" t="s">
        <v>524</v>
      </c>
      <c r="J322" s="2"/>
      <c r="K322" s="2"/>
      <c r="L322" s="2"/>
      <c r="M322" s="2" t="s">
        <v>1622</v>
      </c>
      <c r="N322" s="2"/>
      <c r="O322" s="2"/>
      <c r="P322" s="2"/>
      <c r="Q322" s="2"/>
      <c r="R322" s="2"/>
      <c r="S322" s="2"/>
      <c r="T322" s="2"/>
      <c r="U322" s="2"/>
      <c r="V322" s="2"/>
      <c r="W322" s="2"/>
      <c r="X322" s="2"/>
      <c r="Y322" s="2"/>
      <c r="Z322" s="2"/>
      <c r="AA322" s="2"/>
      <c r="AB322" s="2"/>
      <c r="AC322" s="2"/>
      <c r="AD322" s="2"/>
      <c r="AE322" s="2"/>
      <c r="AF322" s="2"/>
      <c r="AG322" s="2"/>
    </row>
    <row r="323" spans="1:33"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row>
    <row r="324" spans="1:33" ht="15.75" x14ac:dyDescent="0.3">
      <c r="A324" s="2"/>
      <c r="B324" s="2"/>
      <c r="C324" s="2"/>
      <c r="D324" s="33" t="s">
        <v>1593</v>
      </c>
      <c r="E324" s="12" t="s">
        <v>332</v>
      </c>
      <c r="F324" s="373">
        <f>'9. Pile Cap'!G378</f>
        <v>417.12248942041111</v>
      </c>
      <c r="G324" s="373"/>
      <c r="H324" s="373"/>
      <c r="I324" s="2" t="s">
        <v>335</v>
      </c>
      <c r="J324" s="2"/>
      <c r="K324" s="2"/>
      <c r="L324" s="2"/>
      <c r="M324" s="232" t="s">
        <v>1594</v>
      </c>
      <c r="N324" s="232"/>
      <c r="O324" s="232"/>
      <c r="P324" s="232"/>
      <c r="Q324" s="232"/>
      <c r="R324" s="232"/>
      <c r="S324" s="232"/>
      <c r="T324" s="232"/>
      <c r="U324" s="232"/>
      <c r="V324" s="232"/>
      <c r="W324" s="232"/>
      <c r="X324" s="232"/>
      <c r="Y324" s="232"/>
      <c r="Z324" s="232"/>
      <c r="AA324" s="232"/>
      <c r="AB324" s="232"/>
      <c r="AC324" s="232"/>
      <c r="AD324" s="232"/>
      <c r="AE324" s="232"/>
      <c r="AF324" s="232"/>
      <c r="AG324" s="232"/>
    </row>
    <row r="325" spans="1:33" x14ac:dyDescent="0.2">
      <c r="A325" s="2"/>
      <c r="B325" s="2"/>
      <c r="C325" s="2"/>
      <c r="D325" s="2"/>
      <c r="E325" s="2"/>
      <c r="F325" s="2"/>
      <c r="G325" s="2"/>
      <c r="H325" s="2"/>
      <c r="I325" s="2"/>
      <c r="J325" s="2"/>
      <c r="K325" s="2"/>
      <c r="L325" s="2"/>
      <c r="M325" s="232"/>
      <c r="N325" s="232"/>
      <c r="O325" s="232"/>
      <c r="P325" s="232"/>
      <c r="Q325" s="232"/>
      <c r="R325" s="232"/>
      <c r="S325" s="232"/>
      <c r="T325" s="232"/>
      <c r="U325" s="232"/>
      <c r="V325" s="232"/>
      <c r="W325" s="232"/>
      <c r="X325" s="232"/>
      <c r="Y325" s="232"/>
      <c r="Z325" s="232"/>
      <c r="AA325" s="232"/>
      <c r="AB325" s="232"/>
      <c r="AC325" s="232"/>
      <c r="AD325" s="232"/>
      <c r="AE325" s="232"/>
      <c r="AF325" s="232"/>
      <c r="AG325" s="232"/>
    </row>
    <row r="326" spans="1:33"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row>
    <row r="327" spans="1:33" x14ac:dyDescent="0.2">
      <c r="A327" s="2"/>
      <c r="B327" s="2" t="s">
        <v>1598</v>
      </c>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row>
    <row r="328" spans="1:33"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row>
    <row r="329" spans="1:33"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row>
  </sheetData>
  <mergeCells count="64">
    <mergeCell ref="F322:H322"/>
    <mergeCell ref="F324:H324"/>
    <mergeCell ref="M324:AG325"/>
    <mergeCell ref="C170:AG171"/>
    <mergeCell ref="C173:AG174"/>
    <mergeCell ref="C183:AG183"/>
    <mergeCell ref="C185:AG186"/>
    <mergeCell ref="U204:W204"/>
    <mergeCell ref="F318:H318"/>
    <mergeCell ref="F297:H297"/>
    <mergeCell ref="B308:AG309"/>
    <mergeCell ref="F321:H321"/>
    <mergeCell ref="F316:H316"/>
    <mergeCell ref="F319:H319"/>
    <mergeCell ref="F262:H262"/>
    <mergeCell ref="L262:AG263"/>
    <mergeCell ref="C243:AG244"/>
    <mergeCell ref="B226:AG227"/>
    <mergeCell ref="C252:AG253"/>
    <mergeCell ref="F300:H300"/>
    <mergeCell ref="F229:H229"/>
    <mergeCell ref="F230:H230"/>
    <mergeCell ref="F234:H234"/>
    <mergeCell ref="F235:H235"/>
    <mergeCell ref="F260:H260"/>
    <mergeCell ref="F261:H261"/>
    <mergeCell ref="F198:H198"/>
    <mergeCell ref="F200:H200"/>
    <mergeCell ref="I141:K141"/>
    <mergeCell ref="K161:N161"/>
    <mergeCell ref="K162:N162"/>
    <mergeCell ref="K163:N163"/>
    <mergeCell ref="D158:AG159"/>
    <mergeCell ref="D163:J163"/>
    <mergeCell ref="W163:Z163"/>
    <mergeCell ref="H165:J165"/>
    <mergeCell ref="S162:V162"/>
    <mergeCell ref="D162:J162"/>
    <mergeCell ref="W162:Z162"/>
    <mergeCell ref="O163:R163"/>
    <mergeCell ref="S163:V163"/>
    <mergeCell ref="O161:R161"/>
    <mergeCell ref="B3:AG4"/>
    <mergeCell ref="H114:K114"/>
    <mergeCell ref="L114:O114"/>
    <mergeCell ref="P114:S114"/>
    <mergeCell ref="T114:W114"/>
    <mergeCell ref="B92:AG93"/>
    <mergeCell ref="F301:H301"/>
    <mergeCell ref="B310:AG311"/>
    <mergeCell ref="F315:H315"/>
    <mergeCell ref="D115:G115"/>
    <mergeCell ref="B75:AG76"/>
    <mergeCell ref="N118:P118"/>
    <mergeCell ref="H115:K115"/>
    <mergeCell ref="L115:O115"/>
    <mergeCell ref="P115:S115"/>
    <mergeCell ref="T115:W115"/>
    <mergeCell ref="T116:W116"/>
    <mergeCell ref="O162:R162"/>
    <mergeCell ref="S161:V161"/>
    <mergeCell ref="N119:P119"/>
    <mergeCell ref="D161:J161"/>
    <mergeCell ref="W161:Z161"/>
  </mergeCells>
  <pageMargins left="0.7" right="0.7" top="1.25" bottom="0.75" header="0.3" footer="0.3"/>
  <pageSetup scale="87" fitToHeight="0" orientation="portrait" horizontalDpi="1200" verticalDpi="1200" r:id="rId1"/>
  <headerFooter>
    <oddHeader>&amp;L&amp;G
Client: Keyera
Project No: F3KY&amp;C&amp;G&amp;RDesigned By: CW
Checked By: JS
Date: 13-MAY-2026
Revision: 0</oddHeader>
    <oddFooter>&amp;LContractor Document No:  F3KY-215-CAL-047</oddFooter>
  </headerFooter>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A439E-10FD-49AA-83EC-7AD1DAB6D2F5}">
  <sheetPr codeName="Sheet10">
    <pageSetUpPr fitToPage="1"/>
  </sheetPr>
  <dimension ref="A1:AI240"/>
  <sheetViews>
    <sheetView view="pageBreakPreview" topLeftCell="A185" zoomScale="85" zoomScaleNormal="100" zoomScaleSheetLayoutView="85" workbookViewId="0">
      <selection activeCell="U231" sqref="U231"/>
    </sheetView>
  </sheetViews>
  <sheetFormatPr defaultRowHeight="14.25" x14ac:dyDescent="0.2"/>
  <cols>
    <col min="1" max="33" width="3.140625" style="1" customWidth="1"/>
    <col min="34" max="16384" width="9.140625" style="1"/>
  </cols>
  <sheetData>
    <row r="1" spans="2:35" x14ac:dyDescent="0.2">
      <c r="AI1" s="1" t="s">
        <v>0</v>
      </c>
    </row>
    <row r="2" spans="2:35" ht="15" x14ac:dyDescent="0.25">
      <c r="B2" s="4" t="s">
        <v>1630</v>
      </c>
      <c r="AI2" s="1" t="s">
        <v>77</v>
      </c>
    </row>
    <row r="4" spans="2:35" ht="15" x14ac:dyDescent="0.25">
      <c r="B4" s="4" t="s">
        <v>1631</v>
      </c>
    </row>
    <row r="6" spans="2:35" ht="15" x14ac:dyDescent="0.25">
      <c r="B6" s="4" t="s">
        <v>1632</v>
      </c>
    </row>
    <row r="8" spans="2:35" ht="15" x14ac:dyDescent="0.25">
      <c r="B8" s="4" t="s">
        <v>1633</v>
      </c>
    </row>
    <row r="10" spans="2:35" ht="15" x14ac:dyDescent="0.25">
      <c r="B10" s="4" t="s">
        <v>1634</v>
      </c>
    </row>
    <row r="53" spans="2:3" ht="15" x14ac:dyDescent="0.25">
      <c r="B53" s="4"/>
    </row>
    <row r="55" spans="2:3" ht="15" x14ac:dyDescent="0.25">
      <c r="B55" s="4"/>
    </row>
    <row r="57" spans="2:3" ht="15" x14ac:dyDescent="0.25">
      <c r="B57" s="4"/>
    </row>
    <row r="62" spans="2:3" ht="15" x14ac:dyDescent="0.25">
      <c r="B62" s="4"/>
    </row>
    <row r="64" spans="2:3" ht="15" x14ac:dyDescent="0.25">
      <c r="C64" s="4"/>
    </row>
    <row r="66" spans="1:33" ht="15" x14ac:dyDescent="0.25">
      <c r="B66" s="4"/>
    </row>
    <row r="67" spans="1:33" ht="15" x14ac:dyDescent="0.25">
      <c r="B67" s="4"/>
    </row>
    <row r="68" spans="1:33" ht="15" x14ac:dyDescent="0.25">
      <c r="B68" s="4"/>
    </row>
    <row r="69" spans="1:33" ht="15" x14ac:dyDescent="0.25">
      <c r="B69" s="4"/>
    </row>
    <row r="70" spans="1:33" ht="15" x14ac:dyDescent="0.25">
      <c r="B70" s="4"/>
    </row>
    <row r="71" spans="1:33" ht="15" x14ac:dyDescent="0.25">
      <c r="B71" s="4"/>
    </row>
    <row r="72" spans="1:33" ht="15" x14ac:dyDescent="0.25">
      <c r="B72" s="4"/>
    </row>
    <row r="73" spans="1:33" ht="15" x14ac:dyDescent="0.25">
      <c r="B73" s="4"/>
    </row>
    <row r="74" spans="1:33" ht="15" x14ac:dyDescent="0.25">
      <c r="B74" s="4"/>
    </row>
    <row r="75" spans="1:33" ht="15" x14ac:dyDescent="0.25">
      <c r="B75" s="4"/>
    </row>
    <row r="76" spans="1:33" ht="15" x14ac:dyDescent="0.25">
      <c r="B76" s="4"/>
    </row>
    <row r="77" spans="1:33" ht="15" x14ac:dyDescent="0.25">
      <c r="B77" s="4"/>
    </row>
    <row r="78" spans="1:33" ht="15" customHeight="1" x14ac:dyDescent="0.2">
      <c r="A78" s="375" t="s">
        <v>1635</v>
      </c>
      <c r="B78" s="375"/>
      <c r="C78" s="375"/>
      <c r="D78" s="375"/>
      <c r="E78" s="375"/>
      <c r="F78" s="375"/>
      <c r="G78" s="375"/>
      <c r="H78" s="375"/>
      <c r="I78" s="375"/>
      <c r="J78" s="375"/>
      <c r="K78" s="375"/>
      <c r="L78" s="375"/>
      <c r="M78" s="375"/>
      <c r="N78" s="375"/>
      <c r="O78" s="375"/>
      <c r="P78" s="375"/>
      <c r="Q78" s="375"/>
      <c r="R78" s="375"/>
      <c r="S78" s="375"/>
      <c r="T78" s="375"/>
      <c r="U78" s="375"/>
      <c r="V78" s="375"/>
      <c r="W78" s="375"/>
      <c r="X78" s="375"/>
      <c r="Y78" s="375"/>
      <c r="Z78" s="375"/>
      <c r="AA78" s="375"/>
      <c r="AB78" s="375"/>
      <c r="AC78" s="375"/>
      <c r="AD78" s="375"/>
      <c r="AE78" s="375"/>
      <c r="AF78" s="375"/>
      <c r="AG78" s="375"/>
    </row>
    <row r="79" spans="1:33" ht="15" customHeight="1" x14ac:dyDescent="0.2">
      <c r="A79" s="375"/>
      <c r="B79" s="375"/>
      <c r="C79" s="375"/>
      <c r="D79" s="375"/>
      <c r="E79" s="375"/>
      <c r="F79" s="375"/>
      <c r="G79" s="375"/>
      <c r="H79" s="375"/>
      <c r="I79" s="375"/>
      <c r="J79" s="375"/>
      <c r="K79" s="375"/>
      <c r="L79" s="375"/>
      <c r="M79" s="375"/>
      <c r="N79" s="375"/>
      <c r="O79" s="375"/>
      <c r="P79" s="375"/>
      <c r="Q79" s="375"/>
      <c r="R79" s="375"/>
      <c r="S79" s="375"/>
      <c r="T79" s="375"/>
      <c r="U79" s="375"/>
      <c r="V79" s="375"/>
      <c r="W79" s="375"/>
      <c r="X79" s="375"/>
      <c r="Y79" s="375"/>
      <c r="Z79" s="375"/>
      <c r="AA79" s="375"/>
      <c r="AB79" s="375"/>
      <c r="AC79" s="375"/>
      <c r="AD79" s="375"/>
      <c r="AE79" s="375"/>
      <c r="AF79" s="375"/>
      <c r="AG79" s="375"/>
    </row>
    <row r="80" spans="1:33" ht="15" customHeight="1" x14ac:dyDescent="0.2">
      <c r="A80" s="375"/>
      <c r="B80" s="375"/>
      <c r="C80" s="375"/>
      <c r="D80" s="375"/>
      <c r="E80" s="375"/>
      <c r="F80" s="375"/>
      <c r="G80" s="375"/>
      <c r="H80" s="375"/>
      <c r="I80" s="375"/>
      <c r="J80" s="375"/>
      <c r="K80" s="375"/>
      <c r="L80" s="375"/>
      <c r="M80" s="375"/>
      <c r="N80" s="375"/>
      <c r="O80" s="375"/>
      <c r="P80" s="375"/>
      <c r="Q80" s="375"/>
      <c r="R80" s="375"/>
      <c r="S80" s="375"/>
      <c r="T80" s="375"/>
      <c r="U80" s="375"/>
      <c r="V80" s="375"/>
      <c r="W80" s="375"/>
      <c r="X80" s="375"/>
      <c r="Y80" s="375"/>
      <c r="Z80" s="375"/>
      <c r="AA80" s="375"/>
      <c r="AB80" s="375"/>
      <c r="AC80" s="375"/>
      <c r="AD80" s="375"/>
      <c r="AE80" s="375"/>
      <c r="AF80" s="375"/>
      <c r="AG80" s="375"/>
    </row>
    <row r="81" spans="1:33" ht="15" customHeight="1" x14ac:dyDescent="0.2">
      <c r="A81" s="375"/>
      <c r="B81" s="375"/>
      <c r="C81" s="375"/>
      <c r="D81" s="375"/>
      <c r="E81" s="375"/>
      <c r="F81" s="375"/>
      <c r="G81" s="375"/>
      <c r="H81" s="375"/>
      <c r="I81" s="375"/>
      <c r="J81" s="375"/>
      <c r="K81" s="375"/>
      <c r="L81" s="375"/>
      <c r="M81" s="375"/>
      <c r="N81" s="375"/>
      <c r="O81" s="375"/>
      <c r="P81" s="375"/>
      <c r="Q81" s="375"/>
      <c r="R81" s="375"/>
      <c r="S81" s="375"/>
      <c r="T81" s="375"/>
      <c r="U81" s="375"/>
      <c r="V81" s="375"/>
      <c r="W81" s="375"/>
      <c r="X81" s="375"/>
      <c r="Y81" s="375"/>
      <c r="Z81" s="375"/>
      <c r="AA81" s="375"/>
      <c r="AB81" s="375"/>
      <c r="AC81" s="375"/>
      <c r="AD81" s="375"/>
      <c r="AE81" s="375"/>
      <c r="AF81" s="375"/>
      <c r="AG81" s="375"/>
    </row>
    <row r="82" spans="1:33" ht="15" x14ac:dyDescent="0.25">
      <c r="B82" s="4"/>
    </row>
    <row r="83" spans="1:33" ht="15" x14ac:dyDescent="0.25">
      <c r="B83" s="4"/>
    </row>
    <row r="84" spans="1:33" ht="15" x14ac:dyDescent="0.25">
      <c r="B84" s="4"/>
    </row>
    <row r="85" spans="1:33" ht="15" x14ac:dyDescent="0.25">
      <c r="B85" s="4"/>
    </row>
    <row r="86" spans="1:33" ht="15" x14ac:dyDescent="0.25">
      <c r="B86" s="4"/>
    </row>
    <row r="87" spans="1:33" ht="15" x14ac:dyDescent="0.25">
      <c r="B87" s="4"/>
    </row>
    <row r="88" spans="1:33" ht="15" x14ac:dyDescent="0.25">
      <c r="B88" s="4"/>
    </row>
    <row r="89" spans="1:33" ht="15" x14ac:dyDescent="0.25">
      <c r="B89" s="4"/>
    </row>
    <row r="90" spans="1:33" ht="15" x14ac:dyDescent="0.25">
      <c r="B90" s="4"/>
    </row>
    <row r="91" spans="1:33" ht="15" x14ac:dyDescent="0.25">
      <c r="B91" s="4"/>
    </row>
    <row r="92" spans="1:33" ht="15" x14ac:dyDescent="0.25">
      <c r="B92" s="4"/>
    </row>
    <row r="93" spans="1:33" ht="15" x14ac:dyDescent="0.25">
      <c r="B93" s="4"/>
    </row>
    <row r="95" spans="1:33" ht="15" x14ac:dyDescent="0.25">
      <c r="B95" s="4"/>
    </row>
    <row r="97" spans="2:2" ht="15" x14ac:dyDescent="0.25">
      <c r="B97" s="4"/>
    </row>
    <row r="99" spans="2:2" ht="15" x14ac:dyDescent="0.25">
      <c r="B99" s="4"/>
    </row>
    <row r="108" spans="2:2" ht="15" x14ac:dyDescent="0.25">
      <c r="B108" s="4"/>
    </row>
    <row r="110" spans="2:2" ht="15" x14ac:dyDescent="0.25">
      <c r="B110" s="4"/>
    </row>
    <row r="112" spans="2:2" ht="15" x14ac:dyDescent="0.25">
      <c r="B112" s="4"/>
    </row>
    <row r="114" spans="2:3" ht="15" x14ac:dyDescent="0.25">
      <c r="B114" s="4"/>
    </row>
    <row r="116" spans="2:3" ht="15" x14ac:dyDescent="0.25">
      <c r="C116" s="4"/>
    </row>
    <row r="118" spans="2:3" ht="15" x14ac:dyDescent="0.25">
      <c r="B118" s="4"/>
    </row>
    <row r="119" spans="2:3" ht="15" x14ac:dyDescent="0.25">
      <c r="B119" s="4"/>
    </row>
    <row r="120" spans="2:3" ht="15" x14ac:dyDescent="0.25">
      <c r="B120" s="4"/>
    </row>
    <row r="121" spans="2:3" ht="15" x14ac:dyDescent="0.25">
      <c r="B121" s="4"/>
    </row>
    <row r="122" spans="2:3" ht="15" x14ac:dyDescent="0.25">
      <c r="B122" s="4"/>
    </row>
    <row r="123" spans="2:3" ht="15" x14ac:dyDescent="0.25">
      <c r="B123" s="4"/>
    </row>
    <row r="124" spans="2:3" ht="15" x14ac:dyDescent="0.25">
      <c r="B124" s="4"/>
    </row>
    <row r="125" spans="2:3" ht="15" x14ac:dyDescent="0.25">
      <c r="B125" s="4"/>
    </row>
    <row r="126" spans="2:3" ht="15" x14ac:dyDescent="0.25">
      <c r="B126" s="4"/>
    </row>
    <row r="127" spans="2:3" ht="15" x14ac:dyDescent="0.25">
      <c r="B127" s="4"/>
    </row>
    <row r="128" spans="2:3" ht="15" x14ac:dyDescent="0.25">
      <c r="B128" s="4"/>
    </row>
    <row r="129" spans="1:33" ht="15" x14ac:dyDescent="0.25">
      <c r="B129" s="4"/>
    </row>
    <row r="130" spans="1:33" ht="15" customHeight="1" x14ac:dyDescent="0.2">
      <c r="A130" s="375" t="s">
        <v>1636</v>
      </c>
      <c r="B130" s="375"/>
      <c r="C130" s="375"/>
      <c r="D130" s="375"/>
      <c r="E130" s="375"/>
      <c r="F130" s="375"/>
      <c r="G130" s="375"/>
      <c r="H130" s="375"/>
      <c r="I130" s="375"/>
      <c r="J130" s="375"/>
      <c r="K130" s="375"/>
      <c r="L130" s="375"/>
      <c r="M130" s="375"/>
      <c r="N130" s="375"/>
      <c r="O130" s="375"/>
      <c r="P130" s="375"/>
      <c r="Q130" s="375"/>
      <c r="R130" s="375"/>
      <c r="S130" s="375"/>
      <c r="T130" s="375"/>
      <c r="U130" s="375"/>
      <c r="V130" s="375"/>
      <c r="W130" s="375"/>
      <c r="X130" s="375"/>
      <c r="Y130" s="375"/>
      <c r="Z130" s="375"/>
      <c r="AA130" s="375"/>
      <c r="AB130" s="375"/>
      <c r="AC130" s="375"/>
      <c r="AD130" s="375"/>
      <c r="AE130" s="375"/>
      <c r="AF130" s="375"/>
      <c r="AG130" s="375"/>
    </row>
    <row r="131" spans="1:33" ht="15" customHeight="1" x14ac:dyDescent="0.2">
      <c r="A131" s="375"/>
      <c r="B131" s="375"/>
      <c r="C131" s="375"/>
      <c r="D131" s="375"/>
      <c r="E131" s="375"/>
      <c r="F131" s="375"/>
      <c r="G131" s="375"/>
      <c r="H131" s="375"/>
      <c r="I131" s="375"/>
      <c r="J131" s="375"/>
      <c r="K131" s="375"/>
      <c r="L131" s="375"/>
      <c r="M131" s="375"/>
      <c r="N131" s="375"/>
      <c r="O131" s="375"/>
      <c r="P131" s="375"/>
      <c r="Q131" s="375"/>
      <c r="R131" s="375"/>
      <c r="S131" s="375"/>
      <c r="T131" s="375"/>
      <c r="U131" s="375"/>
      <c r="V131" s="375"/>
      <c r="W131" s="375"/>
      <c r="X131" s="375"/>
      <c r="Y131" s="375"/>
      <c r="Z131" s="375"/>
      <c r="AA131" s="375"/>
      <c r="AB131" s="375"/>
      <c r="AC131" s="375"/>
      <c r="AD131" s="375"/>
      <c r="AE131" s="375"/>
      <c r="AF131" s="375"/>
      <c r="AG131" s="375"/>
    </row>
    <row r="132" spans="1:33" ht="15" customHeight="1" x14ac:dyDescent="0.2">
      <c r="A132" s="375"/>
      <c r="B132" s="375"/>
      <c r="C132" s="375"/>
      <c r="D132" s="375"/>
      <c r="E132" s="375"/>
      <c r="F132" s="375"/>
      <c r="G132" s="375"/>
      <c r="H132" s="375"/>
      <c r="I132" s="375"/>
      <c r="J132" s="375"/>
      <c r="K132" s="375"/>
      <c r="L132" s="375"/>
      <c r="M132" s="375"/>
      <c r="N132" s="375"/>
      <c r="O132" s="375"/>
      <c r="P132" s="375"/>
      <c r="Q132" s="375"/>
      <c r="R132" s="375"/>
      <c r="S132" s="375"/>
      <c r="T132" s="375"/>
      <c r="U132" s="375"/>
      <c r="V132" s="375"/>
      <c r="W132" s="375"/>
      <c r="X132" s="375"/>
      <c r="Y132" s="375"/>
      <c r="Z132" s="375"/>
      <c r="AA132" s="375"/>
      <c r="AB132" s="375"/>
      <c r="AC132" s="375"/>
      <c r="AD132" s="375"/>
      <c r="AE132" s="375"/>
      <c r="AF132" s="375"/>
      <c r="AG132" s="375"/>
    </row>
    <row r="133" spans="1:33" ht="15" customHeight="1" x14ac:dyDescent="0.2">
      <c r="A133" s="375"/>
      <c r="B133" s="375"/>
      <c r="C133" s="375"/>
      <c r="D133" s="375"/>
      <c r="E133" s="375"/>
      <c r="F133" s="375"/>
      <c r="G133" s="375"/>
      <c r="H133" s="375"/>
      <c r="I133" s="375"/>
      <c r="J133" s="375"/>
      <c r="K133" s="375"/>
      <c r="L133" s="375"/>
      <c r="M133" s="375"/>
      <c r="N133" s="375"/>
      <c r="O133" s="375"/>
      <c r="P133" s="375"/>
      <c r="Q133" s="375"/>
      <c r="R133" s="375"/>
      <c r="S133" s="375"/>
      <c r="T133" s="375"/>
      <c r="U133" s="375"/>
      <c r="V133" s="375"/>
      <c r="W133" s="375"/>
      <c r="X133" s="375"/>
      <c r="Y133" s="375"/>
      <c r="Z133" s="375"/>
      <c r="AA133" s="375"/>
      <c r="AB133" s="375"/>
      <c r="AC133" s="375"/>
      <c r="AD133" s="375"/>
      <c r="AE133" s="375"/>
      <c r="AF133" s="375"/>
      <c r="AG133" s="375"/>
    </row>
    <row r="134" spans="1:33" ht="15" x14ac:dyDescent="0.25">
      <c r="B134" s="4"/>
    </row>
    <row r="135" spans="1:33" ht="15" x14ac:dyDescent="0.25">
      <c r="B135" s="4"/>
    </row>
    <row r="136" spans="1:33" ht="15" x14ac:dyDescent="0.25">
      <c r="B136" s="4"/>
    </row>
    <row r="137" spans="1:33" ht="15" x14ac:dyDescent="0.25">
      <c r="B137" s="4"/>
    </row>
    <row r="138" spans="1:33" ht="15" x14ac:dyDescent="0.25">
      <c r="B138" s="4"/>
    </row>
    <row r="139" spans="1:33" ht="15" x14ac:dyDescent="0.25">
      <c r="B139" s="4"/>
    </row>
    <row r="140" spans="1:33" ht="15" x14ac:dyDescent="0.25">
      <c r="B140" s="4"/>
    </row>
    <row r="141" spans="1:33" ht="15" x14ac:dyDescent="0.25">
      <c r="B141" s="4"/>
    </row>
    <row r="142" spans="1:33" ht="15" x14ac:dyDescent="0.25">
      <c r="B142" s="4"/>
    </row>
    <row r="143" spans="1:33" ht="15" x14ac:dyDescent="0.25">
      <c r="B143" s="4"/>
    </row>
    <row r="144" spans="1:33" ht="15" x14ac:dyDescent="0.25">
      <c r="B144" s="4"/>
    </row>
    <row r="145" spans="2:2" ht="15" x14ac:dyDescent="0.25">
      <c r="B145" s="4"/>
    </row>
    <row r="147" spans="2:2" ht="15" x14ac:dyDescent="0.25">
      <c r="B147" s="4"/>
    </row>
    <row r="149" spans="2:2" ht="15" x14ac:dyDescent="0.25">
      <c r="B149" s="4"/>
    </row>
    <row r="151" spans="2:2" ht="15" x14ac:dyDescent="0.25">
      <c r="B151" s="4"/>
    </row>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row r="173" s="1" customFormat="1" x14ac:dyDescent="0.2"/>
    <row r="174" s="1" customFormat="1" x14ac:dyDescent="0.2"/>
    <row r="175" s="1" customFormat="1" x14ac:dyDescent="0.2"/>
    <row r="176" s="1" customFormat="1" x14ac:dyDescent="0.2"/>
    <row r="183" spans="1:33" ht="15" customHeight="1" x14ac:dyDescent="0.2">
      <c r="A183" s="375" t="s">
        <v>1637</v>
      </c>
      <c r="B183" s="375"/>
      <c r="C183" s="375"/>
      <c r="D183" s="375"/>
      <c r="E183" s="375"/>
      <c r="F183" s="375"/>
      <c r="G183" s="375"/>
      <c r="H183" s="375"/>
      <c r="I183" s="375"/>
      <c r="J183" s="375"/>
      <c r="K183" s="375"/>
      <c r="L183" s="375"/>
      <c r="M183" s="375"/>
      <c r="N183" s="375"/>
      <c r="O183" s="375"/>
      <c r="P183" s="375"/>
      <c r="Q183" s="375"/>
      <c r="R183" s="375"/>
      <c r="S183" s="375"/>
      <c r="T183" s="375"/>
      <c r="U183" s="375"/>
      <c r="V183" s="375"/>
      <c r="W183" s="375"/>
      <c r="X183" s="375"/>
      <c r="Y183" s="375"/>
      <c r="Z183" s="375"/>
      <c r="AA183" s="375"/>
      <c r="AB183" s="375"/>
      <c r="AC183" s="375"/>
      <c r="AD183" s="375"/>
      <c r="AE183" s="375"/>
      <c r="AF183" s="375"/>
      <c r="AG183" s="375"/>
    </row>
    <row r="184" spans="1:33" ht="15" customHeight="1" x14ac:dyDescent="0.2">
      <c r="A184" s="375"/>
      <c r="B184" s="375"/>
      <c r="C184" s="375"/>
      <c r="D184" s="375"/>
      <c r="E184" s="375"/>
      <c r="F184" s="375"/>
      <c r="G184" s="375"/>
      <c r="H184" s="375"/>
      <c r="I184" s="375"/>
      <c r="J184" s="375"/>
      <c r="K184" s="375"/>
      <c r="L184" s="375"/>
      <c r="M184" s="375"/>
      <c r="N184" s="375"/>
      <c r="O184" s="375"/>
      <c r="P184" s="375"/>
      <c r="Q184" s="375"/>
      <c r="R184" s="375"/>
      <c r="S184" s="375"/>
      <c r="T184" s="375"/>
      <c r="U184" s="375"/>
      <c r="V184" s="375"/>
      <c r="W184" s="375"/>
      <c r="X184" s="375"/>
      <c r="Y184" s="375"/>
      <c r="Z184" s="375"/>
      <c r="AA184" s="375"/>
      <c r="AB184" s="375"/>
      <c r="AC184" s="375"/>
      <c r="AD184" s="375"/>
      <c r="AE184" s="375"/>
      <c r="AF184" s="375"/>
      <c r="AG184" s="375"/>
    </row>
    <row r="185" spans="1:33" ht="15" customHeight="1" x14ac:dyDescent="0.2">
      <c r="A185" s="375"/>
      <c r="B185" s="375"/>
      <c r="C185" s="375"/>
      <c r="D185" s="375"/>
      <c r="E185" s="375"/>
      <c r="F185" s="375"/>
      <c r="G185" s="375"/>
      <c r="H185" s="375"/>
      <c r="I185" s="375"/>
      <c r="J185" s="375"/>
      <c r="K185" s="375"/>
      <c r="L185" s="375"/>
      <c r="M185" s="375"/>
      <c r="N185" s="375"/>
      <c r="O185" s="375"/>
      <c r="P185" s="375"/>
      <c r="Q185" s="375"/>
      <c r="R185" s="375"/>
      <c r="S185" s="375"/>
      <c r="T185" s="375"/>
      <c r="U185" s="375"/>
      <c r="V185" s="375"/>
      <c r="W185" s="375"/>
      <c r="X185" s="375"/>
      <c r="Y185" s="375"/>
      <c r="Z185" s="375"/>
      <c r="AA185" s="375"/>
      <c r="AB185" s="375"/>
      <c r="AC185" s="375"/>
      <c r="AD185" s="375"/>
      <c r="AE185" s="375"/>
      <c r="AF185" s="375"/>
      <c r="AG185" s="375"/>
    </row>
    <row r="186" spans="1:33" ht="15" customHeight="1" x14ac:dyDescent="0.2">
      <c r="A186" s="375"/>
      <c r="B186" s="375"/>
      <c r="C186" s="375"/>
      <c r="D186" s="375"/>
      <c r="E186" s="375"/>
      <c r="F186" s="375"/>
      <c r="G186" s="375"/>
      <c r="H186" s="375"/>
      <c r="I186" s="375"/>
      <c r="J186" s="375"/>
      <c r="K186" s="375"/>
      <c r="L186" s="375"/>
      <c r="M186" s="375"/>
      <c r="N186" s="375"/>
      <c r="O186" s="375"/>
      <c r="P186" s="375"/>
      <c r="Q186" s="375"/>
      <c r="R186" s="375"/>
      <c r="S186" s="375"/>
      <c r="T186" s="375"/>
      <c r="U186" s="375"/>
      <c r="V186" s="375"/>
      <c r="W186" s="375"/>
      <c r="X186" s="375"/>
      <c r="Y186" s="375"/>
      <c r="Z186" s="375"/>
      <c r="AA186" s="375"/>
      <c r="AB186" s="375"/>
      <c r="AC186" s="375"/>
      <c r="AD186" s="375"/>
      <c r="AE186" s="375"/>
      <c r="AF186" s="375"/>
      <c r="AG186" s="375"/>
    </row>
    <row r="237" spans="1:33" ht="15" customHeight="1" x14ac:dyDescent="0.2">
      <c r="A237" s="375" t="s">
        <v>1638</v>
      </c>
      <c r="B237" s="375"/>
      <c r="C237" s="375"/>
      <c r="D237" s="375"/>
      <c r="E237" s="375"/>
      <c r="F237" s="375"/>
      <c r="G237" s="375"/>
      <c r="H237" s="375"/>
      <c r="I237" s="375"/>
      <c r="J237" s="375"/>
      <c r="K237" s="375"/>
      <c r="L237" s="375"/>
      <c r="M237" s="375"/>
      <c r="N237" s="375"/>
      <c r="O237" s="375"/>
      <c r="P237" s="375"/>
      <c r="Q237" s="375"/>
      <c r="R237" s="375"/>
      <c r="S237" s="375"/>
      <c r="T237" s="375"/>
      <c r="U237" s="375"/>
      <c r="V237" s="375"/>
      <c r="W237" s="375"/>
      <c r="X237" s="375"/>
      <c r="Y237" s="375"/>
      <c r="Z237" s="375"/>
      <c r="AA237" s="375"/>
      <c r="AB237" s="375"/>
      <c r="AC237" s="375"/>
      <c r="AD237" s="375"/>
      <c r="AE237" s="375"/>
      <c r="AF237" s="375"/>
      <c r="AG237" s="375"/>
    </row>
    <row r="238" spans="1:33" ht="15" customHeight="1" x14ac:dyDescent="0.2">
      <c r="A238" s="375"/>
      <c r="B238" s="375"/>
      <c r="C238" s="375"/>
      <c r="D238" s="375"/>
      <c r="E238" s="375"/>
      <c r="F238" s="375"/>
      <c r="G238" s="375"/>
      <c r="H238" s="375"/>
      <c r="I238" s="375"/>
      <c r="J238" s="375"/>
      <c r="K238" s="375"/>
      <c r="L238" s="375"/>
      <c r="M238" s="375"/>
      <c r="N238" s="375"/>
      <c r="O238" s="375"/>
      <c r="P238" s="375"/>
      <c r="Q238" s="375"/>
      <c r="R238" s="375"/>
      <c r="S238" s="375"/>
      <c r="T238" s="375"/>
      <c r="U238" s="375"/>
      <c r="V238" s="375"/>
      <c r="W238" s="375"/>
      <c r="X238" s="375"/>
      <c r="Y238" s="375"/>
      <c r="Z238" s="375"/>
      <c r="AA238" s="375"/>
      <c r="AB238" s="375"/>
      <c r="AC238" s="375"/>
      <c r="AD238" s="375"/>
      <c r="AE238" s="375"/>
      <c r="AF238" s="375"/>
      <c r="AG238" s="375"/>
    </row>
    <row r="239" spans="1:33" ht="15" customHeight="1" x14ac:dyDescent="0.2">
      <c r="A239" s="375"/>
      <c r="B239" s="375"/>
      <c r="C239" s="375"/>
      <c r="D239" s="375"/>
      <c r="E239" s="375"/>
      <c r="F239" s="375"/>
      <c r="G239" s="375"/>
      <c r="H239" s="375"/>
      <c r="I239" s="375"/>
      <c r="J239" s="375"/>
      <c r="K239" s="375"/>
      <c r="L239" s="375"/>
      <c r="M239" s="375"/>
      <c r="N239" s="375"/>
      <c r="O239" s="375"/>
      <c r="P239" s="375"/>
      <c r="Q239" s="375"/>
      <c r="R239" s="375"/>
      <c r="S239" s="375"/>
      <c r="T239" s="375"/>
      <c r="U239" s="375"/>
      <c r="V239" s="375"/>
      <c r="W239" s="375"/>
      <c r="X239" s="375"/>
      <c r="Y239" s="375"/>
      <c r="Z239" s="375"/>
      <c r="AA239" s="375"/>
      <c r="AB239" s="375"/>
      <c r="AC239" s="375"/>
      <c r="AD239" s="375"/>
      <c r="AE239" s="375"/>
      <c r="AF239" s="375"/>
      <c r="AG239" s="375"/>
    </row>
    <row r="240" spans="1:33" ht="15" customHeight="1" x14ac:dyDescent="0.2">
      <c r="A240" s="375"/>
      <c r="B240" s="375"/>
      <c r="C240" s="375"/>
      <c r="D240" s="375"/>
      <c r="E240" s="375"/>
      <c r="F240" s="375"/>
      <c r="G240" s="375"/>
      <c r="H240" s="375"/>
      <c r="I240" s="375"/>
      <c r="J240" s="375"/>
      <c r="K240" s="375"/>
      <c r="L240" s="375"/>
      <c r="M240" s="375"/>
      <c r="N240" s="375"/>
      <c r="O240" s="375"/>
      <c r="P240" s="375"/>
      <c r="Q240" s="375"/>
      <c r="R240" s="375"/>
      <c r="S240" s="375"/>
      <c r="T240" s="375"/>
      <c r="U240" s="375"/>
      <c r="V240" s="375"/>
      <c r="W240" s="375"/>
      <c r="X240" s="375"/>
      <c r="Y240" s="375"/>
      <c r="Z240" s="375"/>
      <c r="AA240" s="375"/>
      <c r="AB240" s="375"/>
      <c r="AC240" s="375"/>
      <c r="AD240" s="375"/>
      <c r="AE240" s="375"/>
      <c r="AF240" s="375"/>
      <c r="AG240" s="375"/>
    </row>
  </sheetData>
  <mergeCells count="4">
    <mergeCell ref="A78:AG81"/>
    <mergeCell ref="A130:AG133"/>
    <mergeCell ref="A183:AG186"/>
    <mergeCell ref="A237:AG240"/>
  </mergeCells>
  <pageMargins left="0.7" right="0.7" top="1.25" bottom="0.75" header="0.3" footer="0.3"/>
  <pageSetup scale="87" fitToHeight="0" orientation="portrait" horizontalDpi="1200" verticalDpi="1200" r:id="rId1"/>
  <headerFooter>
    <oddHeader>&amp;L&amp;G
Client: Keyera
Project No: F3KY&amp;C&amp;G&amp;RDesigned By: CW
Checked By: JS
Date: 13-MAY-2026
Revision: 0</oddHeader>
    <oddFooter>&amp;LContractor Document No:  F3KY-215-CAL-047</oddFoot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7CF628B-7C29-4B58-A4F0-5A3182C9841E}">
  <ds:schemaRefs>
    <ds:schemaRef ds:uri="http://schemas.microsoft.com/DataMashup"/>
  </ds:schemaRefs>
</ds:datastoreItem>
</file>

<file path=docMetadata/LabelInfo.xml><?xml version="1.0" encoding="utf-8"?>
<clbl:labelList xmlns:clbl="http://schemas.microsoft.com/office/2020/mipLabelMetadata">
  <clbl:label id="{e9d746c0-3369-42be-bf83-6862f3f56ae7}" enabled="1" method="Standard" siteId="{75864cfe-f26d-419c-b69d-c638695b5533}"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CP, RH, TofC_R1</vt:lpstr>
      <vt:lpstr>1. Risk &amp; Uncert_R1</vt:lpstr>
      <vt:lpstr>2. Comp F I_R1</vt:lpstr>
      <vt:lpstr>3. Risk Closure_R1</vt:lpstr>
      <vt:lpstr>CP, RH, TofC</vt:lpstr>
      <vt:lpstr>1. Risk &amp; Uncert</vt:lpstr>
      <vt:lpstr>2. Comp F I</vt:lpstr>
      <vt:lpstr>3. Desc of Calc</vt:lpstr>
      <vt:lpstr>4. Basis of Design</vt:lpstr>
      <vt:lpstr>5. Anal &amp; Design Phil</vt:lpstr>
      <vt:lpstr>6. Pump Info</vt:lpstr>
      <vt:lpstr>7. Load Development</vt:lpstr>
      <vt:lpstr>8. Pile Design</vt:lpstr>
      <vt:lpstr>9. Pile Cap</vt:lpstr>
      <vt:lpstr>10. Local FDN</vt:lpstr>
      <vt:lpstr>11. APPENDIX</vt:lpstr>
      <vt:lpstr>'1. Risk &amp; Uncert'!Print_Area</vt:lpstr>
      <vt:lpstr>'1. Risk &amp; Uncert_R1'!Print_Area</vt:lpstr>
      <vt:lpstr>'10. Local FDN'!Print_Area</vt:lpstr>
      <vt:lpstr>'11. APPENDIX'!Print_Area</vt:lpstr>
      <vt:lpstr>'2. Comp F I'!Print_Area</vt:lpstr>
      <vt:lpstr>'2. Comp F I_R1'!Print_Area</vt:lpstr>
      <vt:lpstr>'3. Desc of Calc'!Print_Area</vt:lpstr>
      <vt:lpstr>'3. Risk Closure_R1'!Print_Area</vt:lpstr>
      <vt:lpstr>'4. Basis of Design'!Print_Area</vt:lpstr>
      <vt:lpstr>'5. Anal &amp; Design Phil'!Print_Area</vt:lpstr>
      <vt:lpstr>'6. Pump Info'!Print_Area</vt:lpstr>
      <vt:lpstr>'7. Load Development'!Print_Area</vt:lpstr>
      <vt:lpstr>'8. Pile Design'!Print_Area</vt:lpstr>
      <vt:lpstr>'9. Pile Cap'!Print_Area</vt:lpstr>
      <vt:lpstr>'CP, RH, TofC'!Print_Area</vt:lpstr>
      <vt:lpstr>'CP, RH, TofC_R1'!Print_Area</vt:lpstr>
      <vt:lpstr>'10. Local FDN'!Yes_No</vt:lpstr>
      <vt:lpstr>'3. Risk Closure_R1'!Yes_No</vt:lpstr>
      <vt:lpstr>'6. Pump Info'!Yes_No</vt:lpstr>
      <vt:lpstr>Yes_No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Halvorsen</dc:creator>
  <cp:lastModifiedBy>Coltin Walsh</cp:lastModifiedBy>
  <cp:lastPrinted>2026-05-25T16:05:56Z</cp:lastPrinted>
  <dcterms:created xsi:type="dcterms:W3CDTF">2022-04-01T14:22:07Z</dcterms:created>
  <dcterms:modified xsi:type="dcterms:W3CDTF">2026-05-25T16:20:34Z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9d746c0-3369-42be-bf83-6862f3f56ae7_Enabled">
    <vt:lpwstr>true</vt:lpwstr>
  </property>
  <property fmtid="{D5CDD505-2E9C-101B-9397-08002B2CF9AE}" pid="3" name="MSIP_Label_e9d746c0-3369-42be-bf83-6862f3f56ae7_SetDate">
    <vt:lpwstr>2022-04-01T14:22:07Z</vt:lpwstr>
  </property>
  <property fmtid="{D5CDD505-2E9C-101B-9397-08002B2CF9AE}" pid="4" name="MSIP_Label_e9d746c0-3369-42be-bf83-6862f3f56ae7_Method">
    <vt:lpwstr>Standard</vt:lpwstr>
  </property>
  <property fmtid="{D5CDD505-2E9C-101B-9397-08002B2CF9AE}" pid="5" name="MSIP_Label_e9d746c0-3369-42be-bf83-6862f3f56ae7_Name">
    <vt:lpwstr>Fluor General</vt:lpwstr>
  </property>
  <property fmtid="{D5CDD505-2E9C-101B-9397-08002B2CF9AE}" pid="6" name="MSIP_Label_e9d746c0-3369-42be-bf83-6862f3f56ae7_SiteId">
    <vt:lpwstr>75864cfe-f26d-419c-b69d-c638695b5533</vt:lpwstr>
  </property>
  <property fmtid="{D5CDD505-2E9C-101B-9397-08002B2CF9AE}" pid="7" name="MSIP_Label_e9d746c0-3369-42be-bf83-6862f3f56ae7_ActionId">
    <vt:lpwstr>a7157792-1366-48ff-a074-023038b8e03c</vt:lpwstr>
  </property>
  <property fmtid="{D5CDD505-2E9C-101B-9397-08002B2CF9AE}" pid="8" name="MSIP_Label_e9d746c0-3369-42be-bf83-6862f3f56ae7_ContentBits">
    <vt:lpwstr>0</vt:lpwstr>
  </property>
</Properties>
</file>