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202300"/>
  <mc:AlternateContent xmlns:mc="http://schemas.openxmlformats.org/markup-compatibility/2006">
    <mc:Choice Requires="x15">
      <x15ac:absPath xmlns:x15ac="http://schemas.microsoft.com/office/spreadsheetml/2010/11/ac" url="/Users/coltongearhart/Desktop/exam5 2/files/"/>
    </mc:Choice>
  </mc:AlternateContent>
  <xr:revisionPtr revIDLastSave="0" documentId="13_ncr:1_{86EF95A6-67ED-0E42-9C02-7278C1AD1752}" xr6:coauthVersionLast="47" xr6:coauthVersionMax="47" xr10:uidLastSave="{00000000-0000-0000-0000-000000000000}"/>
  <bookViews>
    <workbookView xWindow="0" yWindow="760" windowWidth="30240" windowHeight="17620" activeTab="13" xr2:uid="{BB8505BC-BCB7-B340-A120-C046C43AD7BD}"/>
  </bookViews>
  <sheets>
    <sheet name="2.2.1" sheetId="1" r:id="rId1"/>
    <sheet name="2.2.2" sheetId="2" r:id="rId2"/>
    <sheet name="2.3.1" sheetId="3" r:id="rId3"/>
    <sheet name="2.3.3" sheetId="4" r:id="rId4"/>
    <sheet name="2.4.3" sheetId="5" r:id="rId5"/>
    <sheet name="2.5.3" sheetId="6" r:id="rId6"/>
    <sheet name="2.6.1" sheetId="7" r:id="rId7"/>
    <sheet name="3.1.3" sheetId="8" r:id="rId8"/>
    <sheet name="3.1.4" sheetId="9" r:id="rId9"/>
    <sheet name="3.3.2" sheetId="11" r:id="rId10"/>
    <sheet name="3.3.3" sheetId="12" r:id="rId11"/>
    <sheet name="3.3.5" sheetId="13" r:id="rId12"/>
    <sheet name="3.4.2" sheetId="14" r:id="rId13"/>
    <sheet name="4.1.2"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5" l="1"/>
  <c r="D13" i="15"/>
  <c r="J14" i="15"/>
  <c r="H9" i="15"/>
  <c r="J6" i="15"/>
  <c r="I6" i="15"/>
  <c r="H6" i="15"/>
  <c r="J7" i="15"/>
  <c r="H8" i="15"/>
  <c r="AV47" i="14"/>
  <c r="AU47" i="14"/>
  <c r="AY52" i="14" s="1"/>
  <c r="AY54" i="14" s="1"/>
  <c r="AV48" i="14"/>
  <c r="AV49" i="14"/>
  <c r="AV50" i="14"/>
  <c r="AV51" i="14"/>
  <c r="AV52" i="14"/>
  <c r="AU48" i="14"/>
  <c r="AU49" i="14"/>
  <c r="AU50" i="14"/>
  <c r="AU51" i="14"/>
  <c r="AU52" i="14"/>
  <c r="AM43" i="14"/>
  <c r="AM39" i="14"/>
  <c r="AM41" i="14" s="1"/>
  <c r="AM34" i="14"/>
  <c r="AM36" i="14" s="1"/>
  <c r="I7" i="15" l="1"/>
  <c r="J8" i="15"/>
  <c r="H7" i="15"/>
  <c r="I8" i="15"/>
  <c r="I9" i="15" s="1"/>
  <c r="J9" i="15"/>
  <c r="AY47" i="14"/>
  <c r="AY49" i="14" s="1"/>
  <c r="AM45" i="14"/>
  <c r="Q14" i="14"/>
  <c r="Q15" i="14"/>
  <c r="Q16" i="14"/>
  <c r="Q17" i="14"/>
  <c r="Q18" i="14"/>
  <c r="Q19" i="14"/>
  <c r="Q20" i="14"/>
  <c r="Q21" i="14"/>
  <c r="I7" i="14"/>
  <c r="I5" i="14"/>
  <c r="I3" i="14"/>
  <c r="AC61" i="13"/>
  <c r="AB61" i="13"/>
  <c r="AC48" i="13"/>
  <c r="AC60" i="13"/>
  <c r="AB52" i="13"/>
  <c r="AC52" i="13" s="1"/>
  <c r="AB53" i="13"/>
  <c r="AC53" i="13" s="1"/>
  <c r="AB54" i="13"/>
  <c r="AC54" i="13" s="1"/>
  <c r="AB55" i="13"/>
  <c r="AC55" i="13" s="1"/>
  <c r="AB56" i="13"/>
  <c r="AC56" i="13" s="1"/>
  <c r="AB57" i="13"/>
  <c r="AC57" i="13" s="1"/>
  <c r="AB58" i="13"/>
  <c r="AC58" i="13" s="1"/>
  <c r="AB59" i="13"/>
  <c r="AC59" i="13" s="1"/>
  <c r="AB60" i="13"/>
  <c r="AB51" i="13"/>
  <c r="AC51" i="13" s="1"/>
  <c r="AA53" i="13"/>
  <c r="AA54" i="13"/>
  <c r="AA55" i="13"/>
  <c r="AA56" i="13"/>
  <c r="AA57" i="13"/>
  <c r="AA58" i="13"/>
  <c r="AA59" i="13"/>
  <c r="AA60" i="13"/>
  <c r="AA61" i="13"/>
  <c r="AA52" i="13"/>
  <c r="O44" i="13"/>
  <c r="T45" i="13"/>
  <c r="T44" i="13"/>
  <c r="T42" i="13"/>
  <c r="T41" i="13"/>
  <c r="T40" i="13"/>
  <c r="X18" i="14" l="1"/>
  <c r="X17" i="14"/>
  <c r="X14" i="14"/>
  <c r="X23" i="14"/>
  <c r="X28" i="14" s="1"/>
  <c r="X22" i="14"/>
  <c r="X27" i="14" s="1"/>
  <c r="X19" i="14"/>
  <c r="X24" i="14" s="1"/>
  <c r="X29" i="14" s="1"/>
  <c r="I9" i="14"/>
  <c r="I12" i="14" s="1"/>
  <c r="K27" i="13"/>
  <c r="K25" i="13"/>
  <c r="F10" i="13"/>
  <c r="E11" i="13"/>
  <c r="E10" i="13"/>
  <c r="D11" i="13"/>
  <c r="F11" i="13" s="1"/>
  <c r="G11" i="13"/>
  <c r="J31" i="13"/>
  <c r="J10" i="13"/>
  <c r="D14" i="13"/>
  <c r="F14" i="13" s="1"/>
  <c r="G10" i="13"/>
  <c r="J17" i="13"/>
  <c r="E12" i="13"/>
  <c r="E13" i="13"/>
  <c r="E14" i="13"/>
  <c r="D12" i="13"/>
  <c r="F12" i="13" s="1"/>
  <c r="D13" i="13"/>
  <c r="F13" i="13" s="1"/>
  <c r="R21" i="12"/>
  <c r="U15" i="12"/>
  <c r="T15" i="12"/>
  <c r="T14" i="12"/>
  <c r="W22" i="12"/>
  <c r="U14" i="12"/>
  <c r="U20" i="12"/>
  <c r="T16" i="12"/>
  <c r="U16" i="12" s="1"/>
  <c r="T17" i="12"/>
  <c r="U17" i="12" s="1"/>
  <c r="T18" i="12"/>
  <c r="U18" i="12" s="1"/>
  <c r="T19" i="12"/>
  <c r="U19" i="12" s="1"/>
  <c r="T20" i="12"/>
  <c r="S21" i="12"/>
  <c r="I5" i="12"/>
  <c r="I7" i="12" s="1"/>
  <c r="H5" i="12"/>
  <c r="AG41" i="11"/>
  <c r="AG39" i="11"/>
  <c r="AG38" i="11"/>
  <c r="AG37" i="11"/>
  <c r="AG35" i="11"/>
  <c r="AG34" i="11"/>
  <c r="AG33" i="11"/>
  <c r="AF33" i="11"/>
  <c r="AF41" i="11"/>
  <c r="AF37" i="11"/>
  <c r="AD40" i="11"/>
  <c r="AD35" i="11"/>
  <c r="AD36" i="11"/>
  <c r="AD37" i="11"/>
  <c r="AD38" i="11"/>
  <c r="AD39" i="11"/>
  <c r="AD34" i="11"/>
  <c r="AD33" i="11"/>
  <c r="AB40" i="11"/>
  <c r="AC35" i="11"/>
  <c r="AC36" i="11"/>
  <c r="AC37" i="11"/>
  <c r="AC38" i="11"/>
  <c r="AC39" i="11"/>
  <c r="AC34" i="11"/>
  <c r="AC40" i="11" s="1"/>
  <c r="AC33" i="11"/>
  <c r="T19" i="11"/>
  <c r="T21" i="11" s="1"/>
  <c r="X32" i="14" l="1"/>
  <c r="K29" i="13"/>
  <c r="K10" i="13"/>
  <c r="K12" i="13" s="1"/>
  <c r="K15" i="13" s="1"/>
  <c r="K19" i="13" s="1"/>
  <c r="K21" i="13" s="1"/>
  <c r="G14" i="13"/>
  <c r="G13" i="13"/>
  <c r="E15" i="13"/>
  <c r="G12" i="13"/>
  <c r="K17" i="13" s="1"/>
  <c r="U21" i="12"/>
  <c r="X22" i="12" s="1"/>
  <c r="X24" i="12" s="1"/>
  <c r="X27" i="12" s="1"/>
  <c r="X28" i="12" s="1"/>
  <c r="T21" i="12"/>
  <c r="S19" i="11"/>
  <c r="T23" i="11"/>
  <c r="S23" i="11"/>
  <c r="S21" i="11"/>
  <c r="K23" i="13" l="1"/>
  <c r="K31" i="13"/>
  <c r="K33" i="13" s="1"/>
  <c r="Z28" i="12"/>
  <c r="X29" i="12"/>
  <c r="X30" i="12" s="1"/>
  <c r="F6" i="11"/>
  <c r="F7" i="11"/>
  <c r="F8" i="11"/>
  <c r="F9" i="11"/>
  <c r="F10" i="11"/>
  <c r="F11" i="11"/>
  <c r="F12" i="11"/>
  <c r="F13" i="11"/>
  <c r="F14" i="11"/>
  <c r="F5" i="11"/>
  <c r="H11" i="11"/>
  <c r="H4" i="11"/>
  <c r="H8" i="11"/>
  <c r="E6" i="11"/>
  <c r="E7" i="11"/>
  <c r="E8" i="11"/>
  <c r="E9" i="11"/>
  <c r="E10" i="11"/>
  <c r="E11" i="11"/>
  <c r="E12" i="11"/>
  <c r="E13" i="11"/>
  <c r="E14" i="11"/>
  <c r="E5" i="11"/>
  <c r="D6" i="11"/>
  <c r="D7" i="11"/>
  <c r="D8" i="11"/>
  <c r="D9" i="11"/>
  <c r="D10" i="11"/>
  <c r="D11" i="11"/>
  <c r="D12" i="11"/>
  <c r="D13" i="11"/>
  <c r="D14" i="11"/>
  <c r="D5" i="11"/>
  <c r="H5" i="11"/>
  <c r="E2" i="11"/>
  <c r="D2" i="11"/>
  <c r="C15" i="11"/>
  <c r="F15" i="11" l="1"/>
  <c r="I11" i="11" s="1"/>
  <c r="D15" i="11"/>
  <c r="I4" i="11" s="1"/>
  <c r="E15" i="11"/>
  <c r="I5" i="11" s="1"/>
  <c r="Y22" i="9"/>
  <c r="V20" i="9"/>
  <c r="R22" i="9"/>
  <c r="U22" i="9"/>
  <c r="R19" i="9"/>
  <c r="U19" i="9"/>
  <c r="R20" i="9"/>
  <c r="U20" i="9" s="1"/>
  <c r="R21" i="9"/>
  <c r="U21" i="9" s="1"/>
  <c r="V21" i="9" s="1"/>
  <c r="W19" i="9"/>
  <c r="S22" i="9"/>
  <c r="T22" i="9" s="1"/>
  <c r="W22" i="9"/>
  <c r="W20" i="9"/>
  <c r="W21" i="9"/>
  <c r="I4" i="9"/>
  <c r="G4" i="9"/>
  <c r="I5" i="9"/>
  <c r="I6" i="9"/>
  <c r="G5" i="9"/>
  <c r="G6" i="9"/>
  <c r="G7" i="9"/>
  <c r="H7" i="9" s="1"/>
  <c r="U41" i="8"/>
  <c r="X37" i="8"/>
  <c r="X38" i="8"/>
  <c r="X39" i="8"/>
  <c r="X40" i="8"/>
  <c r="W37" i="8"/>
  <c r="V37" i="8"/>
  <c r="W38" i="8"/>
  <c r="W39" i="8"/>
  <c r="W40" i="8"/>
  <c r="V38" i="8"/>
  <c r="V39" i="8"/>
  <c r="V40" i="8"/>
  <c r="T37" i="8"/>
  <c r="S41" i="8"/>
  <c r="T41" i="8" s="1"/>
  <c r="R41" i="8"/>
  <c r="T38" i="8"/>
  <c r="T39" i="8"/>
  <c r="T40" i="8"/>
  <c r="C31" i="8"/>
  <c r="D31" i="8"/>
  <c r="E31" i="8"/>
  <c r="D30" i="8"/>
  <c r="E30" i="8"/>
  <c r="C30" i="8"/>
  <c r="C32" i="8" s="1"/>
  <c r="F7" i="8"/>
  <c r="I14" i="8" s="1"/>
  <c r="F6" i="8"/>
  <c r="I13" i="8" s="1"/>
  <c r="I15" i="8" s="1"/>
  <c r="D8" i="8"/>
  <c r="E8" i="8"/>
  <c r="C8" i="8"/>
  <c r="J6" i="8" a="1"/>
  <c r="J6" i="8"/>
  <c r="K6" i="8" a="1"/>
  <c r="K6" i="8" s="1"/>
  <c r="J7" i="8" a="1"/>
  <c r="J7" i="8" s="1"/>
  <c r="K7" i="8" a="1"/>
  <c r="K7" i="8" s="1"/>
  <c r="K5" i="8" a="1"/>
  <c r="K5" i="8" s="1"/>
  <c r="J5" i="8" a="1"/>
  <c r="J5" i="8" s="1"/>
  <c r="I6" i="8"/>
  <c r="I7" i="8"/>
  <c r="I5" i="8"/>
  <c r="G4" i="7"/>
  <c r="G5" i="7"/>
  <c r="G3" i="7"/>
  <c r="H7" i="7"/>
  <c r="H4" i="7"/>
  <c r="H5" i="7" s="1"/>
  <c r="AK74" i="6"/>
  <c r="AM69" i="6"/>
  <c r="AM68" i="6"/>
  <c r="AL69" i="6"/>
  <c r="AL70" i="6"/>
  <c r="AL71" i="6"/>
  <c r="AL68" i="6"/>
  <c r="AM71" i="6"/>
  <c r="AM70" i="6"/>
  <c r="AM72" i="6"/>
  <c r="AM58" i="6"/>
  <c r="AM51" i="6"/>
  <c r="AL58" i="6"/>
  <c r="AL59" i="6"/>
  <c r="AM59" i="6" s="1"/>
  <c r="AL60" i="6"/>
  <c r="AM60" i="6" s="1"/>
  <c r="AL61" i="6"/>
  <c r="AM61" i="6" s="1"/>
  <c r="AL53" i="6"/>
  <c r="AM53" i="6" s="1"/>
  <c r="AO53" i="6" s="1"/>
  <c r="AL54" i="6"/>
  <c r="AM54" i="6" s="1"/>
  <c r="AO54" i="6" s="1"/>
  <c r="AL52" i="6"/>
  <c r="AM52" i="6" s="1"/>
  <c r="AO52" i="6" s="1"/>
  <c r="AL51" i="6"/>
  <c r="AO51" i="6" s="1"/>
  <c r="V44" i="6"/>
  <c r="W44" i="6" s="1"/>
  <c r="V43" i="6"/>
  <c r="W43" i="6" s="1"/>
  <c r="V36" i="6"/>
  <c r="X36" i="6"/>
  <c r="W36" i="6"/>
  <c r="V35" i="6"/>
  <c r="W35" i="6" s="1"/>
  <c r="Y35" i="6" s="1"/>
  <c r="D17" i="6"/>
  <c r="E17" i="6"/>
  <c r="C17" i="6"/>
  <c r="D16" i="6"/>
  <c r="E16" i="6"/>
  <c r="C16" i="6"/>
  <c r="D15" i="6"/>
  <c r="E15" i="6"/>
  <c r="C15" i="6"/>
  <c r="C18" i="6"/>
  <c r="D18" i="6"/>
  <c r="E18" i="6"/>
  <c r="I18" i="6" s="1"/>
  <c r="J28" i="6" s="1"/>
  <c r="D19" i="5"/>
  <c r="C16" i="5"/>
  <c r="C14" i="5"/>
  <c r="C15" i="5"/>
  <c r="C13" i="5"/>
  <c r="C17" i="5"/>
  <c r="D16" i="5"/>
  <c r="D15" i="5"/>
  <c r="D14" i="5"/>
  <c r="D13" i="5"/>
  <c r="D17" i="5" s="1"/>
  <c r="D10" i="5"/>
  <c r="C10" i="5"/>
  <c r="D6" i="5"/>
  <c r="D7" i="5"/>
  <c r="D8" i="5"/>
  <c r="D9" i="5"/>
  <c r="AA168" i="4"/>
  <c r="Z172" i="4"/>
  <c r="AA171" i="4"/>
  <c r="AA170" i="4"/>
  <c r="AA169" i="4"/>
  <c r="AA172" i="4"/>
  <c r="Z163" i="4"/>
  <c r="Z165" i="4"/>
  <c r="Z164" i="4"/>
  <c r="Z160" i="4"/>
  <c r="Z159" i="4"/>
  <c r="Z158" i="4"/>
  <c r="AA144" i="4"/>
  <c r="Z145" i="4"/>
  <c r="Z133" i="4"/>
  <c r="Z138" i="4" s="1"/>
  <c r="AA143" i="4" s="1"/>
  <c r="Z127" i="4"/>
  <c r="Z128" i="4"/>
  <c r="AA127" i="4"/>
  <c r="AA126" i="4"/>
  <c r="Z132" i="4" s="1"/>
  <c r="Z137" i="4" s="1"/>
  <c r="AA142" i="4" s="1"/>
  <c r="AB126" i="4"/>
  <c r="Z126" i="4"/>
  <c r="Z131" i="4" s="1"/>
  <c r="Z136" i="4" s="1"/>
  <c r="AA141" i="4" s="1"/>
  <c r="AA145" i="4" s="1"/>
  <c r="S108" i="4"/>
  <c r="R109" i="4"/>
  <c r="U87" i="4"/>
  <c r="R94" i="4" s="1"/>
  <c r="T87" i="4"/>
  <c r="T88" i="4"/>
  <c r="S87" i="4"/>
  <c r="S88" i="4"/>
  <c r="S89" i="4"/>
  <c r="T86" i="4"/>
  <c r="R93" i="4" s="1"/>
  <c r="U86" i="4"/>
  <c r="V86" i="4"/>
  <c r="R95" i="4" s="1"/>
  <c r="R101" i="4" s="1"/>
  <c r="S107" i="4" s="1"/>
  <c r="S86" i="4"/>
  <c r="R92" i="4" s="1"/>
  <c r="I16" i="11" l="1"/>
  <c r="I8" i="11"/>
  <c r="T21" i="9"/>
  <c r="X21" i="9" s="1"/>
  <c r="T20" i="9"/>
  <c r="V22" i="9"/>
  <c r="X22" i="9" s="1"/>
  <c r="V19" i="9"/>
  <c r="X20" i="9"/>
  <c r="T19" i="9"/>
  <c r="X19" i="9" s="1"/>
  <c r="H6" i="9"/>
  <c r="I12" i="9" s="1"/>
  <c r="J12" i="9" s="1"/>
  <c r="H4" i="9"/>
  <c r="I10" i="9" s="1"/>
  <c r="J10" i="9" s="1"/>
  <c r="H5" i="9"/>
  <c r="I11" i="9" s="1"/>
  <c r="J11" i="9" s="1"/>
  <c r="K11" i="9" s="1"/>
  <c r="U37" i="8"/>
  <c r="D32" i="8"/>
  <c r="U40" i="8"/>
  <c r="U39" i="8"/>
  <c r="U38" i="8"/>
  <c r="F31" i="8"/>
  <c r="L14" i="8" s="1"/>
  <c r="F8" i="8"/>
  <c r="E32" i="8"/>
  <c r="F30" i="8"/>
  <c r="K8" i="8"/>
  <c r="J14" i="8" s="1"/>
  <c r="K14" i="8" s="1"/>
  <c r="J8" i="8"/>
  <c r="J13" i="8" s="1"/>
  <c r="K13" i="8" s="1"/>
  <c r="K15" i="8" s="1"/>
  <c r="I3" i="7"/>
  <c r="I5" i="7"/>
  <c r="I4" i="7"/>
  <c r="AM62" i="6"/>
  <c r="AK64" i="6" s="1"/>
  <c r="W45" i="6"/>
  <c r="W47" i="6" s="1"/>
  <c r="I28" i="6"/>
  <c r="AO55" i="6"/>
  <c r="Y36" i="6"/>
  <c r="Y37" i="6" s="1"/>
  <c r="Y39" i="6" s="1"/>
  <c r="I16" i="6"/>
  <c r="I15" i="6"/>
  <c r="I17" i="6"/>
  <c r="R100" i="4"/>
  <c r="S106" i="4" s="1"/>
  <c r="R99" i="4"/>
  <c r="S105" i="4" s="1"/>
  <c r="R98" i="4"/>
  <c r="S104" i="4" s="1"/>
  <c r="S109" i="4" s="1"/>
  <c r="U109" i="4" s="1"/>
  <c r="L52" i="4"/>
  <c r="K65" i="4" s="1"/>
  <c r="J68" i="4" s="1"/>
  <c r="L53" i="4"/>
  <c r="L54" i="4"/>
  <c r="L51" i="4"/>
  <c r="C45" i="4"/>
  <c r="D44" i="4"/>
  <c r="F14" i="4"/>
  <c r="E14" i="4"/>
  <c r="E15" i="4"/>
  <c r="D14" i="4"/>
  <c r="D15" i="4"/>
  <c r="D16" i="4"/>
  <c r="C16" i="4"/>
  <c r="C15" i="4"/>
  <c r="C13" i="4"/>
  <c r="C14" i="4"/>
  <c r="G13" i="4"/>
  <c r="F13" i="4"/>
  <c r="E13" i="4"/>
  <c r="D13" i="4"/>
  <c r="C20" i="4" s="1"/>
  <c r="C37" i="4"/>
  <c r="K21" i="3"/>
  <c r="K20" i="3"/>
  <c r="L20" i="3"/>
  <c r="J21" i="3"/>
  <c r="J22" i="3"/>
  <c r="J20" i="3"/>
  <c r="K14" i="3"/>
  <c r="J14" i="3"/>
  <c r="J15" i="3"/>
  <c r="K13" i="3"/>
  <c r="L13" i="3"/>
  <c r="J13" i="3"/>
  <c r="J8" i="3"/>
  <c r="K7" i="3"/>
  <c r="J7" i="3"/>
  <c r="K6" i="3"/>
  <c r="L6" i="3"/>
  <c r="J6" i="3"/>
  <c r="AV61" i="2"/>
  <c r="AX60" i="2" s="1"/>
  <c r="AZ60" i="2" s="1"/>
  <c r="AV60" i="2"/>
  <c r="AN39" i="2"/>
  <c r="AN46" i="2"/>
  <c r="AT62" i="2"/>
  <c r="AT61" i="2"/>
  <c r="AT60" i="2"/>
  <c r="AU56" i="2"/>
  <c r="AU55" i="2"/>
  <c r="AF46" i="2"/>
  <c r="AH39" i="2"/>
  <c r="AH40" i="2" s="1"/>
  <c r="AF39" i="2"/>
  <c r="AG35" i="2"/>
  <c r="AG34" i="2"/>
  <c r="AG33" i="2"/>
  <c r="AF41" i="2" s="1"/>
  <c r="J6" i="9" l="1"/>
  <c r="K6" i="9" s="1"/>
  <c r="Y19" i="9"/>
  <c r="Y20" i="9"/>
  <c r="Y21" i="9"/>
  <c r="J5" i="9"/>
  <c r="K5" i="9" s="1"/>
  <c r="L5" i="9" s="1"/>
  <c r="K10" i="9"/>
  <c r="K12" i="9"/>
  <c r="J4" i="9"/>
  <c r="K4" i="9" s="1"/>
  <c r="L4" i="9" s="1"/>
  <c r="L6" i="9"/>
  <c r="F32" i="8"/>
  <c r="L13" i="8"/>
  <c r="M14" i="8"/>
  <c r="I9" i="7"/>
  <c r="I11" i="7" s="1"/>
  <c r="I27" i="6"/>
  <c r="J27" i="6"/>
  <c r="I26" i="6"/>
  <c r="J26" i="6"/>
  <c r="I19" i="6"/>
  <c r="J25" i="6"/>
  <c r="I25" i="6"/>
  <c r="I29" i="6" s="1"/>
  <c r="D20" i="4"/>
  <c r="D22" i="4"/>
  <c r="D21" i="4"/>
  <c r="C26" i="4"/>
  <c r="E20" i="4"/>
  <c r="C29" i="4"/>
  <c r="C36" i="4" s="1"/>
  <c r="D43" i="4" s="1"/>
  <c r="E21" i="4"/>
  <c r="C23" i="4"/>
  <c r="C22" i="4"/>
  <c r="C21" i="4"/>
  <c r="C27" i="4"/>
  <c r="C28" i="4"/>
  <c r="F20" i="4"/>
  <c r="AF47" i="2"/>
  <c r="AF48" i="2"/>
  <c r="AF49" i="2"/>
  <c r="AF42" i="2"/>
  <c r="AF40" i="2"/>
  <c r="AK39" i="2" s="1"/>
  <c r="AK46" i="2"/>
  <c r="N27" i="2"/>
  <c r="N26" i="2"/>
  <c r="N25" i="2"/>
  <c r="O21" i="2"/>
  <c r="O20" i="2"/>
  <c r="H18" i="2"/>
  <c r="G18" i="2"/>
  <c r="I18" i="2" s="1"/>
  <c r="H17" i="2"/>
  <c r="G17" i="2"/>
  <c r="H16" i="2"/>
  <c r="G16" i="2"/>
  <c r="I16" i="2" s="1"/>
  <c r="H15" i="2"/>
  <c r="G15" i="2"/>
  <c r="I15" i="2" s="1"/>
  <c r="H14" i="2"/>
  <c r="G14" i="2"/>
  <c r="I14" i="2" s="1"/>
  <c r="H13" i="2"/>
  <c r="G13" i="2"/>
  <c r="I13" i="2" s="1"/>
  <c r="J13" i="1"/>
  <c r="K14" i="1"/>
  <c r="K11" i="1"/>
  <c r="K12" i="1"/>
  <c r="K13" i="1"/>
  <c r="K10" i="1"/>
  <c r="J11" i="1"/>
  <c r="J12" i="1"/>
  <c r="H19" i="1"/>
  <c r="J14" i="1" s="1"/>
  <c r="H18" i="1"/>
  <c r="K9" i="1" s="1"/>
  <c r="E19" i="1"/>
  <c r="E18" i="1"/>
  <c r="L15" i="8" l="1"/>
  <c r="M15" i="8" s="1"/>
  <c r="N15" i="8" s="1"/>
  <c r="M13" i="8"/>
  <c r="J29" i="6"/>
  <c r="C35" i="4"/>
  <c r="D42" i="4" s="1"/>
  <c r="C34" i="4"/>
  <c r="D41" i="4" s="1"/>
  <c r="C33" i="4"/>
  <c r="D40" i="4" s="1"/>
  <c r="D45" i="4" s="1"/>
  <c r="T25" i="2"/>
  <c r="X25" i="2" s="1"/>
  <c r="I17" i="2"/>
  <c r="S25" i="2"/>
  <c r="V25" i="2"/>
  <c r="Z25" i="2" s="1"/>
  <c r="U25" i="2"/>
  <c r="Y25" i="2" s="1"/>
  <c r="W25" i="2"/>
  <c r="I19" i="2"/>
  <c r="J9" i="1"/>
  <c r="J10" i="1"/>
  <c r="K8" i="1"/>
  <c r="K15" i="1" s="1"/>
  <c r="K18" i="1" s="1"/>
  <c r="J8" i="1"/>
  <c r="J15" i="1" s="1"/>
  <c r="N13" i="8" l="1"/>
  <c r="O13" i="8" s="1"/>
  <c r="N14" i="8"/>
  <c r="O14" i="8" s="1"/>
  <c r="O1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<sst xmlns="http://schemas.openxmlformats.org/spreadsheetml/2006/main" count="984" uniqueCount="634">
  <si>
    <t>Ratio to SAWW</t>
  </si>
  <si>
    <t># of Workers</t>
  </si>
  <si>
    <t>Total Weekly Wages</t>
  </si>
  <si>
    <t>&lt;50%</t>
  </si>
  <si>
    <t>50-60%</t>
  </si>
  <si>
    <t>60-75%</t>
  </si>
  <si>
    <t>75-100%</t>
  </si>
  <si>
    <t>100-125%</t>
  </si>
  <si>
    <t>125-150%</t>
  </si>
  <si>
    <t>&gt;150%</t>
  </si>
  <si>
    <t>Total</t>
  </si>
  <si>
    <t>X</t>
  </si>
  <si>
    <t>Y</t>
  </si>
  <si>
    <t>SAWW</t>
  </si>
  <si>
    <t>Comp rate</t>
  </si>
  <si>
    <t>Min benefit</t>
  </si>
  <si>
    <t>Max benefit</t>
  </si>
  <si>
    <t>Currrent</t>
  </si>
  <si>
    <t>Proposed</t>
  </si>
  <si>
    <t>NA</t>
  </si>
  <si>
    <t>Current benefit</t>
  </si>
  <si>
    <t>min benefits ratio to SAWW</t>
  </si>
  <si>
    <t>Current - calcs</t>
  </si>
  <si>
    <t>max benefits ratio to SAWW</t>
  </si>
  <si>
    <t>Proposed - calcs</t>
  </si>
  <si>
    <t>=0.45/0.60</t>
  </si>
  <si>
    <t>=0.9/0.6</t>
  </si>
  <si>
    <t>-&gt; 0.45*1200=</t>
  </si>
  <si>
    <t>-&gt; 0.90*1200=</t>
  </si>
  <si>
    <t>0.6Y &lt; or using min / max benefit * X &gt;</t>
  </si>
  <si>
    <t>0.75Y &lt; or using min benefit * X &gt;</t>
  </si>
  <si>
    <t>Proposed benefit</t>
  </si>
  <si>
    <t>direct effect</t>
  </si>
  <si>
    <t>= proposed benefit / current benefit</t>
  </si>
  <si>
    <t>Effective Date</t>
  </si>
  <si>
    <t>Policy Fee</t>
  </si>
  <si>
    <t>Class Factor</t>
  </si>
  <si>
    <t>Territory Factor</t>
  </si>
  <si>
    <t>A</t>
  </si>
  <si>
    <t>B</t>
  </si>
  <si>
    <t>Lookups</t>
  </si>
  <si>
    <t>Base rate</t>
  </si>
  <si>
    <t>Policy</t>
  </si>
  <si>
    <t># of Written Exposures</t>
  </si>
  <si>
    <t>key1</t>
  </si>
  <si>
    <t>key2</t>
  </si>
  <si>
    <t>data</t>
  </si>
  <si>
    <t>Premium per exposure</t>
  </si>
  <si>
    <t>% EE</t>
  </si>
  <si>
    <t>EP</t>
  </si>
  <si>
    <t>Group</t>
  </si>
  <si>
    <t>Cumulative Rate Level Index</t>
  </si>
  <si>
    <t>Initial</t>
  </si>
  <si>
    <t>--</t>
  </si>
  <si>
    <t>Index</t>
  </si>
  <si>
    <t>2016 Q1</t>
  </si>
  <si>
    <t>2016 Q2</t>
  </si>
  <si>
    <t>2016 Q3</t>
  </si>
  <si>
    <t>2016 Q4</t>
  </si>
  <si>
    <t>Overall Rate Change %</t>
  </si>
  <si>
    <t>Portions</t>
  </si>
  <si>
    <t>On-Level Factor</t>
  </si>
  <si>
    <t>Average Cumlative Rate Level Index</t>
  </si>
  <si>
    <t>constants (given / manully figure out)</t>
  </si>
  <si>
    <t>SUMPRODUCT(O25:O27,$N$25:$N$27)</t>
  </si>
  <si>
    <t>$N$27/S25</t>
  </si>
  <si>
    <t>PRODUCT(O19:O21)</t>
  </si>
  <si>
    <t>N21+1</t>
  </si>
  <si>
    <r>
      <t xml:space="preserve">formulas </t>
    </r>
    <r>
      <rPr>
        <sz val="12"/>
        <color theme="5"/>
        <rFont val="Aptos Narrow (Body)"/>
      </rPr>
      <t>(actual formula)</t>
    </r>
  </si>
  <si>
    <t>di</t>
  </si>
  <si>
    <t>7/1/2003 - by law</t>
  </si>
  <si>
    <t>Cumulative rate level index</t>
  </si>
  <si>
    <t>Portion</t>
  </si>
  <si>
    <t>CY 2001</t>
  </si>
  <si>
    <t>CY 2002</t>
  </si>
  <si>
    <t>CY 2003</t>
  </si>
  <si>
    <t>Weighted average rate level index</t>
  </si>
  <si>
    <t>On-level factor</t>
  </si>
  <si>
    <t>CY 2007</t>
  </si>
  <si>
    <t>CY 2008</t>
  </si>
  <si>
    <t>PY 2001</t>
  </si>
  <si>
    <t>PY 2002</t>
  </si>
  <si>
    <t>PY 2003</t>
  </si>
  <si>
    <t>7/1/2008 - by law</t>
  </si>
  <si>
    <t>Cumulative Paid Claims ($000) as of (months)</t>
  </si>
  <si>
    <t>Cumulative Reported Claims ($000) as of (months)</t>
  </si>
  <si>
    <t>Cumulative Reported Claim Counts as of (months)</t>
  </si>
  <si>
    <t>Open Claim Counts as of (months)</t>
  </si>
  <si>
    <t>AY</t>
  </si>
  <si>
    <t>Paid to Reported Claims Ratio as of (months)</t>
  </si>
  <si>
    <t>Closed to Reported Claim Count Ratio as of (months)</t>
  </si>
  <si>
    <t>Average Case Outstanding as of (months)</t>
  </si>
  <si>
    <t>= (Reported Losses - Paid Losses) / Open Claim Count</t>
  </si>
  <si>
    <t>(for claim counts): = (Reported - Open) / Reported</t>
  </si>
  <si>
    <t>(for losses): = Paid / Reported</t>
  </si>
  <si>
    <t xml:space="preserve"> </t>
  </si>
  <si>
    <t>Accident Year</t>
  </si>
  <si>
    <t>Incremental Reported Claims by Age ($US Millions)</t>
  </si>
  <si>
    <t>12 Months</t>
  </si>
  <si>
    <t>24 Months</t>
  </si>
  <si>
    <t>36 Months</t>
  </si>
  <si>
    <t>48 Months</t>
  </si>
  <si>
    <t>60 Months</t>
  </si>
  <si>
    <t>12-24</t>
  </si>
  <si>
    <t>24-36</t>
  </si>
  <si>
    <t>36-48</t>
  </si>
  <si>
    <t>48-60</t>
  </si>
  <si>
    <t>Age-to-age factors (months)</t>
  </si>
  <si>
    <t>Factor</t>
  </si>
  <si>
    <t>Age-to-age</t>
  </si>
  <si>
    <t>Volume-weighted factor</t>
  </si>
  <si>
    <t>60-Ult (tail)</t>
  </si>
  <si>
    <t>(given)</t>
  </si>
  <si>
    <t>Age-Ult</t>
  </si>
  <si>
    <t>12-Ult</t>
  </si>
  <si>
    <t>24-Ult</t>
  </si>
  <si>
    <t>36-Ult</t>
  </si>
  <si>
    <t>48-Ult</t>
  </si>
  <si>
    <t>=PRODUCT(C19:C23)</t>
  </si>
  <si>
    <t>60-Ult</t>
  </si>
  <si>
    <t>Projected ultimate reported claims</t>
  </si>
  <si>
    <t>12 months</t>
  </si>
  <si>
    <t>24 months</t>
  </si>
  <si>
    <t>36 months</t>
  </si>
  <si>
    <t>48 months</t>
  </si>
  <si>
    <t>60 months</t>
  </si>
  <si>
    <t>Cumulative Reported Claims by Age ($US Millions)</t>
  </si>
  <si>
    <t>=SUM(D13:D16)/SUM(C13:C16)</t>
  </si>
  <si>
    <t>Months</t>
  </si>
  <si>
    <t>AY 2021 reported claims</t>
  </si>
  <si>
    <t>=C40*C33</t>
  </si>
  <si>
    <t>=SUM(D40:D44)</t>
  </si>
  <si>
    <t>(actually not needed cause volume-weighted method)</t>
  </si>
  <si>
    <t>As of December 31, 2012</t>
  </si>
  <si>
    <t>Paid Losses</t>
  </si>
  <si>
    <t>Case Reserves</t>
  </si>
  <si>
    <t>Incurred losses</t>
  </si>
  <si>
    <t>=SUM(J51:K51)</t>
  </si>
  <si>
    <t>-&gt; This is the latest diagonal because of 'As of 12/12/2012'</t>
  </si>
  <si>
    <t>Estimated ultimate losses AY 2010 @ 36 months (as of 12/12/2012)</t>
  </si>
  <si>
    <t>Factor (link ratio)</t>
  </si>
  <si>
    <t>(solve for X ==&gt;</t>
  </si>
  <si>
    <t>Estimated ultimate losses AY 2011 @ 24 months (as of 12/12/2012)</t>
  </si>
  <si>
    <t>AY 2011 incurred losses</t>
  </si>
  <si>
    <t>=L52*PRODUCT(J59)</t>
  </si>
  <si>
    <t>&lt; using age-to-ult factors (CDFs) &gt;</t>
  </si>
  <si>
    <t>=L53*PRODUCT(J58:J59)</t>
  </si>
  <si>
    <t>Cumulative Paid Claims ($000s)</t>
  </si>
  <si>
    <t>Age of Development (Months)</t>
  </si>
  <si>
    <t>Earned Exposures</t>
  </si>
  <si>
    <t>Age to Age (Months)</t>
  </si>
  <si>
    <t>Medial average factor</t>
  </si>
  <si>
    <t>Age-to-ult</t>
  </si>
  <si>
    <t>=PRODUCT(R92:R95)</t>
  </si>
  <si>
    <t>Estimated ult paid claims</t>
  </si>
  <si>
    <t>=S81*R98</t>
  </si>
  <si>
    <t>==&gt; Unpaid:</t>
  </si>
  <si>
    <t>=S109-R109</t>
  </si>
  <si>
    <t>Company Data</t>
  </si>
  <si>
    <t>Age-age factors (months)</t>
  </si>
  <si>
    <t>Factor (simple average method)</t>
  </si>
  <si>
    <t>=AVERAGE(Z126:Z128)</t>
  </si>
  <si>
    <t>12-ult</t>
  </si>
  <si>
    <t>24-ult</t>
  </si>
  <si>
    <t>36-ult</t>
  </si>
  <si>
    <t>CDF</t>
  </si>
  <si>
    <t>=PRODUCT(Z131:Z133)</t>
  </si>
  <si>
    <t>AY 2014 paid claims</t>
  </si>
  <si>
    <t>AY 2014 Paid Claims</t>
  </si>
  <si>
    <t>=Z141*Z136</t>
  </si>
  <si>
    <t>--&gt; Another option is to just use the most recent year's factors (i.e. the latest diagonal)</t>
  </si>
  <si>
    <t>--&gt; simple average is good for stability</t>
  </si>
  <si>
    <t>Paid Claims Age-to-Age Factors</t>
  </si>
  <si>
    <t>Industry Data</t>
  </si>
  <si>
    <t>=PRODUCT(Z158:Z160)</t>
  </si>
  <si>
    <t>=Z168*Z163</t>
  </si>
  <si>
    <t>=AVERAGE(Z153:Z155)</t>
  </si>
  <si>
    <t>Claim</t>
  </si>
  <si>
    <t>Ground-up Loss</t>
  </si>
  <si>
    <t>Loss in 50 xs 100</t>
  </si>
  <si>
    <t>Layer</t>
  </si>
  <si>
    <t>Trended Ground-up Loss</t>
  </si>
  <si>
    <t>Inflation rate</t>
  </si>
  <si>
    <t xml:space="preserve">excess of </t>
  </si>
  <si>
    <t>=IF(C6&gt;$E$2,MIN(C6-$E$2,$C$2),0)</t>
  </si>
  <si>
    <t>=D17/D10-1</t>
  </si>
  <si>
    <t xml:space="preserve">50k excess of 100k trend= </t>
  </si>
  <si>
    <t>Annual Policy Period</t>
  </si>
  <si>
    <t>Countrywide Other Acquisition</t>
  </si>
  <si>
    <t>Statewide Taxes, Licenses, and Fees</t>
  </si>
  <si>
    <t>Statewide Commissions and Brokerage</t>
  </si>
  <si>
    <t>Countrywide General Expenses</t>
  </si>
  <si>
    <t>Statewide Earned Premium</t>
  </si>
  <si>
    <t>Statewide Written Premium</t>
  </si>
  <si>
    <t>Countrywide Earned Premium</t>
  </si>
  <si>
    <t>Countrywide Written Premium</t>
  </si>
  <si>
    <t>=E7/E$10</t>
  </si>
  <si>
    <t>Selection</t>
  </si>
  <si>
    <t>Method</t>
  </si>
  <si>
    <t>Justification</t>
  </si>
  <si>
    <t>-&gt; Use statewide EP for 'Statewide' expenses obviously</t>
  </si>
  <si>
    <t>All-year average</t>
  </si>
  <si>
    <t>Stable over the three years</t>
  </si>
  <si>
    <t>Average of latest two years</t>
  </si>
  <si>
    <t>Exclude 2021 because of unusually high expenses, then stable after that</t>
  </si>
  <si>
    <t>Latest year's ratio</t>
  </si>
  <si>
    <t>Expenses continually decrease</t>
  </si>
  <si>
    <t>=SUM(I15:I18)</t>
  </si>
  <si>
    <t>All-variable expense method</t>
  </si>
  <si>
    <t>Premium-based projection method</t>
  </si>
  <si>
    <t>&lt; same selections as above, just divvy out between fixed and variable expenses &gt;</t>
  </si>
  <si>
    <t>Expense Category</t>
  </si>
  <si>
    <t>% Fixed</t>
  </si>
  <si>
    <t>Other Acquisition</t>
  </si>
  <si>
    <t>Taxes, Licenses, and Fees</t>
  </si>
  <si>
    <t>Commissions and Brokerage</t>
  </si>
  <si>
    <t>General Expenses</t>
  </si>
  <si>
    <t>Fixed</t>
  </si>
  <si>
    <t>Variable</t>
  </si>
  <si>
    <t>=$I15*$C25</t>
  </si>
  <si>
    <t>=$I15*(1-$C25)</t>
  </si>
  <si>
    <t>=SUM(J25:J28)</t>
  </si>
  <si>
    <t>=SUM(I25:I28)</t>
  </si>
  <si>
    <t>Divide general expenses by EP because they are incurred throughout the policy period, but divide all other expenses by their respective WP because they are incurred at the onset of the policy period</t>
  </si>
  <si>
    <t>=E4/E$11</t>
  </si>
  <si>
    <t>=E5/E$9</t>
  </si>
  <si>
    <t>=E6/E$9</t>
  </si>
  <si>
    <t>Fixed General Expense as Percentage of General Expense</t>
  </si>
  <si>
    <t>Countrywide Earned Exposures</t>
  </si>
  <si>
    <t>Countrywide Written Exposures</t>
  </si>
  <si>
    <t>$475,00</t>
  </si>
  <si>
    <t>Projected Expense Provisions</t>
  </si>
  <si>
    <t>Fixed expenses - General</t>
  </si>
  <si>
    <t>General expense per exposure</t>
  </si>
  <si>
    <t>Fixed expense</t>
  </si>
  <si>
    <t>Trend period (years)</t>
  </si>
  <si>
    <t>Trended fixed expense per exposure</t>
  </si>
  <si>
    <t>Year</t>
  </si>
  <si>
    <t>Average</t>
  </si>
  <si>
    <t>=R35/R37</t>
  </si>
  <si>
    <t>=V35*R36</t>
  </si>
  <si>
    <t>=W35*(1+$R$47)^X35</t>
  </si>
  <si>
    <t>=Y37+SUM(R43:R45)</t>
  </si>
  <si>
    <t>=AVERAGE(Y35:Y36)</t>
  </si>
  <si>
    <t>Fixed expense trend</t>
  </si>
  <si>
    <t>Variable expenses - General</t>
  </si>
  <si>
    <t>Ratio</t>
  </si>
  <si>
    <t>Divide by EP because incurred throughout policy period</t>
  </si>
  <si>
    <t>=AVERAGE(V43:V44)</t>
  </si>
  <si>
    <t>=V45+SUM(S43:S45)</t>
  </si>
  <si>
    <t>Variable expense</t>
  </si>
  <si>
    <t>=R35*(1-R36)</t>
  </si>
  <si>
    <t>=V43/R39</t>
  </si>
  <si>
    <t>2020 Data</t>
  </si>
  <si>
    <t>Earned Premium</t>
  </si>
  <si>
    <t>Written Premium</t>
  </si>
  <si>
    <t>Written Exposures</t>
  </si>
  <si>
    <t>Fixed expense provision using the Exposure-Based Projection Method</t>
  </si>
  <si>
    <t>Expense per exposure</t>
  </si>
  <si>
    <t>WP</t>
  </si>
  <si>
    <t>Based on (divided by)</t>
  </si>
  <si>
    <t>EE</t>
  </si>
  <si>
    <t>WE</t>
  </si>
  <si>
    <t>* To average earned / written date for proposed rates</t>
  </si>
  <si>
    <t>Trended expense per exposure</t>
  </si>
  <si>
    <t>=SUM(AO51:AO54)</t>
  </si>
  <si>
    <t>Variable expense ratio</t>
  </si>
  <si>
    <t>=SUM(AM57:AM60)</t>
  </si>
  <si>
    <t>Trend period ^</t>
  </si>
  <si>
    <t>Variable Permissable Loss Ratio</t>
  </si>
  <si>
    <t>Target UW Profit</t>
  </si>
  <si>
    <t>=AL51*AH51</t>
  </si>
  <si>
    <t>=AG51*(1-AH51)</t>
  </si>
  <si>
    <t>=AL57/AG55</t>
  </si>
  <si>
    <t>=AL58/$AG$56</t>
  </si>
  <si>
    <t>=AM51*(1+$AG$60)^AN51</t>
  </si>
  <si>
    <t>=1-AM62-AG61</t>
  </si>
  <si>
    <t>Permissible loss ratio that would result from using the Premium-Based Projection Method</t>
  </si>
  <si>
    <t>=AL68/AG55</t>
  </si>
  <si>
    <t>'=AL58/$AG$56</t>
  </si>
  <si>
    <t>'=SUM(AM57:AM60)</t>
  </si>
  <si>
    <t>PLR</t>
  </si>
  <si>
    <t>=1-AM72-AM62-AG61</t>
  </si>
  <si>
    <t>Calendar / Accident Year</t>
  </si>
  <si>
    <t>Reported Loss and ALAE</t>
  </si>
  <si>
    <t>age-to-ultimate</t>
  </si>
  <si>
    <t>factor</t>
  </si>
  <si>
    <t>12 months to ultimate</t>
  </si>
  <si>
    <t>24 months to ultimate</t>
  </si>
  <si>
    <t>36 months to ultimate</t>
  </si>
  <si>
    <t>48 months to ultimate</t>
  </si>
  <si>
    <t>Trend period</t>
  </si>
  <si>
    <t>Age (as of 12/31/2006)</t>
  </si>
  <si>
    <t>Pure Premium trend</t>
  </si>
  <si>
    <t>Trend</t>
  </si>
  <si>
    <t>Frequency</t>
  </si>
  <si>
    <t>Severity</t>
  </si>
  <si>
    <t>Developed loss and ALAE</t>
  </si>
  <si>
    <t>Trended ultimate loss and LAE</t>
  </si>
  <si>
    <t>** Order of operations: Develop losses, then trend</t>
  </si>
  <si>
    <t>=(1+C14)*(1+C15)-1</t>
  </si>
  <si>
    <t>=G3*(1+$H$7)^H3</t>
  </si>
  <si>
    <t>=C3*F3</t>
  </si>
  <si>
    <t>Indicated pure premium and ALAE</t>
  </si>
  <si>
    <t>=SUM(I3:I5)/SUM(D3:D5)</t>
  </si>
  <si>
    <t>Indicated rate</t>
  </si>
  <si>
    <t>Fees</t>
  </si>
  <si>
    <t>Commision</t>
  </si>
  <si>
    <t>Taxes</t>
  </si>
  <si>
    <t>Variable portion of general and other acquisition</t>
  </si>
  <si>
    <t>Ratio / amount per exposure</t>
  </si>
  <si>
    <t>Total fixed expense (per exposure)</t>
  </si>
  <si>
    <t>Profit load</t>
  </si>
  <si>
    <t>=(I9+C22)/(1-SUM(C18:C21))</t>
  </si>
  <si>
    <t>Territory</t>
  </si>
  <si>
    <t>Married</t>
  </si>
  <si>
    <t>Single</t>
  </si>
  <si>
    <t>Marital Status</t>
  </si>
  <si>
    <t>Current Relativity</t>
  </si>
  <si>
    <t>Loss &amp; LAE</t>
  </si>
  <si>
    <t>Exposures</t>
  </si>
  <si>
    <t>=SUMPRODUCT($I$5:$I$7,K5:K7)/SUM(K5:K7)</t>
  </si>
  <si>
    <t>Weighted avg territory by marital status</t>
  </si>
  <si>
    <t>Adjusted exposures</t>
  </si>
  <si>
    <t>Indicated adjusted pure premium</t>
  </si>
  <si>
    <t>Indicated relativity</t>
  </si>
  <si>
    <t>=SUM(C28:C29)</t>
  </si>
  <si>
    <t>=SUM(C28:E28)</t>
  </si>
  <si>
    <t>=SUMIFS($D$19:$D$24,$B$19:$B$24,C$28,$C$19:$C$24,$B29)</t>
  </si>
  <si>
    <t>=xlookup(&lt;…&gt;)</t>
  </si>
  <si>
    <t>=I13*J13</t>
  </si>
  <si>
    <t>=L13/K13</t>
  </si>
  <si>
    <t>=M13/$M$15</t>
  </si>
  <si>
    <t>Indicated relativity to base</t>
  </si>
  <si>
    <t>=N13/$N$13</t>
  </si>
  <si>
    <t>Premium</t>
  </si>
  <si>
    <t>C</t>
  </si>
  <si>
    <t>D</t>
  </si>
  <si>
    <t>Reported Loss &amp; LAE</t>
  </si>
  <si>
    <t>Earned Premium at CRL</t>
  </si>
  <si>
    <t>Current Rates</t>
  </si>
  <si>
    <t>Loss ratio</t>
  </si>
  <si>
    <t>=SUM(R37:R40)</t>
  </si>
  <si>
    <t>=SUM(S37:S40)</t>
  </si>
  <si>
    <t>=S37/R37</t>
  </si>
  <si>
    <t>=T37/$T$41</t>
  </si>
  <si>
    <t>Indicated change factor</t>
  </si>
  <si>
    <t>Current relativity</t>
  </si>
  <si>
    <t>=Q37/$Q$37</t>
  </si>
  <si>
    <t>=U37*V37</t>
  </si>
  <si>
    <t>=W37/$W$37</t>
  </si>
  <si>
    <t>Incurred losses &amp; ALAE</t>
  </si>
  <si>
    <t>Claim Count</t>
  </si>
  <si>
    <t>Credibility</t>
  </si>
  <si>
    <t>Credibiilty standard</t>
  </si>
  <si>
    <t>Complement of credibility</t>
  </si>
  <si>
    <t>Credibility-weighted indicated change factor</t>
  </si>
  <si>
    <t>Credibility-weighted indicated relativity</t>
  </si>
  <si>
    <t>Re-based</t>
  </si>
  <si>
    <t>=D4/C4</t>
  </si>
  <si>
    <t>=G4/$G$7</t>
  </si>
  <si>
    <t>=MIN(1,SQRT(E4/$C$9))</t>
  </si>
  <si>
    <t>=I4*H4+(1-I4)*$C$10</t>
  </si>
  <si>
    <t>=F4*J4</t>
  </si>
  <si>
    <t>=K4/$K$5</t>
  </si>
  <si>
    <t>Developed Incurred Loss and ALAE Total for Accident Years 2009 and 2010</t>
  </si>
  <si>
    <t>Annual Pure Premium Trend</t>
  </si>
  <si>
    <t>Indicated pure premium</t>
  </si>
  <si>
    <t>Credibility standard (exposures)</t>
  </si>
  <si>
    <t>=SUMPRODUCT(R19:R21,P19:P21)/P22</t>
  </si>
  <si>
    <t>=R19/$R$22</t>
  </si>
  <si>
    <t>=T19/$T$22</t>
  </si>
  <si>
    <t>=MIN(1, SQRT(P19/$P$30))</t>
  </si>
  <si>
    <t>=V19*U19+(1-V19)*S19</t>
  </si>
  <si>
    <t>=W19/$W$19</t>
  </si>
  <si>
    <t>Normalized current relativity (hust rebasing to total)</t>
  </si>
  <si>
    <t>Indicated relativity to total (based on new data)</t>
  </si>
  <si>
    <t>Credibility-weighted indicated relativities (using current relativities as complement)</t>
  </si>
  <si>
    <t>Trended losses and LAE</t>
  </si>
  <si>
    <t>=R19/P19</t>
  </si>
  <si>
    <t>=Q19*(1+P25)^$P$31</t>
  </si>
  <si>
    <t>=SUM(R19:R21)</t>
  </si>
  <si>
    <t>E</t>
  </si>
  <si>
    <t>F</t>
  </si>
  <si>
    <t>G</t>
  </si>
  <si>
    <t>H</t>
  </si>
  <si>
    <t>I</t>
  </si>
  <si>
    <t>J</t>
  </si>
  <si>
    <t>Ground-up Uncensored Loss Amount</t>
  </si>
  <si>
    <t>Basic limit</t>
  </si>
  <si>
    <t>Increased limit</t>
  </si>
  <si>
    <t>="LAS("&amp;TEXT(C17,"#,###")&amp;") = "</t>
  </si>
  <si>
    <t>=$D$15/COUNTA($B$5:$B$14)</t>
  </si>
  <si>
    <t>=I5/I4</t>
  </si>
  <si>
    <t>LAS(4,000,000 xs 1,000,000) =</t>
  </si>
  <si>
    <t>=$F$15/COUNTIF($B$9:$B$14,"&lt;&gt;0")</t>
  </si>
  <si>
    <t>OR</t>
  </si>
  <si>
    <t xml:space="preserve">… = </t>
  </si>
  <si>
    <t>=(I5-I4)/(COUNTIF(F5:F14,"&lt;&gt;0")/COUNTA(F5:F14))</t>
  </si>
  <si>
    <t>Size of Loss</t>
  </si>
  <si>
    <t>Policy Limit</t>
  </si>
  <si>
    <t>X &lt;= 100,000</t>
  </si>
  <si>
    <t>$100,000 &lt; X &lt;= $300,000</t>
  </si>
  <si>
    <t>$300,000 &lt; X &lt;= $500,000</t>
  </si>
  <si>
    <t>Censored Loss Distribution by Policy Limit</t>
  </si>
  <si>
    <t>Censored Claim Distribution by Policy Limit</t>
  </si>
  <si>
    <t>=(SUM(N21:P21)+SUM(N20*SUM(O30:P31)))/SUM(N32:P32)</t>
  </si>
  <si>
    <t>=T21/T19</t>
  </si>
  <si>
    <t>="LAS("&amp;TEXT(N20,"$#,###")&amp;") = "</t>
  </si>
  <si>
    <t>=T19+(SUM(O22:P22)+P31*O20-N20*SUM(O30:P31))/SUM(O32:P32)</t>
  </si>
  <si>
    <t>Ground-Up Uncensored Loss</t>
  </si>
  <si>
    <t>Assume no risk load</t>
  </si>
  <si>
    <t xml:space="preserve">Basic Limit = </t>
  </si>
  <si>
    <t xml:space="preserve">ULAE Provision as % of Loss (Basic Limit) = </t>
  </si>
  <si>
    <t xml:space="preserve">ULAE Provision as % of Loss (Increased Limit) = </t>
  </si>
  <si>
    <t xml:space="preserve">Expected Frequency (Basic Limit) = </t>
  </si>
  <si>
    <t xml:space="preserve">Expected Frequency (Increased Limit) = </t>
  </si>
  <si>
    <t>with ULAE load</t>
  </si>
  <si>
    <t xml:space="preserve">Increased limit = </t>
  </si>
  <si>
    <t>with frequency load</t>
  </si>
  <si>
    <t>="LAS("&amp;TEXT($AB$42,"$#,###")&amp;") = "</t>
  </si>
  <si>
    <t>=AC40/COUNT(AC34:AC39)</t>
  </si>
  <si>
    <t>=AG33*(1+AB43)</t>
  </si>
  <si>
    <t>=AG34*AB45</t>
  </si>
  <si>
    <t>=AD40/COUNT(AD34:AD39)</t>
  </si>
  <si>
    <t>=AG37*(1+AB44)</t>
  </si>
  <si>
    <t>=AG38*AB46</t>
  </si>
  <si>
    <t>=AG39/AG35</t>
  </si>
  <si>
    <t>Deductible</t>
  </si>
  <si>
    <t>Full coverage</t>
  </si>
  <si>
    <t>Unknown</t>
  </si>
  <si>
    <t>Reported Claim Counts</t>
  </si>
  <si>
    <t>Net Reported Losses</t>
  </si>
  <si>
    <t>Net Reported Losses Assuming $750 Deductible</t>
  </si>
  <si>
    <t>Net Reported Losses Assuming $1000 Deductible</t>
  </si>
  <si>
    <t xml:space="preserve">B = </t>
  </si>
  <si>
    <t xml:space="preserve">D = </t>
  </si>
  <si>
    <t xml:space="preserve">Indicated deductible relativity = </t>
  </si>
  <si>
    <t>="LER("&amp;TEXT(C12,"$#,###")&amp;") = "</t>
  </si>
  <si>
    <t>=LET(x,SUMIFS($E$5:$E$9,$B$5:$B$9,"&lt;="&amp;C12),(x-SUMIFS($F$5:$F$9,$B$5:$B$9,"&lt;="&amp;C12))/x)</t>
  </si>
  <si>
    <t>=1-I5</t>
  </si>
  <si>
    <t>Ground-up Severity</t>
  </si>
  <si>
    <t>Probability</t>
  </si>
  <si>
    <t>Premium for a policy with no deductible = $350</t>
  </si>
  <si>
    <t>Ground-up expected loss ratio = 60.9%</t>
  </si>
  <si>
    <t>Fixed expenses = $31.70</t>
  </si>
  <si>
    <t>Variable underwriting expense provision = 22%</t>
  </si>
  <si>
    <t>Profit provision = 2%</t>
  </si>
  <si>
    <t>Allocated loss adjustment expenses (ALAE) are 10% of loss and are the responsibility of the insurer.</t>
  </si>
  <si>
    <t>Plus fixed expenses</t>
  </si>
  <si>
    <t>Total (or Expected value)</t>
  </si>
  <si>
    <t>Adjusted for VER and profit provision</t>
  </si>
  <si>
    <t>Expected losses (with deductible)</t>
  </si>
  <si>
    <t>Plus ALAE (not affected by deductible)</t>
  </si>
  <si>
    <t>=X14*X15*X24</t>
  </si>
  <si>
    <t>=X27+X14*X15*(X19)</t>
  </si>
  <si>
    <t>=X28+X16</t>
  </si>
  <si>
    <t>=X29/(1-X17-X18)</t>
  </si>
  <si>
    <t>=X28-X27</t>
  </si>
  <si>
    <t>=U21/R21</t>
  </si>
  <si>
    <t>=1-X22</t>
  </si>
  <si>
    <t>="LER("&amp;TEXT($S$24,"$#,###")&amp;") = "</t>
  </si>
  <si>
    <t>="Paid loss with D = "&amp;TEXT($S$24,"$#,###")</t>
  </si>
  <si>
    <t>=MAX(R15-$S$24,0)</t>
  </si>
  <si>
    <t>=R15-T15</t>
  </si>
  <si>
    <t>=SUMPRODUCT(R15:R20,$S$15:$S$20)</t>
  </si>
  <si>
    <t xml:space="preserve">Property value, F = </t>
  </si>
  <si>
    <t xml:space="preserve">Probability of non-zero loss = </t>
  </si>
  <si>
    <t>% of value</t>
  </si>
  <si>
    <t xml:space="preserve">Probability | Loss </t>
  </si>
  <si>
    <t xml:space="preserve">PLR = </t>
  </si>
  <si>
    <t>Loss capped at F</t>
  </si>
  <si>
    <t>Insured %</t>
  </si>
  <si>
    <t xml:space="preserve">Premium per $100 of insurance = </t>
  </si>
  <si>
    <t xml:space="preserve">Premium = PP / PLR = </t>
  </si>
  <si>
    <t xml:space="preserve">Premium (assuming same rate per $100 as above) = </t>
  </si>
  <si>
    <t xml:space="preserve">Expected loss ratio = Exp Loss / Premium = </t>
  </si>
  <si>
    <t xml:space="preserve">Coinsurance, c = </t>
  </si>
  <si>
    <t xml:space="preserve">Coinsurance amount, cV = </t>
  </si>
  <si>
    <t xml:space="preserve">apportionment %, a = </t>
  </si>
  <si>
    <t xml:space="preserve">Indemnity payment, I = </t>
  </si>
  <si>
    <t xml:space="preserve">F = </t>
  </si>
  <si>
    <t>* The coinusrance clause adjusts the expected losses to align with the PLR used to determine the premium, resulting in an expected loss ratio equal to the PLR</t>
  </si>
  <si>
    <t>=1-E4</t>
  </si>
  <si>
    <t>=B11*$E$2</t>
  </si>
  <si>
    <t>=$E$4*C11</t>
  </si>
  <si>
    <t>=MIN($D10,F$8*$E$2)</t>
  </si>
  <si>
    <t>=SUMPRODUCT($E$10:$E$14,$F$10:$F$14)</t>
  </si>
  <si>
    <t>=K10/$E$17</t>
  </si>
  <si>
    <t>=K12/($E$2*$F$8/100)</t>
  </si>
  <si>
    <t>=SUMPRODUCT($E$10:$E$14,$G$10:$G$14)</t>
  </si>
  <si>
    <t>=K15*E2*G8/100</t>
  </si>
  <si>
    <t>=K19/($E$2*$G$8/100)</t>
  </si>
  <si>
    <t>=K17/K19</t>
  </si>
  <si>
    <t>=E25*E2</t>
  </si>
  <si>
    <t>=E2*G8</t>
  </si>
  <si>
    <t>=MIN(K27/K25,1)</t>
  </si>
  <si>
    <t>=(E10*G10+E11*G11+E12*G12)*K29+E13*G13+E14*G14</t>
  </si>
  <si>
    <t xml:space="preserve">* Expected loss ratio (coinsurance) = Exp Loss / Premium = </t>
  </si>
  <si>
    <t>=K31/K19</t>
  </si>
  <si>
    <t xml:space="preserve">V = </t>
  </si>
  <si>
    <t xml:space="preserve">c = </t>
  </si>
  <si>
    <t xml:space="preserve">apportionment ratio, a   = </t>
  </si>
  <si>
    <t xml:space="preserve">Hypothetical loss (for max coinsurance penalty), L = </t>
  </si>
  <si>
    <t xml:space="preserve">Loss, L = </t>
  </si>
  <si>
    <t xml:space="preserve">max coinsurance penalty (occures @ F), e = </t>
  </si>
  <si>
    <t xml:space="preserve">coinsurance penalty, e = </t>
  </si>
  <si>
    <t>=O42/(O40*O41)</t>
  </si>
  <si>
    <t>=MIN(T40*O44,O42)</t>
  </si>
  <si>
    <t>=MIN(O44,O42)-T41</t>
  </si>
  <si>
    <t>=MIN(T40*O46,O42)</t>
  </si>
  <si>
    <t>=MIN(O46,O42)-T44</t>
  </si>
  <si>
    <t>=O42</t>
  </si>
  <si>
    <t xml:space="preserve">apportionament ratio, a = </t>
  </si>
  <si>
    <t>Loss, L</t>
  </si>
  <si>
    <t>Indemnity payment, I</t>
  </si>
  <si>
    <t>Coinsurance penalty, e</t>
  </si>
  <si>
    <t>=MIN(Y50/(Y48*Y49),1)</t>
  </si>
  <si>
    <t>=MIN($AC$48*AA61,$Y$50)</t>
  </si>
  <si>
    <t>=MIN(AA61,$Y$50)-AB61</t>
  </si>
  <si>
    <t xml:space="preserve">State X loss cost = </t>
  </si>
  <si>
    <t xml:space="preserve">Current CW loss cost = </t>
  </si>
  <si>
    <t xml:space="preserve">State X loss and LAE = </t>
  </si>
  <si>
    <t xml:space="preserve">State X exposures = </t>
  </si>
  <si>
    <t xml:space="preserve">State X fixed expenses = </t>
  </si>
  <si>
    <t xml:space="preserve">Variable expense factor = </t>
  </si>
  <si>
    <t xml:space="preserve">Profit and contingency factor = </t>
  </si>
  <si>
    <t xml:space="preserve">Full credibility standard (exposures) = </t>
  </si>
  <si>
    <t>Indicated CW loss cost =</t>
  </si>
  <si>
    <t>(using the "Rate Change from a Larger Group” method)</t>
  </si>
  <si>
    <t xml:space="preserve">C (adjusted for bias) = </t>
  </si>
  <si>
    <t xml:space="preserve">Z = </t>
  </si>
  <si>
    <t xml:space="preserve">State X indicated loss cost = </t>
  </si>
  <si>
    <t xml:space="preserve">credibility-weighted indicated loss cost for State X = </t>
  </si>
  <si>
    <t xml:space="preserve">credibilty-weighted indicated rate for State X, R = </t>
  </si>
  <si>
    <t>=C2*(C4/C3)</t>
  </si>
  <si>
    <t>=C5/C6</t>
  </si>
  <si>
    <t>=SQRT(C6/C10)</t>
  </si>
  <si>
    <t>=I5*I7+I3*(1-I7)</t>
  </si>
  <si>
    <t>=(I9+C7/C6)/(1-C8-C9)</t>
  </si>
  <si>
    <t>State</t>
  </si>
  <si>
    <t>Class</t>
  </si>
  <si>
    <t>Exposure</t>
  </si>
  <si>
    <t>Losses</t>
  </si>
  <si>
    <t>Step 1</t>
  </si>
  <si>
    <t xml:space="preserve">Weighted average pure premium for State A = </t>
  </si>
  <si>
    <t>Step 2</t>
  </si>
  <si>
    <t xml:space="preserve">Weighted average pure premium for State B (using A's exposure dist) = </t>
  </si>
  <si>
    <t xml:space="preserve">Weighted average pure premium for State C (using A's exposure dist) = </t>
  </si>
  <si>
    <t xml:space="preserve">Weighted average pure premium for State D (using A's exposure dist) = </t>
  </si>
  <si>
    <t>Step 3</t>
  </si>
  <si>
    <t xml:space="preserve">Adjustment factor for State B = </t>
  </si>
  <si>
    <t xml:space="preserve">Adjustment factor for State C = </t>
  </si>
  <si>
    <t xml:space="preserve">Adjustment factor for State D = </t>
  </si>
  <si>
    <t>Step 4</t>
  </si>
  <si>
    <t xml:space="preserve">Adjusted pure premium for class 1 in State B = </t>
  </si>
  <si>
    <t xml:space="preserve">Adjusted pure premium for class 1 in State D = </t>
  </si>
  <si>
    <t xml:space="preserve">Adjusted pure premium for class 1 in State C = </t>
  </si>
  <si>
    <t>Pure Premium</t>
  </si>
  <si>
    <t>Step 5</t>
  </si>
  <si>
    <t xml:space="preserve">C = </t>
  </si>
  <si>
    <t>=P14/O14</t>
  </si>
  <si>
    <t>=($O$14*Q14+$O$15*Q15)/($O$14+$O$15)</t>
  </si>
  <si>
    <t>=($O$14*Q16+$O$15*Q17)/($O$14+$O$15)</t>
  </si>
  <si>
    <t>=($O$14*Q18+$O$15*Q19)/($O$14+$O$15)</t>
  </si>
  <si>
    <t>=($O$14*Q20+$O$15*Q21)/($O$14+$O$15)</t>
  </si>
  <si>
    <t>=$X$14/X17</t>
  </si>
  <si>
    <t>=$X$14/X18</t>
  </si>
  <si>
    <t>=$X$14/X19</t>
  </si>
  <si>
    <t>=Q16*X22</t>
  </si>
  <si>
    <t>=Q18*X23</t>
  </si>
  <si>
    <t>=Q20*X24</t>
  </si>
  <si>
    <t>=(X27*O16+X28*O18+X29*O20)/(O16+O18+O20)</t>
  </si>
  <si>
    <t>Ultimate Trended Loss Ratio</t>
  </si>
  <si>
    <t>Weight</t>
  </si>
  <si>
    <t>Number of Reported Claims</t>
  </si>
  <si>
    <t>Full Credibility Claims Standard</t>
  </si>
  <si>
    <t>Last indication effective date</t>
  </si>
  <si>
    <t>Effective date of this change</t>
  </si>
  <si>
    <t>Amount of last indication</t>
  </si>
  <si>
    <t>Last rate change taken</t>
  </si>
  <si>
    <t>Commissions and Other Acquisition Expenses</t>
  </si>
  <si>
    <t>Profit and Contingency</t>
  </si>
  <si>
    <t>Frequency trend</t>
  </si>
  <si>
    <t>Severity trend</t>
  </si>
  <si>
    <t>Premium trend</t>
  </si>
  <si>
    <t>Expense provisions</t>
  </si>
  <si>
    <t>Trend assumptions</t>
  </si>
  <si>
    <t xml:space="preserve">Weighted experience loss ratio = </t>
  </si>
  <si>
    <t>Indicated rate change (assuming all expenses are variable) =</t>
  </si>
  <si>
    <t xml:space="preserve">Pure premium trend (loss trend) = </t>
  </si>
  <si>
    <t>Time between</t>
  </si>
  <si>
    <t xml:space="preserve">Credibility-weighted indicated rate change = </t>
  </si>
  <si>
    <t>=AE35*AE36+AF35*AF36+AG35*AG36</t>
  </si>
  <si>
    <t>=AM34/(1-SUM(AE46:AE49))-1</t>
  </si>
  <si>
    <t>=(1+AE52)*(1+AE53)-1</t>
  </si>
  <si>
    <t>=((1+AM39)/(1+AE54))^AF41*((1+AE42)/(1+AE43))</t>
  </si>
  <si>
    <t>=SQRT(SUM(AE37:AG37)/AE39)</t>
  </si>
  <si>
    <t>=AM43*(1+AM36)+(1-AM43)*AM41-1</t>
  </si>
  <si>
    <t>Loss Amount</t>
  </si>
  <si>
    <t>Limit</t>
  </si>
  <si>
    <t>Increased Limit Factor</t>
  </si>
  <si>
    <t>Earned exposures</t>
  </si>
  <si>
    <t>Basic limits</t>
  </si>
  <si>
    <t>Increased limits analysis</t>
  </si>
  <si>
    <t>Attachment point, A</t>
  </si>
  <si>
    <t>Losses capped at A =</t>
  </si>
  <si>
    <t>Losses capped @ attachment point</t>
  </si>
  <si>
    <t>Losses capped @ a different cap</t>
  </si>
  <si>
    <t>Lower limits analysis</t>
  </si>
  <si>
    <t>Losses capped at d =</t>
  </si>
  <si>
    <t>A different cap, d</t>
  </si>
  <si>
    <t>=SUM(AU47:AU52)/AT60</t>
  </si>
  <si>
    <t>=AY47*(AT58-AT57)/AT57</t>
  </si>
  <si>
    <t>=SUM(AV47:AV52)/AT60</t>
  </si>
  <si>
    <t>=AY52*(AT58-AT57)/AT56</t>
  </si>
  <si>
    <t>=MIN(AT47,$AT$63)</t>
  </si>
  <si>
    <t>=MIN(AU47,$AT$64)</t>
  </si>
  <si>
    <t>Expenses</t>
  </si>
  <si>
    <t>New Business</t>
  </si>
  <si>
    <t>Renewal</t>
  </si>
  <si>
    <t>Expected loss cost per year</t>
  </si>
  <si>
    <t>Expected decrease in loss cost per year</t>
  </si>
  <si>
    <t>Discount rate</t>
  </si>
  <si>
    <t>LAE</t>
  </si>
  <si>
    <t>Probability of renewal #</t>
  </si>
  <si>
    <t>Probability of renewal # (NB)</t>
  </si>
  <si>
    <t xml:space="preserve">Lifetime value of expected profit = </t>
  </si>
  <si>
    <t>=IF(G6=1,$C$6,$C$7)*XLOOKUP(G6-1,$C$12:$C$14,$D$12:$D$14)*(1+$C$11)^-(G6-1)</t>
  </si>
  <si>
    <t>=IF(G6=1,$C$9,$C$9-(G6-1)*$C$10)*XLOOKUP(G6-1,$C$12:$C$14,$D$12:$D$14)*(1+$C$11)^-(G6-1)</t>
  </si>
  <si>
    <t>=IF(G6=1,$D$6,$D$7)*XLOOKUP(G6-1,$C$12:$C$14,$D$12:$D$14)*(1+$C$11)^-(G6-1)</t>
  </si>
  <si>
    <t>=SUM(H6:H8)</t>
  </si>
  <si>
    <t>=H9-SUM(I9:J9)</t>
  </si>
  <si>
    <t>=D13*E14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</si>
</sst>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0.000"/>
    <numFmt numFmtId="166" formatCode="0.000"/>
    <numFmt numFmtId="167" formatCode="0.0"/>
    <numFmt numFmtId="168" formatCode="0.0%"/>
    <numFmt numFmtId="169" formatCode="&quot;$&quot;#,##0.00"/>
    <numFmt numFmtId="170" formatCode="&quot;$&quot;#,##0"/>
    <numFmt numFmtId="171" formatCode="0.0000"/>
  </numFmts>
  <fonts count="25" x14ac:knownFonts="1">
    <font>
      <sz val="12"/>
      <color theme="1"/>
      <name val="Aptos Narrow"/>
      <family val="2"/>
      <scheme val="minor"/>
    </font>
    <font>
      <sz val="12"/>
      <color theme="1"/>
      <name val="Aptos Narrow"/>
      <family val="2"/>
      <scheme val="minor"/>
    </font>
    <font>
      <b/>
      <sz val="12"/>
      <color theme="1"/>
      <name val="Aptos Narrow"/>
      <scheme val="minor"/>
    </font>
    <font>
      <b/>
      <sz val="12"/>
      <color rgb="FF293243"/>
      <name val="Arial"/>
      <family val="2"/>
    </font>
    <font>
      <sz val="12"/>
      <color rgb="FF293243"/>
      <name val="Arial"/>
      <family val="2"/>
    </font>
    <font>
      <sz val="12"/>
      <color theme="1"/>
      <name val="Aptos Narrow"/>
      <scheme val="minor"/>
    </font>
    <font>
      <sz val="8"/>
      <name val="Aptos Narrow"/>
      <family val="2"/>
      <scheme val="minor"/>
    </font>
    <font>
      <sz val="12"/>
      <color rgb="FF0070C0"/>
      <name val="Aptos Narrow"/>
      <family val="2"/>
      <scheme val="minor"/>
    </font>
    <font>
      <sz val="12"/>
      <color theme="5"/>
      <name val="Aptos Narrow"/>
      <family val="2"/>
      <scheme val="minor"/>
    </font>
    <font>
      <sz val="12"/>
      <color theme="5"/>
      <name val="Aptos Narrow (Body)"/>
    </font>
    <font>
      <sz val="12"/>
      <color rgb="FF0070C0"/>
      <name val="Arial"/>
      <family val="2"/>
    </font>
    <font>
      <sz val="12"/>
      <color rgb="FFFFC000"/>
      <name val="Aptos Narrow"/>
      <family val="2"/>
      <scheme val="minor"/>
    </font>
    <font>
      <b/>
      <sz val="12"/>
      <color rgb="FF202834"/>
      <name val="Arial"/>
      <family val="2"/>
    </font>
    <font>
      <sz val="12"/>
      <color rgb="FF202834"/>
      <name val="Arial"/>
      <family val="2"/>
    </font>
    <font>
      <sz val="12"/>
      <name val="Arial"/>
      <family val="2"/>
    </font>
    <font>
      <sz val="12"/>
      <color rgb="FFFFC000"/>
      <name val="Arial"/>
      <family val="2"/>
    </font>
    <font>
      <b/>
      <sz val="12"/>
      <color theme="1"/>
      <name val="Aptos Narrow"/>
      <family val="2"/>
      <scheme val="minor"/>
    </font>
    <font>
      <sz val="12"/>
      <color rgb="FF00B050"/>
      <name val="Aptos Narrow"/>
      <family val="2"/>
      <scheme val="minor"/>
    </font>
    <font>
      <b/>
      <sz val="12"/>
      <name val="Arial"/>
      <family val="2"/>
    </font>
    <font>
      <b/>
      <sz val="12"/>
      <color rgb="FF0070C0"/>
      <name val="Arial"/>
      <family val="2"/>
    </font>
    <font>
      <b/>
      <sz val="12"/>
      <color rgb="FF000000"/>
      <name val="Arial"/>
      <family val="2"/>
    </font>
    <font>
      <i/>
      <sz val="12"/>
      <color theme="1"/>
      <name val="Aptos Narrow"/>
      <scheme val="minor"/>
    </font>
    <font>
      <sz val="12"/>
      <color rgb="FF0070C0"/>
      <name val="Aptos Narrow"/>
      <scheme val="minor"/>
    </font>
    <font>
      <i/>
      <sz val="12"/>
      <color rgb="FF0070C0"/>
      <name val="Aptos Narrow"/>
      <scheme val="minor"/>
    </font>
    <font>
      <sz val="12"/>
      <color rgb="FFFFC000"/>
      <name val="Aptos Narrow"/>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72">
    <xf numFmtId="0" fontId="0" fillId="0" borderId="0" xfId="0"/>
    <xf numFmtId="0" fontId="0" fillId="0" borderId="1" xfId="0" applyBorder="1"/>
    <xf numFmtId="3" fontId="0" fillId="0" borderId="2" xfId="0" applyNumberFormat="1" applyBorder="1"/>
    <xf numFmtId="0" fontId="0" fillId="0" borderId="0" xfId="0" quotePrefix="1"/>
    <xf numFmtId="0" fontId="2" fillId="0" borderId="1" xfId="0" applyFont="1" applyBorder="1"/>
    <xf numFmtId="0" fontId="2" fillId="0" borderId="3" xfId="0" applyFont="1" applyBorder="1"/>
    <xf numFmtId="3" fontId="0" fillId="0" borderId="3" xfId="0" applyNumberFormat="1" applyBorder="1"/>
    <xf numFmtId="164" fontId="0" fillId="0" borderId="0" xfId="1" applyNumberFormat="1" applyFont="1"/>
    <xf numFmtId="164" fontId="0" fillId="0" borderId="1" xfId="1" applyNumberFormat="1" applyFont="1" applyBorder="1"/>
    <xf numFmtId="164" fontId="0" fillId="0" borderId="0" xfId="0" applyNumberFormat="1"/>
    <xf numFmtId="10" fontId="0" fillId="0" borderId="0" xfId="2" applyNumberFormat="1" applyFont="1"/>
    <xf numFmtId="0" fontId="3" fillId="0" borderId="0" xfId="0" applyFont="1"/>
    <xf numFmtId="0" fontId="4" fillId="0" borderId="0" xfId="0" applyFont="1"/>
    <xf numFmtId="14" fontId="4" fillId="0" borderId="0" xfId="0" applyNumberFormat="1" applyFont="1"/>
    <xf numFmtId="0" fontId="3" fillId="0" borderId="0" xfId="0" applyFont="1" applyAlignment="1">
      <alignment wrapText="1"/>
    </xf>
    <xf numFmtId="0" fontId="2" fillId="0" borderId="0" xfId="0" applyFont="1"/>
    <xf numFmtId="0" fontId="5" fillId="0" borderId="0" xfId="0" applyFont="1"/>
    <xf numFmtId="2" fontId="0" fillId="0" borderId="0" xfId="0" applyNumberFormat="1"/>
    <xf numFmtId="14" fontId="0" fillId="0" borderId="0" xfId="0" applyNumberFormat="1"/>
    <xf numFmtId="9" fontId="0" fillId="0" borderId="0" xfId="2" applyFont="1"/>
    <xf numFmtId="9" fontId="0" fillId="0" borderId="0" xfId="2" quotePrefix="1" applyFont="1"/>
    <xf numFmtId="2" fontId="7" fillId="0" borderId="0" xfId="0" applyNumberFormat="1" applyFont="1"/>
    <xf numFmtId="0" fontId="7" fillId="0" borderId="0" xfId="0" applyFont="1"/>
    <xf numFmtId="0" fontId="0" fillId="0" borderId="0" xfId="0" applyAlignment="1">
      <alignment vertical="center"/>
    </xf>
    <xf numFmtId="0" fontId="2" fillId="0" borderId="4" xfId="0" applyFont="1" applyBorder="1"/>
    <xf numFmtId="0" fontId="2" fillId="0" borderId="2" xfId="0" applyFont="1" applyBorder="1"/>
    <xf numFmtId="0" fontId="0" fillId="0" borderId="4" xfId="0" applyBorder="1"/>
    <xf numFmtId="0" fontId="7" fillId="0" borderId="2" xfId="0" applyFont="1" applyBorder="1"/>
    <xf numFmtId="0" fontId="0" fillId="0" borderId="5" xfId="0" applyBorder="1"/>
    <xf numFmtId="0" fontId="7" fillId="0" borderId="3" xfId="0" applyFont="1" applyBorder="1"/>
    <xf numFmtId="0" fontId="0" fillId="0" borderId="2" xfId="0" applyBorder="1"/>
    <xf numFmtId="0" fontId="0" fillId="0" borderId="3" xfId="0" applyBorder="1"/>
    <xf numFmtId="0" fontId="8" fillId="0" borderId="0" xfId="0" quotePrefix="1" applyFont="1"/>
    <xf numFmtId="3" fontId="4" fillId="0" borderId="0" xfId="0" applyNumberFormat="1" applyFont="1"/>
    <xf numFmtId="165" fontId="10" fillId="0" borderId="0" xfId="0" applyNumberFormat="1" applyFont="1"/>
    <xf numFmtId="0" fontId="10" fillId="0" borderId="0" xfId="0" applyFont="1"/>
    <xf numFmtId="0" fontId="11" fillId="0" borderId="0" xfId="0" quotePrefix="1" applyFont="1"/>
    <xf numFmtId="4" fontId="10" fillId="0" borderId="0" xfId="0" applyNumberFormat="1" applyFont="1"/>
    <xf numFmtId="4" fontId="7" fillId="0" borderId="0" xfId="0" applyNumberFormat="1" applyFont="1"/>
    <xf numFmtId="16" fontId="3" fillId="0" borderId="0" xfId="0" quotePrefix="1" applyNumberFormat="1" applyFont="1"/>
    <xf numFmtId="0" fontId="3" fillId="0" borderId="0" xfId="0" quotePrefix="1" applyFont="1"/>
    <xf numFmtId="166" fontId="10" fillId="0" borderId="0" xfId="0" applyNumberFormat="1" applyFont="1"/>
    <xf numFmtId="166" fontId="0" fillId="0" borderId="0" xfId="0" applyNumberFormat="1"/>
    <xf numFmtId="166" fontId="7" fillId="0" borderId="0" xfId="0" applyNumberFormat="1" applyFont="1"/>
    <xf numFmtId="0" fontId="2" fillId="0" borderId="0" xfId="0" applyFont="1" applyAlignment="1">
      <alignment wrapText="1"/>
    </xf>
    <xf numFmtId="167" fontId="7" fillId="0" borderId="0" xfId="0" applyNumberFormat="1" applyFont="1"/>
    <xf numFmtId="0" fontId="4" fillId="0" borderId="1" xfId="0" applyFont="1" applyBorder="1"/>
    <xf numFmtId="167" fontId="7" fillId="0" borderId="1" xfId="0" applyNumberFormat="1" applyFont="1" applyBorder="1"/>
    <xf numFmtId="0" fontId="4" fillId="2" borderId="0" xfId="0" applyFont="1" applyFill="1"/>
    <xf numFmtId="0" fontId="0" fillId="2" borderId="0" xfId="0" applyFill="1"/>
    <xf numFmtId="167" fontId="7" fillId="2" borderId="0" xfId="0" applyNumberFormat="1" applyFont="1" applyFill="1"/>
    <xf numFmtId="0" fontId="11" fillId="2" borderId="0" xfId="0" quotePrefix="1" applyFont="1" applyFill="1"/>
    <xf numFmtId="6" fontId="4" fillId="0" borderId="0" xfId="0" applyNumberFormat="1" applyFont="1"/>
    <xf numFmtId="6" fontId="7" fillId="0" borderId="0" xfId="0" applyNumberFormat="1" applyFont="1"/>
    <xf numFmtId="16" fontId="0" fillId="0" borderId="0" xfId="0" quotePrefix="1" applyNumberFormat="1"/>
    <xf numFmtId="2" fontId="4" fillId="0" borderId="0" xfId="0" applyNumberFormat="1" applyFont="1"/>
    <xf numFmtId="0" fontId="0" fillId="0" borderId="0" xfId="0" applyAlignment="1">
      <alignment horizontal="right"/>
    </xf>
    <xf numFmtId="8" fontId="11" fillId="0" borderId="0" xfId="0" quotePrefix="1" applyNumberFormat="1" applyFont="1"/>
    <xf numFmtId="8" fontId="7" fillId="2" borderId="0" xfId="0" applyNumberFormat="1" applyFont="1" applyFill="1"/>
    <xf numFmtId="2" fontId="10" fillId="0" borderId="0" xfId="0" applyNumberFormat="1" applyFont="1"/>
    <xf numFmtId="1" fontId="7" fillId="0" borderId="0" xfId="0" applyNumberFormat="1" applyFont="1"/>
    <xf numFmtId="2" fontId="7" fillId="2" borderId="0" xfId="0" applyNumberFormat="1" applyFont="1" applyFill="1"/>
    <xf numFmtId="0" fontId="4" fillId="0" borderId="0" xfId="0" quotePrefix="1" applyFont="1"/>
    <xf numFmtId="6" fontId="0" fillId="0" borderId="0" xfId="0" applyNumberFormat="1"/>
    <xf numFmtId="6" fontId="4" fillId="0" borderId="1" xfId="0" applyNumberFormat="1" applyFont="1" applyBorder="1"/>
    <xf numFmtId="0" fontId="0" fillId="0" borderId="0" xfId="0" applyAlignment="1">
      <alignment horizontal="right" wrapText="1"/>
    </xf>
    <xf numFmtId="9" fontId="7" fillId="2" borderId="0" xfId="2" applyFont="1" applyFill="1"/>
    <xf numFmtId="6" fontId="7" fillId="0" borderId="1" xfId="0" applyNumberFormat="1" applyFont="1" applyBorder="1"/>
    <xf numFmtId="6" fontId="10" fillId="0" borderId="0" xfId="0" applyNumberFormat="1" applyFont="1"/>
    <xf numFmtId="6" fontId="10" fillId="0" borderId="1" xfId="0" applyNumberFormat="1" applyFont="1" applyBorder="1"/>
    <xf numFmtId="0" fontId="12" fillId="0" borderId="0" xfId="0" applyFont="1"/>
    <xf numFmtId="0" fontId="13" fillId="0" borderId="0" xfId="0" applyFont="1"/>
    <xf numFmtId="6" fontId="13" fillId="0" borderId="0" xfId="0" applyNumberFormat="1" applyFont="1"/>
    <xf numFmtId="10" fontId="10" fillId="0" borderId="0" xfId="2" applyNumberFormat="1" applyFont="1"/>
    <xf numFmtId="6" fontId="12" fillId="0" borderId="0" xfId="0" applyNumberFormat="1" applyFont="1"/>
    <xf numFmtId="10" fontId="14" fillId="0" borderId="0" xfId="2" applyNumberFormat="1" applyFont="1"/>
    <xf numFmtId="0" fontId="13" fillId="0" borderId="9" xfId="0" applyFont="1" applyBorder="1"/>
    <xf numFmtId="10" fontId="10" fillId="0" borderId="9" xfId="2" applyNumberFormat="1" applyFont="1" applyBorder="1"/>
    <xf numFmtId="10" fontId="14" fillId="0" borderId="9" xfId="2" applyNumberFormat="1" applyFont="1" applyBorder="1"/>
    <xf numFmtId="10" fontId="7" fillId="2" borderId="0" xfId="0" applyNumberFormat="1" applyFont="1" applyFill="1"/>
    <xf numFmtId="10" fontId="15" fillId="0" borderId="0" xfId="2" quotePrefix="1" applyNumberFormat="1" applyFont="1" applyFill="1" applyBorder="1"/>
    <xf numFmtId="9" fontId="13" fillId="0" borderId="0" xfId="0" applyNumberFormat="1" applyFont="1"/>
    <xf numFmtId="10" fontId="7" fillId="0" borderId="0" xfId="0" applyNumberFormat="1" applyFont="1"/>
    <xf numFmtId="10" fontId="7" fillId="0" borderId="9" xfId="0" applyNumberFormat="1" applyFont="1" applyBorder="1"/>
    <xf numFmtId="0" fontId="0" fillId="0" borderId="9" xfId="0" applyBorder="1"/>
    <xf numFmtId="10" fontId="11" fillId="0" borderId="0" xfId="0" quotePrefix="1" applyNumberFormat="1" applyFont="1"/>
    <xf numFmtId="10" fontId="13" fillId="0" borderId="0" xfId="0" applyNumberFormat="1" applyFont="1"/>
    <xf numFmtId="8" fontId="0" fillId="0" borderId="0" xfId="0" applyNumberFormat="1"/>
    <xf numFmtId="8" fontId="13" fillId="0" borderId="0" xfId="0" applyNumberFormat="1" applyFont="1"/>
    <xf numFmtId="8" fontId="0" fillId="0" borderId="9" xfId="0" applyNumberFormat="1" applyBorder="1"/>
    <xf numFmtId="8" fontId="7" fillId="0" borderId="9" xfId="0" applyNumberFormat="1" applyFont="1" applyBorder="1"/>
    <xf numFmtId="0" fontId="7" fillId="0" borderId="9" xfId="0" applyFont="1" applyBorder="1"/>
    <xf numFmtId="8" fontId="7" fillId="0" borderId="0" xfId="0" applyNumberFormat="1" applyFont="1"/>
    <xf numFmtId="0" fontId="11" fillId="0" borderId="0" xfId="0" applyFont="1"/>
    <xf numFmtId="168" fontId="7" fillId="0" borderId="0" xfId="2" applyNumberFormat="1" applyFont="1"/>
    <xf numFmtId="168" fontId="7" fillId="0" borderId="0" xfId="0" applyNumberFormat="1" applyFont="1"/>
    <xf numFmtId="168" fontId="7" fillId="0" borderId="9" xfId="2" applyNumberFormat="1" applyFont="1" applyBorder="1"/>
    <xf numFmtId="168" fontId="7" fillId="2" borderId="0" xfId="0" applyNumberFormat="1" applyFont="1" applyFill="1"/>
    <xf numFmtId="6" fontId="0" fillId="0" borderId="9" xfId="0" applyNumberFormat="1" applyBorder="1"/>
    <xf numFmtId="0" fontId="11" fillId="0" borderId="9" xfId="0" quotePrefix="1" applyFont="1" applyBorder="1"/>
    <xf numFmtId="3" fontId="13" fillId="0" borderId="0" xfId="0" applyNumberFormat="1" applyFont="1"/>
    <xf numFmtId="8" fontId="2" fillId="0" borderId="0" xfId="0" applyNumberFormat="1" applyFont="1"/>
    <xf numFmtId="10" fontId="7" fillId="0" borderId="0" xfId="2" applyNumberFormat="1" applyFont="1"/>
    <xf numFmtId="6" fontId="7" fillId="0" borderId="9" xfId="0" applyNumberFormat="1" applyFont="1" applyBorder="1"/>
    <xf numFmtId="10" fontId="7" fillId="0" borderId="9" xfId="2" applyNumberFormat="1" applyFont="1" applyBorder="1"/>
    <xf numFmtId="10" fontId="7" fillId="0" borderId="0" xfId="2" applyNumberFormat="1" applyFont="1" applyFill="1"/>
    <xf numFmtId="0" fontId="0" fillId="0" borderId="0" xfId="0" applyAlignment="1">
      <alignment wrapText="1"/>
    </xf>
    <xf numFmtId="165" fontId="13" fillId="0" borderId="0" xfId="0" applyNumberFormat="1" applyFont="1"/>
    <xf numFmtId="0" fontId="17" fillId="0" borderId="0" xfId="0" applyFont="1"/>
    <xf numFmtId="0" fontId="16" fillId="0" borderId="0" xfId="0" applyFont="1"/>
    <xf numFmtId="9" fontId="13" fillId="0" borderId="0" xfId="2" applyFont="1"/>
    <xf numFmtId="0" fontId="12" fillId="0" borderId="10"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3" fillId="0" borderId="4" xfId="0" applyFont="1" applyBorder="1"/>
    <xf numFmtId="3" fontId="13" fillId="0" borderId="2" xfId="0" applyNumberFormat="1" applyFont="1" applyBorder="1"/>
    <xf numFmtId="0" fontId="13" fillId="0" borderId="5" xfId="0" applyFont="1" applyBorder="1"/>
    <xf numFmtId="3" fontId="13" fillId="0" borderId="1" xfId="0" applyNumberFormat="1" applyFont="1" applyBorder="1"/>
    <xf numFmtId="3" fontId="13" fillId="0" borderId="3" xfId="0" applyNumberFormat="1" applyFont="1" applyBorder="1"/>
    <xf numFmtId="3" fontId="13" fillId="0" borderId="4" xfId="0" applyNumberFormat="1" applyFont="1" applyBorder="1"/>
    <xf numFmtId="3" fontId="10" fillId="0" borderId="0" xfId="0" applyNumberFormat="1" applyFont="1"/>
    <xf numFmtId="4" fontId="13" fillId="0" borderId="0" xfId="0" applyNumberFormat="1" applyFont="1"/>
    <xf numFmtId="3" fontId="13" fillId="0" borderId="5" xfId="0" applyNumberFormat="1" applyFont="1" applyBorder="1"/>
    <xf numFmtId="165" fontId="13" fillId="0" borderId="1" xfId="0" applyNumberFormat="1" applyFont="1" applyBorder="1"/>
    <xf numFmtId="3" fontId="10" fillId="0" borderId="1" xfId="0" applyNumberFormat="1" applyFont="1" applyBorder="1"/>
    <xf numFmtId="4" fontId="7" fillId="0" borderId="1" xfId="0" applyNumberFormat="1" applyFont="1" applyBorder="1"/>
    <xf numFmtId="1" fontId="0" fillId="0" borderId="0" xfId="2" applyNumberFormat="1" applyFont="1"/>
    <xf numFmtId="169" fontId="7" fillId="2" borderId="0" xfId="0" applyNumberFormat="1" applyFont="1" applyFill="1"/>
    <xf numFmtId="170" fontId="7" fillId="2" borderId="2" xfId="0" applyNumberFormat="1" applyFont="1" applyFill="1" applyBorder="1"/>
    <xf numFmtId="170" fontId="7" fillId="2" borderId="3" xfId="0" applyNumberFormat="1" applyFont="1" applyFill="1" applyBorder="1"/>
    <xf numFmtId="0" fontId="13" fillId="0" borderId="2" xfId="0" applyFont="1" applyBorder="1"/>
    <xf numFmtId="0" fontId="13" fillId="0" borderId="1" xfId="0" applyFont="1" applyBorder="1"/>
    <xf numFmtId="0" fontId="13" fillId="0" borderId="3" xfId="0" applyFont="1" applyBorder="1"/>
    <xf numFmtId="0" fontId="13" fillId="0" borderId="15" xfId="0" applyFont="1" applyBorder="1"/>
    <xf numFmtId="0" fontId="13" fillId="0" borderId="16" xfId="0" applyFont="1" applyBorder="1"/>
    <xf numFmtId="0" fontId="13" fillId="0" borderId="11" xfId="0" applyFont="1" applyBorder="1"/>
    <xf numFmtId="0" fontId="12" fillId="0" borderId="5" xfId="0" applyFont="1" applyBorder="1"/>
    <xf numFmtId="0" fontId="12" fillId="0" borderId="1" xfId="0" applyFont="1" applyBorder="1"/>
    <xf numFmtId="0" fontId="0" fillId="0" borderId="13" xfId="0" applyBorder="1"/>
    <xf numFmtId="0" fontId="12" fillId="0" borderId="13" xfId="0" applyFont="1" applyBorder="1"/>
    <xf numFmtId="0" fontId="12" fillId="0" borderId="6" xfId="0" applyFont="1" applyBorder="1"/>
    <xf numFmtId="0" fontId="12" fillId="0" borderId="7" xfId="0" applyFont="1" applyBorder="1"/>
    <xf numFmtId="6" fontId="13" fillId="0" borderId="2" xfId="0" applyNumberFormat="1" applyFont="1" applyBorder="1"/>
    <xf numFmtId="6" fontId="13" fillId="0" borderId="3" xfId="0" applyNumberFormat="1" applyFont="1" applyBorder="1"/>
    <xf numFmtId="0" fontId="12" fillId="0" borderId="8" xfId="0" applyFont="1" applyBorder="1"/>
    <xf numFmtId="0" fontId="7" fillId="0" borderId="1" xfId="0" applyFont="1" applyBorder="1"/>
    <xf numFmtId="0" fontId="0" fillId="0" borderId="8" xfId="0" applyBorder="1"/>
    <xf numFmtId="0" fontId="0" fillId="0" borderId="15" xfId="0" applyBorder="1"/>
    <xf numFmtId="0" fontId="13" fillId="0" borderId="14" xfId="0" applyFont="1" applyBorder="1"/>
    <xf numFmtId="170" fontId="7" fillId="0" borderId="14" xfId="0" applyNumberFormat="1" applyFont="1" applyBorder="1"/>
    <xf numFmtId="170" fontId="7" fillId="0" borderId="16" xfId="0" applyNumberFormat="1" applyFont="1" applyBorder="1"/>
    <xf numFmtId="170" fontId="7" fillId="0" borderId="6" xfId="0" applyNumberFormat="1" applyFont="1" applyBorder="1"/>
    <xf numFmtId="170" fontId="7" fillId="0" borderId="8" xfId="0" applyNumberFormat="1" applyFont="1" applyBorder="1"/>
    <xf numFmtId="170" fontId="7" fillId="0" borderId="13" xfId="0" applyNumberFormat="1" applyFont="1" applyBorder="1"/>
    <xf numFmtId="0" fontId="15" fillId="0" borderId="0" xfId="0" quotePrefix="1" applyFont="1"/>
    <xf numFmtId="170" fontId="7" fillId="0" borderId="0" xfId="0" applyNumberFormat="1" applyFont="1"/>
    <xf numFmtId="169" fontId="7" fillId="0" borderId="0" xfId="0" applyNumberFormat="1" applyFont="1"/>
    <xf numFmtId="166" fontId="7" fillId="0" borderId="1" xfId="0" applyNumberFormat="1" applyFont="1" applyBorder="1"/>
    <xf numFmtId="170" fontId="7" fillId="0" borderId="1" xfId="0" applyNumberFormat="1" applyFont="1" applyBorder="1"/>
    <xf numFmtId="169" fontId="7" fillId="0" borderId="1" xfId="0" applyNumberFormat="1" applyFont="1" applyBorder="1"/>
    <xf numFmtId="166" fontId="7" fillId="2" borderId="1" xfId="0" applyNumberFormat="1" applyFont="1" applyFill="1" applyBorder="1"/>
    <xf numFmtId="170" fontId="12" fillId="0" borderId="0" xfId="0" applyNumberFormat="1" applyFont="1"/>
    <xf numFmtId="0" fontId="18" fillId="0" borderId="0" xfId="0" applyFont="1"/>
    <xf numFmtId="168" fontId="7" fillId="0" borderId="1" xfId="2" applyNumberFormat="1" applyFont="1" applyBorder="1"/>
    <xf numFmtId="166" fontId="7" fillId="2" borderId="0" xfId="0" applyNumberFormat="1" applyFont="1" applyFill="1"/>
    <xf numFmtId="170" fontId="14" fillId="0" borderId="0" xfId="0" applyNumberFormat="1" applyFont="1"/>
    <xf numFmtId="170" fontId="14" fillId="0" borderId="1" xfId="0" applyNumberFormat="1" applyFont="1" applyBorder="1"/>
    <xf numFmtId="6" fontId="13" fillId="0" borderId="1" xfId="0" applyNumberFormat="1" applyFont="1" applyBorder="1"/>
    <xf numFmtId="164" fontId="13" fillId="0" borderId="0" xfId="1" applyNumberFormat="1" applyFont="1"/>
    <xf numFmtId="2" fontId="13" fillId="0" borderId="0" xfId="0" applyNumberFormat="1" applyFont="1"/>
    <xf numFmtId="6" fontId="14" fillId="0" borderId="0" xfId="0" applyNumberFormat="1" applyFont="1"/>
    <xf numFmtId="3" fontId="14" fillId="0" borderId="0" xfId="0" applyNumberFormat="1" applyFont="1"/>
    <xf numFmtId="3" fontId="0" fillId="0" borderId="0" xfId="0" applyNumberFormat="1"/>
    <xf numFmtId="9" fontId="13" fillId="0" borderId="1" xfId="0" applyNumberFormat="1" applyFont="1" applyBorder="1"/>
    <xf numFmtId="0" fontId="12" fillId="0" borderId="0" xfId="0" applyFont="1" applyAlignment="1">
      <alignment wrapText="1"/>
    </xf>
    <xf numFmtId="8" fontId="7" fillId="0" borderId="1" xfId="0" applyNumberFormat="1" applyFont="1" applyBorder="1"/>
    <xf numFmtId="0" fontId="14" fillId="0" borderId="0" xfId="0" applyFont="1"/>
    <xf numFmtId="0" fontId="14" fillId="0" borderId="1" xfId="0" applyFont="1" applyBorder="1"/>
    <xf numFmtId="1" fontId="13" fillId="0" borderId="0" xfId="0" applyNumberFormat="1" applyFont="1"/>
    <xf numFmtId="3" fontId="13" fillId="0" borderId="10" xfId="0" applyNumberFormat="1" applyFont="1" applyBorder="1"/>
    <xf numFmtId="170" fontId="13" fillId="0" borderId="0" xfId="0" applyNumberFormat="1" applyFont="1"/>
    <xf numFmtId="170" fontId="13" fillId="0" borderId="9" xfId="0" applyNumberFormat="1" applyFont="1" applyBorder="1"/>
    <xf numFmtId="170" fontId="10" fillId="0" borderId="0" xfId="0" applyNumberFormat="1" applyFont="1"/>
    <xf numFmtId="170" fontId="10" fillId="0" borderId="9" xfId="0" applyNumberFormat="1" applyFont="1" applyBorder="1"/>
    <xf numFmtId="0" fontId="7" fillId="0" borderId="0" xfId="0" applyFont="1" applyAlignment="1">
      <alignment horizontal="right"/>
    </xf>
    <xf numFmtId="166" fontId="10" fillId="2" borderId="0" xfId="0" applyNumberFormat="1" applyFont="1" applyFill="1"/>
    <xf numFmtId="170" fontId="7" fillId="2" borderId="0" xfId="0" applyNumberFormat="1" applyFont="1" applyFill="1"/>
    <xf numFmtId="6" fontId="12" fillId="0" borderId="1" xfId="0" applyNumberFormat="1" applyFont="1" applyBorder="1"/>
    <xf numFmtId="6" fontId="12" fillId="0" borderId="3" xfId="0" applyNumberFormat="1" applyFont="1" applyBorder="1"/>
    <xf numFmtId="6" fontId="13" fillId="0" borderId="11" xfId="0" applyNumberFormat="1" applyFont="1" applyBorder="1"/>
    <xf numFmtId="6" fontId="13" fillId="0" borderId="12" xfId="0" applyNumberFormat="1" applyFont="1" applyBorder="1"/>
    <xf numFmtId="6" fontId="12" fillId="0" borderId="5" xfId="0" applyNumberFormat="1" applyFont="1" applyBorder="1"/>
    <xf numFmtId="0" fontId="13" fillId="0" borderId="12" xfId="0" applyFont="1" applyBorder="1"/>
    <xf numFmtId="3" fontId="13" fillId="0" borderId="6" xfId="0" applyNumberFormat="1" applyFont="1" applyBorder="1"/>
    <xf numFmtId="3" fontId="13" fillId="0" borderId="8" xfId="0" applyNumberFormat="1" applyFont="1" applyBorder="1"/>
    <xf numFmtId="3" fontId="13" fillId="0" borderId="7" xfId="0" applyNumberFormat="1" applyFont="1" applyBorder="1"/>
    <xf numFmtId="43" fontId="13" fillId="0" borderId="0" xfId="1" applyFont="1"/>
    <xf numFmtId="6" fontId="13" fillId="0" borderId="9" xfId="0" applyNumberFormat="1" applyFont="1" applyBorder="1"/>
    <xf numFmtId="6" fontId="10" fillId="0" borderId="9" xfId="0" applyNumberFormat="1" applyFont="1" applyBorder="1"/>
    <xf numFmtId="170" fontId="7" fillId="0" borderId="0" xfId="3" applyNumberFormat="1" applyFont="1"/>
    <xf numFmtId="170" fontId="13" fillId="0" borderId="0" xfId="0" applyNumberFormat="1" applyFont="1" applyAlignment="1">
      <alignment horizontal="left"/>
    </xf>
    <xf numFmtId="170" fontId="0" fillId="0" borderId="0" xfId="3" applyNumberFormat="1" applyFont="1" applyAlignment="1">
      <alignment horizontal="left"/>
    </xf>
    <xf numFmtId="10" fontId="7" fillId="2" borderId="0" xfId="2" applyNumberFormat="1" applyFont="1" applyFill="1" applyAlignment="1">
      <alignment horizontal="left"/>
    </xf>
    <xf numFmtId="171" fontId="7" fillId="0" borderId="0" xfId="0" applyNumberFormat="1" applyFont="1" applyAlignment="1">
      <alignment horizontal="left"/>
    </xf>
    <xf numFmtId="9" fontId="13" fillId="0" borderId="9" xfId="0" applyNumberFormat="1" applyFont="1" applyBorder="1"/>
    <xf numFmtId="9" fontId="7" fillId="0" borderId="0" xfId="0" applyNumberFormat="1" applyFont="1"/>
    <xf numFmtId="169" fontId="0" fillId="0" borderId="0" xfId="0" applyNumberFormat="1"/>
    <xf numFmtId="168" fontId="0" fillId="0" borderId="0" xfId="0" applyNumberFormat="1"/>
    <xf numFmtId="168" fontId="7" fillId="2" borderId="0" xfId="2" applyNumberFormat="1" applyFont="1" applyFill="1"/>
    <xf numFmtId="0" fontId="19" fillId="0" borderId="0" xfId="0" applyFont="1"/>
    <xf numFmtId="170" fontId="0" fillId="0" borderId="0" xfId="0" applyNumberFormat="1"/>
    <xf numFmtId="168" fontId="0" fillId="0" borderId="0" xfId="2" applyNumberFormat="1" applyFont="1"/>
    <xf numFmtId="168" fontId="0" fillId="0" borderId="1" xfId="2" applyNumberFormat="1" applyFont="1" applyBorder="1"/>
    <xf numFmtId="10" fontId="7" fillId="2" borderId="0" xfId="2" applyNumberFormat="1" applyFont="1" applyFill="1"/>
    <xf numFmtId="168" fontId="11" fillId="0" borderId="0" xfId="2" quotePrefix="1" applyNumberFormat="1" applyFont="1"/>
    <xf numFmtId="0" fontId="11" fillId="0" borderId="0" xfId="0" quotePrefix="1" applyFont="1" applyAlignment="1">
      <alignment horizontal="right"/>
    </xf>
    <xf numFmtId="10" fontId="11" fillId="0" borderId="0" xfId="2" quotePrefix="1" applyNumberFormat="1" applyFont="1"/>
    <xf numFmtId="170" fontId="11" fillId="0" borderId="0" xfId="0" quotePrefix="1" applyNumberFormat="1" applyFont="1"/>
    <xf numFmtId="0" fontId="20" fillId="0" borderId="0" xfId="0" applyFont="1"/>
    <xf numFmtId="0" fontId="21" fillId="0" borderId="0" xfId="0" applyFont="1"/>
    <xf numFmtId="170" fontId="21" fillId="0" borderId="0" xfId="0" applyNumberFormat="1" applyFont="1"/>
    <xf numFmtId="0" fontId="5" fillId="0" borderId="0" xfId="0" applyFont="1" applyAlignment="1">
      <alignment horizontal="right"/>
    </xf>
    <xf numFmtId="0" fontId="2" fillId="0" borderId="0" xfId="0" applyFont="1" applyAlignment="1">
      <alignment horizontal="left"/>
    </xf>
    <xf numFmtId="169" fontId="22" fillId="0" borderId="0" xfId="0" applyNumberFormat="1" applyFont="1"/>
    <xf numFmtId="0" fontId="22" fillId="0" borderId="0" xfId="0" applyFont="1"/>
    <xf numFmtId="2" fontId="22" fillId="0" borderId="0" xfId="0" applyNumberFormat="1" applyFont="1"/>
    <xf numFmtId="169" fontId="22" fillId="2" borderId="0" xfId="0" applyNumberFormat="1" applyFont="1" applyFill="1"/>
    <xf numFmtId="169" fontId="23" fillId="0" borderId="0" xfId="0" applyNumberFormat="1" applyFont="1"/>
    <xf numFmtId="0" fontId="24" fillId="0" borderId="0" xfId="0" quotePrefix="1" applyFont="1"/>
    <xf numFmtId="0" fontId="24" fillId="0" borderId="0" xfId="0" applyFont="1"/>
    <xf numFmtId="170" fontId="24" fillId="0" borderId="0" xfId="0" quotePrefix="1" applyNumberFormat="1" applyFont="1"/>
    <xf numFmtId="14" fontId="13" fillId="0" borderId="0" xfId="0" applyNumberFormat="1" applyFont="1"/>
    <xf numFmtId="0" fontId="13" fillId="0" borderId="0" xfId="0" applyFont="1" applyAlignment="1">
      <alignment horizontal="right"/>
    </xf>
    <xf numFmtId="171" fontId="7" fillId="0" borderId="0" xfId="0" applyNumberFormat="1" applyFont="1"/>
    <xf numFmtId="170" fontId="0" fillId="0" borderId="0" xfId="3" applyNumberFormat="1" applyFont="1"/>
    <xf numFmtId="0" fontId="0" fillId="0" borderId="0" xfId="0" applyAlignment="1">
      <alignment horizontal="left"/>
    </xf>
    <xf numFmtId="0" fontId="2" fillId="0" borderId="6" xfId="0" applyFont="1" applyBorder="1" applyAlignment="1">
      <alignment horizontal="center"/>
    </xf>
    <xf numFmtId="0" fontId="2" fillId="0" borderId="8" xfId="0" applyFont="1" applyBorder="1" applyAlignment="1">
      <alignment horizontal="center"/>
    </xf>
    <xf numFmtId="0" fontId="2" fillId="0" borderId="7"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0" fillId="0" borderId="0" xfId="0" applyAlignment="1">
      <alignment horizontal="left" vertical="center" wrapText="1"/>
    </xf>
    <xf numFmtId="0" fontId="12" fillId="0" borderId="0" xfId="0" applyFont="1" applyAlignment="1">
      <alignment horizontal="center"/>
    </xf>
    <xf numFmtId="0" fontId="11" fillId="0" borderId="0" xfId="0" quotePrefix="1" applyFont="1" applyAlignment="1">
      <alignment horizontal="center"/>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12" fillId="0" borderId="6" xfId="0" applyFont="1" applyBorder="1" applyAlignment="1">
      <alignment horizontal="center"/>
    </xf>
    <xf numFmtId="0" fontId="12" fillId="0" borderId="8" xfId="0" applyFont="1" applyBorder="1" applyAlignment="1">
      <alignment horizontal="center"/>
    </xf>
    <xf numFmtId="0" fontId="2" fillId="0" borderId="3" xfId="0" applyFont="1" applyBorder="1" applyAlignment="1">
      <alignment horizontal="center" vertical="center"/>
    </xf>
    <xf numFmtId="0" fontId="12" fillId="0" borderId="14"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0" xfId="0" applyFont="1" applyBorder="1" applyAlignment="1">
      <alignment horizontal="center"/>
    </xf>
    <xf numFmtId="0" fontId="12" fillId="0" borderId="11" xfId="0" applyFont="1" applyBorder="1" applyAlignment="1">
      <alignment horizontal="center"/>
    </xf>
    <xf numFmtId="0" fontId="12" fillId="0" borderId="12" xfId="0" applyFont="1" applyBorder="1" applyAlignment="1">
      <alignment horizont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Alignment="1">
      <alignment horizontal="center" vertical="center" wrapText="1"/>
    </xf>
    <xf numFmtId="8" fontId="7" fillId="0" borderId="0" xfId="0" applyNumberFormat="1" applyFont="1" applyBorder="1"/>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'3.3.5'!$AA$50</c:f>
              <c:strCache>
                <c:ptCount val="1"/>
                <c:pt idx="0">
                  <c:v>Loss, 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'3.3.5'!$AA$51:$AA$61</c:f>
              <c:numCache>
                <c:formatCode>"$"#,##0</c:formatCode>
                <c:ptCount val="11"/>
                <c:pt idx="0">
                  <c:v>0</c:v>
                </c:pt>
                <c:pt idx="1">
                  <c:v>50000</c:v>
                </c:pt>
                <c:pt idx="2">
                  <c:v>100000</c:v>
                </c:pt>
                <c:pt idx="3">
                  <c:v>150000</c:v>
                </c:pt>
                <c:pt idx="4">
                  <c:v>200000</c:v>
                </c:pt>
                <c:pt idx="5">
                  <c:v>250000</c:v>
                </c:pt>
                <c:pt idx="6">
                  <c:v>300000</c:v>
                </c:pt>
                <c:pt idx="7">
                  <c:v>350000</c:v>
                </c:pt>
                <c:pt idx="8">
                  <c:v>400000</c:v>
                </c:pt>
                <c:pt idx="9">
                  <c:v>450000</c:v>
                </c:pt>
                <c:pt idx="10">
                  <c:v>500000</c:v>
                </c:pt>
              </c:numCache>
            </c:numRef>
          </c:cat>
          <c:val>
            <c:numRef>
              <c:f>'3.3.5'!$AC$51:$AC$61</c:f>
              <c:numCache>
                <c:formatCode>"$"#,##0</c:formatCode>
                <c:ptCount val="11"/>
                <c:pt idx="0">
                  <c:v>0</c:v>
                </c:pt>
                <c:pt idx="1">
                  <c:v>15909.090909090912</c:v>
                </c:pt>
                <c:pt idx="2">
                  <c:v>31818.181818181823</c:v>
                </c:pt>
                <c:pt idx="3">
                  <c:v>47727.272727272735</c:v>
                </c:pt>
                <c:pt idx="4">
                  <c:v>63636.363636363647</c:v>
                </c:pt>
                <c:pt idx="5">
                  <c:v>79545.454545454559</c:v>
                </c:pt>
                <c:pt idx="6">
                  <c:v>95454.54545454547</c:v>
                </c:pt>
                <c:pt idx="7">
                  <c:v>61363.636363636382</c:v>
                </c:pt>
                <c:pt idx="8">
                  <c:v>27272.727272727294</c:v>
                </c:pt>
                <c:pt idx="9">
                  <c:v>0</c:v>
                </c:pt>
                <c:pt idx="10">
                  <c:v>0</c:v>
                </c:pt>
              </c:numCache>
            </c:numRef>
          </c:val>
          <c:smooth val="0"/>
          <c:extLst>
            <c:ext xmlns:c16="http://schemas.microsoft.com/office/drawing/2014/chart" uri="{C3380CC4-5D6E-409C-BE32-E72D297353CC}">
              <c16:uniqueId val="{00000000-2287-7B4F-B480-E823FFAF7A10}"/>
            </c:ext>
          </c:extLst>
        </c:ser>
        <c:dLbls>
          <c:showLegendKey val="0"/>
          <c:showVal val="0"/>
          <c:showCatName val="0"/>
          <c:showSerName val="0"/>
          <c:showPercent val="0"/>
          <c:showBubbleSize val="0"/>
        </c:dLbls>
        <c:marker val="1"/>
        <c:smooth val="0"/>
        <c:axId val="658583951"/>
        <c:axId val="659005295"/>
      </c:lineChart>
      <c:catAx>
        <c:axId val="658583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Loss, L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05295"/>
        <c:crosses val="autoZero"/>
        <c:auto val="1"/>
        <c:lblAlgn val="ctr"/>
        <c:lblOffset val="100"/>
        <c:noMultiLvlLbl val="0"/>
      </c:catAx>
      <c:valAx>
        <c:axId val="659005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Coinsurance penalty, 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58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311150</xdr:colOff>
      <xdr:row>49</xdr:row>
      <xdr:rowOff>19050</xdr:rowOff>
    </xdr:from>
    <xdr:to>
      <xdr:col>34</xdr:col>
      <xdr:colOff>755650</xdr:colOff>
      <xdr:row>62</xdr:row>
      <xdr:rowOff>120650</xdr:rowOff>
    </xdr:to>
    <xdr:graphicFrame macro="">
      <xdr:nvGraphicFramePr>
        <xdr:cNvPr id="2" name="Chart 1">
          <a:extLst>
            <a:ext uri="{FF2B5EF4-FFF2-40B4-BE49-F238E27FC236}">
              <a16:creationId xmlns:a16="http://schemas.microsoft.com/office/drawing/2014/main" id="{3E86C800-3C14-D260-63A7-2672BED99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89D1-CA2B-AF4C-9440-38794FB6AFB7}">
  <sheetPr codeName="Sheet1"/>
  <dimension ref="D6:K35"/>
  <sheetViews>
    <sheetView workbookViewId="0">
      <selection activeCell="L27" sqref="L27"/>
    </sheetView>
  </sheetViews>
  <sheetFormatPr baseColWidth="10" defaultRowHeight="16" x14ac:dyDescent="0.2"/>
  <cols>
    <col min="4" max="4" width="23.1640625" bestFit="1" customWidth="1"/>
    <col min="7" max="7" width="13.1640625" bestFit="1" customWidth="1"/>
    <col min="8" max="8" width="11" bestFit="1" customWidth="1"/>
    <col min="9" max="9" width="17.1640625" bestFit="1" customWidth="1"/>
    <col min="10" max="10" width="31" bestFit="1" customWidth="1"/>
    <col min="11" max="11" width="27.33203125" bestFit="1" customWidth="1"/>
    <col min="13" max="13" width="9.83203125" customWidth="1"/>
    <col min="14" max="14" width="12" customWidth="1"/>
    <col min="15" max="15" width="9.33203125" customWidth="1"/>
    <col min="16" max="16" width="12.33203125" customWidth="1"/>
    <col min="17" max="17" width="15.33203125" customWidth="1"/>
  </cols>
  <sheetData>
    <row r="6" spans="4:11" x14ac:dyDescent="0.2">
      <c r="H6" t="s">
        <v>11</v>
      </c>
      <c r="I6" t="s">
        <v>12</v>
      </c>
      <c r="J6" t="s">
        <v>29</v>
      </c>
      <c r="K6" t="s">
        <v>30</v>
      </c>
    </row>
    <row r="7" spans="4:11" x14ac:dyDescent="0.2">
      <c r="D7" s="1" t="s">
        <v>17</v>
      </c>
      <c r="E7" s="1"/>
      <c r="G7" s="4" t="s">
        <v>0</v>
      </c>
      <c r="H7" s="4" t="s">
        <v>1</v>
      </c>
      <c r="I7" s="5" t="s">
        <v>2</v>
      </c>
      <c r="J7" s="4" t="s">
        <v>20</v>
      </c>
      <c r="K7" s="4" t="s">
        <v>31</v>
      </c>
    </row>
    <row r="8" spans="4:11" x14ac:dyDescent="0.2">
      <c r="D8" t="s">
        <v>14</v>
      </c>
      <c r="E8">
        <v>0.6</v>
      </c>
      <c r="G8" t="s">
        <v>3</v>
      </c>
      <c r="H8">
        <v>24</v>
      </c>
      <c r="I8" s="2">
        <v>12432</v>
      </c>
      <c r="J8" s="7">
        <f>$H$18*H8</f>
        <v>12960</v>
      </c>
      <c r="K8" s="7">
        <f>$H$18*H8</f>
        <v>12960</v>
      </c>
    </row>
    <row r="9" spans="4:11" x14ac:dyDescent="0.2">
      <c r="D9" t="s">
        <v>13</v>
      </c>
      <c r="E9">
        <v>1200</v>
      </c>
      <c r="G9" t="s">
        <v>4</v>
      </c>
      <c r="H9">
        <v>19</v>
      </c>
      <c r="I9" s="2">
        <v>12426</v>
      </c>
      <c r="J9" s="7">
        <f>$H$18*H9</f>
        <v>10260</v>
      </c>
      <c r="K9" s="7">
        <f>$H$18*H9</f>
        <v>10260</v>
      </c>
    </row>
    <row r="10" spans="4:11" x14ac:dyDescent="0.2">
      <c r="D10" t="s">
        <v>15</v>
      </c>
      <c r="E10">
        <v>0.45</v>
      </c>
      <c r="G10" t="s">
        <v>5</v>
      </c>
      <c r="H10">
        <v>33</v>
      </c>
      <c r="I10" s="2">
        <v>26664</v>
      </c>
      <c r="J10" s="7">
        <f>$H$18*H10</f>
        <v>17820</v>
      </c>
      <c r="K10" s="7">
        <f>$E$14*I10</f>
        <v>19998</v>
      </c>
    </row>
    <row r="11" spans="4:11" x14ac:dyDescent="0.2">
      <c r="D11" t="s">
        <v>16</v>
      </c>
      <c r="E11">
        <v>0.9</v>
      </c>
      <c r="G11" t="s">
        <v>6</v>
      </c>
      <c r="H11">
        <v>81</v>
      </c>
      <c r="I11" s="2">
        <v>88840</v>
      </c>
      <c r="J11" s="7">
        <f>$E$8*I11</f>
        <v>53304</v>
      </c>
      <c r="K11" s="7">
        <f t="shared" ref="K11:K13" si="0">$E$14*I11</f>
        <v>66630</v>
      </c>
    </row>
    <row r="12" spans="4:11" x14ac:dyDescent="0.2">
      <c r="G12" t="s">
        <v>7</v>
      </c>
      <c r="H12">
        <v>68</v>
      </c>
      <c r="I12" s="2">
        <v>88060</v>
      </c>
      <c r="J12" s="7">
        <f t="shared" ref="J12" si="1">$E$8*I12</f>
        <v>52836</v>
      </c>
      <c r="K12" s="7">
        <f t="shared" si="0"/>
        <v>66045</v>
      </c>
    </row>
    <row r="13" spans="4:11" x14ac:dyDescent="0.2">
      <c r="D13" s="1" t="s">
        <v>18</v>
      </c>
      <c r="E13" s="1"/>
      <c r="G13" t="s">
        <v>8</v>
      </c>
      <c r="H13">
        <v>49</v>
      </c>
      <c r="I13" s="2">
        <v>81242</v>
      </c>
      <c r="J13" s="7">
        <f>$E$8*I13</f>
        <v>48745.2</v>
      </c>
      <c r="K13" s="7">
        <f t="shared" si="0"/>
        <v>60931.5</v>
      </c>
    </row>
    <row r="14" spans="4:11" x14ac:dyDescent="0.2">
      <c r="D14" t="s">
        <v>14</v>
      </c>
      <c r="E14">
        <v>0.75</v>
      </c>
      <c r="G14" s="1" t="s">
        <v>9</v>
      </c>
      <c r="H14" s="1">
        <v>26</v>
      </c>
      <c r="I14" s="6">
        <v>50336</v>
      </c>
      <c r="J14" s="8">
        <f>H19*H14</f>
        <v>28080</v>
      </c>
      <c r="K14" s="8">
        <f>$E$14*I14</f>
        <v>37752</v>
      </c>
    </row>
    <row r="15" spans="4:11" x14ac:dyDescent="0.2">
      <c r="D15" t="s">
        <v>16</v>
      </c>
      <c r="E15" t="s">
        <v>19</v>
      </c>
      <c r="G15" t="s">
        <v>10</v>
      </c>
      <c r="H15">
        <v>300</v>
      </c>
      <c r="I15" s="2">
        <v>360000</v>
      </c>
      <c r="J15" s="9">
        <f>SUM(J8:J14)</f>
        <v>224005.2</v>
      </c>
      <c r="K15" s="9">
        <f>SUM(K8:K14)</f>
        <v>274576.5</v>
      </c>
    </row>
    <row r="17" spans="4:11" x14ac:dyDescent="0.2">
      <c r="D17" s="1" t="s">
        <v>22</v>
      </c>
      <c r="E17" s="1"/>
    </row>
    <row r="18" spans="4:11" x14ac:dyDescent="0.2">
      <c r="D18" t="s">
        <v>21</v>
      </c>
      <c r="E18">
        <f>0.45/0.6</f>
        <v>0.75</v>
      </c>
      <c r="F18" s="3" t="s">
        <v>25</v>
      </c>
      <c r="G18" s="3" t="s">
        <v>27</v>
      </c>
      <c r="H18">
        <f>0.45*1200</f>
        <v>540</v>
      </c>
      <c r="J18" t="s">
        <v>32</v>
      </c>
      <c r="K18" s="10">
        <f>K15/J15-1</f>
        <v>0.22575949129752337</v>
      </c>
    </row>
    <row r="19" spans="4:11" x14ac:dyDescent="0.2">
      <c r="D19" t="s">
        <v>23</v>
      </c>
      <c r="E19">
        <f>0.9/0.6</f>
        <v>1.5</v>
      </c>
      <c r="F19" s="3" t="s">
        <v>26</v>
      </c>
      <c r="G19" s="3" t="s">
        <v>28</v>
      </c>
      <c r="H19">
        <f>0.9*1200</f>
        <v>1080</v>
      </c>
      <c r="J19" s="3" t="s">
        <v>33</v>
      </c>
    </row>
    <row r="21" spans="4:11" x14ac:dyDescent="0.2">
      <c r="D21" s="1" t="s">
        <v>24</v>
      </c>
      <c r="E21" s="1"/>
    </row>
    <row r="22" spans="4:11" x14ac:dyDescent="0.2">
      <c r="D22" t="s">
        <v>23</v>
      </c>
      <c r="E22" t="s">
        <v>19</v>
      </c>
      <c r="F22" s="3"/>
      <c r="G22" s="3"/>
    </row>
    <row r="28" spans="4:11" x14ac:dyDescent="0.2">
      <c r="D28" s="12"/>
      <c r="E28" s="12"/>
      <c r="F28" s="12"/>
      <c r="G28" s="12"/>
      <c r="H28" s="12"/>
      <c r="I28" s="12"/>
      <c r="J28" s="12"/>
    </row>
    <row r="29" spans="4:11" x14ac:dyDescent="0.2">
      <c r="D29" s="13"/>
      <c r="E29" s="12"/>
      <c r="F29" s="12"/>
      <c r="G29" s="12"/>
      <c r="H29" s="12"/>
      <c r="I29" s="12"/>
      <c r="J29" s="12"/>
    </row>
    <row r="30" spans="4:11" x14ac:dyDescent="0.2">
      <c r="D30" s="13"/>
      <c r="E30" s="12"/>
      <c r="F30" s="12"/>
      <c r="G30" s="12"/>
      <c r="H30" s="12"/>
      <c r="I30" s="12"/>
      <c r="J30" s="12"/>
    </row>
    <row r="31" spans="4:11" x14ac:dyDescent="0.2">
      <c r="D31" s="13"/>
      <c r="E31" s="12"/>
      <c r="F31" s="12"/>
      <c r="G31" s="12"/>
      <c r="H31" s="12"/>
      <c r="I31" s="12"/>
      <c r="J31" s="12"/>
    </row>
    <row r="32" spans="4:11" x14ac:dyDescent="0.2">
      <c r="D32" s="12"/>
      <c r="E32" s="12"/>
      <c r="F32" s="12"/>
      <c r="G32" s="12"/>
      <c r="H32" s="12"/>
      <c r="I32" s="12"/>
      <c r="J32" s="12"/>
    </row>
    <row r="33" spans="4:10" x14ac:dyDescent="0.2">
      <c r="D33" s="13"/>
      <c r="E33" s="12"/>
      <c r="F33" s="12"/>
      <c r="G33" s="12"/>
      <c r="H33" s="12"/>
      <c r="I33" s="12"/>
      <c r="J33" s="12"/>
    </row>
    <row r="34" spans="4:10" ht="16" customHeight="1" x14ac:dyDescent="0.2">
      <c r="D34" s="13"/>
      <c r="E34" s="12"/>
      <c r="F34" s="12"/>
      <c r="G34" s="12"/>
      <c r="H34" s="12"/>
      <c r="I34" s="12"/>
      <c r="J34" s="12"/>
    </row>
    <row r="35" spans="4:10" x14ac:dyDescent="0.2">
      <c r="D35" s="13"/>
      <c r="E35" s="12"/>
      <c r="F35" s="12"/>
      <c r="G35" s="12"/>
      <c r="H35" s="12"/>
      <c r="I35" s="12"/>
      <c r="J35"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6021E-A4E6-FC4B-9E7D-448791DEE1BE}">
  <sheetPr codeName="Sheet2"/>
  <dimension ref="B2:AZ63"/>
  <sheetViews>
    <sheetView topLeftCell="L17" workbookViewId="0">
      <selection activeCell="AQ41" sqref="AQ41"/>
    </sheetView>
  </sheetViews>
  <sheetFormatPr baseColWidth="10" defaultRowHeight="16" x14ac:dyDescent="0.2"/>
  <cols>
    <col min="13" max="13" width="12.33203125" bestFit="1" customWidth="1"/>
    <col min="14" max="14" width="24.1640625" bestFit="1" customWidth="1"/>
    <col min="15" max="18" width="14" bestFit="1" customWidth="1"/>
    <col min="31" max="31" width="14.83203125" bestFit="1" customWidth="1"/>
    <col min="32" max="32" width="23.33203125" bestFit="1" customWidth="1"/>
    <col min="45" max="45" width="13.83203125" bestFit="1" customWidth="1"/>
    <col min="46" max="46" width="23.5" bestFit="1" customWidth="1"/>
  </cols>
  <sheetData>
    <row r="2" spans="2:9" x14ac:dyDescent="0.2">
      <c r="B2" t="s">
        <v>40</v>
      </c>
    </row>
    <row r="3" spans="2:9" x14ac:dyDescent="0.2">
      <c r="B3" s="16" t="s">
        <v>44</v>
      </c>
      <c r="C3" s="16" t="s">
        <v>45</v>
      </c>
      <c r="D3" t="s">
        <v>46</v>
      </c>
    </row>
    <row r="4" spans="2:9" x14ac:dyDescent="0.2">
      <c r="B4" t="s">
        <v>41</v>
      </c>
      <c r="D4">
        <v>540</v>
      </c>
    </row>
    <row r="5" spans="2:9" x14ac:dyDescent="0.2">
      <c r="B5" t="s">
        <v>36</v>
      </c>
      <c r="C5" t="s">
        <v>11</v>
      </c>
      <c r="D5">
        <v>1</v>
      </c>
    </row>
    <row r="6" spans="2:9" x14ac:dyDescent="0.2">
      <c r="B6" t="s">
        <v>36</v>
      </c>
      <c r="C6" t="s">
        <v>12</v>
      </c>
      <c r="D6">
        <v>1.3</v>
      </c>
    </row>
    <row r="7" spans="2:9" x14ac:dyDescent="0.2">
      <c r="B7" t="s">
        <v>37</v>
      </c>
      <c r="C7" t="s">
        <v>38</v>
      </c>
      <c r="D7">
        <v>1</v>
      </c>
    </row>
    <row r="8" spans="2:9" x14ac:dyDescent="0.2">
      <c r="B8" t="s">
        <v>37</v>
      </c>
      <c r="C8" t="s">
        <v>39</v>
      </c>
      <c r="D8">
        <v>0.9</v>
      </c>
    </row>
    <row r="9" spans="2:9" x14ac:dyDescent="0.2">
      <c r="B9" t="s">
        <v>35</v>
      </c>
      <c r="D9">
        <v>35</v>
      </c>
    </row>
    <row r="11" spans="2:9" x14ac:dyDescent="0.2">
      <c r="F11" s="11"/>
    </row>
    <row r="12" spans="2:9" ht="68" x14ac:dyDescent="0.2">
      <c r="B12" s="14" t="s">
        <v>42</v>
      </c>
      <c r="C12" s="14" t="s">
        <v>34</v>
      </c>
      <c r="D12" s="14" t="s">
        <v>36</v>
      </c>
      <c r="E12" s="14" t="s">
        <v>37</v>
      </c>
      <c r="F12" s="14" t="s">
        <v>43</v>
      </c>
      <c r="G12" s="14" t="s">
        <v>47</v>
      </c>
      <c r="H12" s="14" t="s">
        <v>48</v>
      </c>
      <c r="I12" s="14" t="s">
        <v>49</v>
      </c>
    </row>
    <row r="13" spans="2:9" x14ac:dyDescent="0.2">
      <c r="B13" s="12">
        <v>1</v>
      </c>
      <c r="C13" s="13">
        <v>44593</v>
      </c>
      <c r="D13" s="12" t="s">
        <v>11</v>
      </c>
      <c r="E13" s="12" t="s">
        <v>38</v>
      </c>
      <c r="F13" s="12">
        <v>1</v>
      </c>
      <c r="G13">
        <f t="shared" ref="G13:G18" si="0">SUMIFS($D$4:$D$9,$B$4:$B$9,"Base rate",$C$4:$C$9,"")*SUMIFS($D$4:$D$9,$B$4:$B$9,"Class factor",$C$4:$C$9,D13)*SUMIFS($D$4:$D$9,$B$4:$B$9,"Territory factor",$C$4:$C$9,E13)+SUMIFS($D$4:$D$9,$B$4:$B$9,"Policy fee",$C$4:$C$9,"")</f>
        <v>575</v>
      </c>
      <c r="H13" s="17">
        <f>1/12</f>
        <v>8.3333333333333329E-2</v>
      </c>
      <c r="I13" s="17">
        <f t="shared" ref="I13:I18" si="1">F13*G13*H13</f>
        <v>47.916666666666664</v>
      </c>
    </row>
    <row r="14" spans="2:9" x14ac:dyDescent="0.2">
      <c r="B14" s="12">
        <v>2</v>
      </c>
      <c r="C14" s="13">
        <v>44666</v>
      </c>
      <c r="D14" s="12" t="s">
        <v>11</v>
      </c>
      <c r="E14" s="12" t="s">
        <v>39</v>
      </c>
      <c r="F14" s="12">
        <v>2</v>
      </c>
      <c r="G14">
        <f t="shared" si="0"/>
        <v>521</v>
      </c>
      <c r="H14" s="17">
        <f>7/24</f>
        <v>0.29166666666666669</v>
      </c>
      <c r="I14" s="17">
        <f t="shared" si="1"/>
        <v>303.91666666666669</v>
      </c>
    </row>
    <row r="15" spans="2:9" x14ac:dyDescent="0.2">
      <c r="B15" s="12">
        <v>3</v>
      </c>
      <c r="C15" s="13">
        <v>44805</v>
      </c>
      <c r="D15" s="12" t="s">
        <v>12</v>
      </c>
      <c r="E15" s="12" t="s">
        <v>38</v>
      </c>
      <c r="F15" s="12">
        <v>1</v>
      </c>
      <c r="G15">
        <f t="shared" si="0"/>
        <v>737</v>
      </c>
      <c r="H15" s="17">
        <f>8/12</f>
        <v>0.66666666666666663</v>
      </c>
      <c r="I15" s="17">
        <f t="shared" si="1"/>
        <v>491.33333333333331</v>
      </c>
    </row>
    <row r="16" spans="2:9" x14ac:dyDescent="0.2">
      <c r="B16" s="12">
        <v>4</v>
      </c>
      <c r="C16" s="13">
        <v>44927</v>
      </c>
      <c r="D16" s="12" t="s">
        <v>12</v>
      </c>
      <c r="E16" s="12" t="s">
        <v>39</v>
      </c>
      <c r="F16" s="12">
        <v>2</v>
      </c>
      <c r="G16">
        <f t="shared" si="0"/>
        <v>666.80000000000007</v>
      </c>
      <c r="H16" s="17">
        <f>12/12</f>
        <v>1</v>
      </c>
      <c r="I16" s="17">
        <f t="shared" si="1"/>
        <v>1333.6000000000001</v>
      </c>
    </row>
    <row r="17" spans="2:33" x14ac:dyDescent="0.2">
      <c r="B17" s="12">
        <v>5</v>
      </c>
      <c r="C17" s="13">
        <v>45078</v>
      </c>
      <c r="D17" s="12" t="s">
        <v>11</v>
      </c>
      <c r="E17" s="12" t="s">
        <v>38</v>
      </c>
      <c r="F17" s="12">
        <v>3</v>
      </c>
      <c r="G17">
        <f t="shared" si="0"/>
        <v>575</v>
      </c>
      <c r="H17" s="17">
        <f>7/12</f>
        <v>0.58333333333333337</v>
      </c>
      <c r="I17" s="17">
        <f t="shared" si="1"/>
        <v>1006.2500000000001</v>
      </c>
    </row>
    <row r="18" spans="2:33" x14ac:dyDescent="0.2">
      <c r="B18" s="12">
        <v>6</v>
      </c>
      <c r="C18" s="13">
        <v>45214</v>
      </c>
      <c r="D18" s="12" t="s">
        <v>12</v>
      </c>
      <c r="E18" s="12" t="s">
        <v>39</v>
      </c>
      <c r="F18" s="12">
        <v>2</v>
      </c>
      <c r="G18">
        <f t="shared" si="0"/>
        <v>666.80000000000007</v>
      </c>
      <c r="H18" s="17">
        <f>5/24</f>
        <v>0.20833333333333334</v>
      </c>
      <c r="I18" s="17">
        <f t="shared" si="1"/>
        <v>277.83333333333337</v>
      </c>
      <c r="M18" s="15" t="s">
        <v>34</v>
      </c>
      <c r="N18" s="15" t="s">
        <v>59</v>
      </c>
      <c r="O18" s="15" t="s">
        <v>54</v>
      </c>
    </row>
    <row r="19" spans="2:33" x14ac:dyDescent="0.2">
      <c r="H19" s="15" t="s">
        <v>10</v>
      </c>
      <c r="I19" s="17">
        <f>SUM(I13:I18)</f>
        <v>3460.8500000000004</v>
      </c>
      <c r="M19" t="s">
        <v>52</v>
      </c>
      <c r="N19" s="20" t="s">
        <v>53</v>
      </c>
      <c r="O19">
        <v>1</v>
      </c>
    </row>
    <row r="20" spans="2:33" x14ac:dyDescent="0.2">
      <c r="M20" s="18">
        <v>42095</v>
      </c>
      <c r="N20" s="19">
        <v>0.05</v>
      </c>
      <c r="O20" s="21">
        <f>N20+1</f>
        <v>1.05</v>
      </c>
    </row>
    <row r="21" spans="2:33" x14ac:dyDescent="0.2">
      <c r="M21" s="18">
        <v>42370</v>
      </c>
      <c r="N21" s="19">
        <v>0.1</v>
      </c>
      <c r="O21" s="21">
        <f>N21+1</f>
        <v>1.1000000000000001</v>
      </c>
      <c r="P21" s="32" t="s">
        <v>67</v>
      </c>
    </row>
    <row r="23" spans="2:33" x14ac:dyDescent="0.2">
      <c r="M23" s="239"/>
      <c r="N23" s="240"/>
      <c r="O23" s="236" t="s">
        <v>60</v>
      </c>
      <c r="P23" s="237"/>
      <c r="Q23" s="237"/>
      <c r="R23" s="238"/>
      <c r="S23" s="236" t="s">
        <v>62</v>
      </c>
      <c r="T23" s="237"/>
      <c r="U23" s="237"/>
      <c r="V23" s="238"/>
      <c r="W23" s="236" t="s">
        <v>61</v>
      </c>
      <c r="X23" s="237"/>
      <c r="Y23" s="237"/>
      <c r="Z23" s="238"/>
    </row>
    <row r="24" spans="2:33" x14ac:dyDescent="0.2">
      <c r="M24" s="24" t="s">
        <v>50</v>
      </c>
      <c r="N24" s="25" t="s">
        <v>51</v>
      </c>
      <c r="O24" s="24" t="s">
        <v>55</v>
      </c>
      <c r="P24" s="15" t="s">
        <v>56</v>
      </c>
      <c r="Q24" s="15" t="s">
        <v>57</v>
      </c>
      <c r="R24" s="25" t="s">
        <v>58</v>
      </c>
      <c r="S24" s="24" t="s">
        <v>55</v>
      </c>
      <c r="T24" s="15" t="s">
        <v>56</v>
      </c>
      <c r="U24" s="15" t="s">
        <v>57</v>
      </c>
      <c r="V24" s="25" t="s">
        <v>58</v>
      </c>
      <c r="W24" s="24" t="s">
        <v>55</v>
      </c>
      <c r="X24" s="15" t="s">
        <v>56</v>
      </c>
      <c r="Y24" s="15" t="s">
        <v>57</v>
      </c>
      <c r="Z24" s="25" t="s">
        <v>58</v>
      </c>
    </row>
    <row r="25" spans="2:33" x14ac:dyDescent="0.2">
      <c r="M25" s="26">
        <v>1</v>
      </c>
      <c r="N25" s="27">
        <f>PRODUCT(O19)</f>
        <v>1</v>
      </c>
      <c r="O25" s="26">
        <v>0.125</v>
      </c>
      <c r="P25">
        <v>0</v>
      </c>
      <c r="Q25">
        <v>0</v>
      </c>
      <c r="R25" s="30">
        <v>0</v>
      </c>
      <c r="S25" s="245">
        <f>SUMPRODUCT(O25:O27,$N$25:$N$27)</f>
        <v>1.0568750000000002</v>
      </c>
      <c r="T25" s="243">
        <f t="shared" ref="T25:V25" si="2">SUMPRODUCT(P25:P27,$N$25:$N$27)</f>
        <v>1.089375</v>
      </c>
      <c r="U25" s="243">
        <f t="shared" si="2"/>
        <v>1.1156250000000001</v>
      </c>
      <c r="V25" s="241">
        <f t="shared" si="2"/>
        <v>1.1418750000000002</v>
      </c>
      <c r="W25" s="245">
        <f>$N$27/S25</f>
        <v>1.0928444707273803</v>
      </c>
      <c r="X25" s="243">
        <f t="shared" ref="X25:Z25" si="3">$N$27/T25</f>
        <v>1.060240963855422</v>
      </c>
      <c r="Y25" s="243">
        <f t="shared" si="3"/>
        <v>1.0352941176470589</v>
      </c>
      <c r="Z25" s="241">
        <f t="shared" si="3"/>
        <v>1.0114942528735633</v>
      </c>
    </row>
    <row r="26" spans="2:33" x14ac:dyDescent="0.2">
      <c r="M26" s="26">
        <v>2</v>
      </c>
      <c r="N26" s="27">
        <f>PRODUCT(O19:O20)</f>
        <v>1.05</v>
      </c>
      <c r="O26" s="26">
        <v>0.75</v>
      </c>
      <c r="P26">
        <v>0.625</v>
      </c>
      <c r="Q26">
        <v>0.375</v>
      </c>
      <c r="R26" s="30">
        <v>0.125</v>
      </c>
      <c r="S26" s="245"/>
      <c r="T26" s="243"/>
      <c r="U26" s="243"/>
      <c r="V26" s="241"/>
      <c r="W26" s="245"/>
      <c r="X26" s="243"/>
      <c r="Y26" s="243"/>
      <c r="Z26" s="241"/>
    </row>
    <row r="27" spans="2:33" x14ac:dyDescent="0.2">
      <c r="M27" s="28">
        <v>3</v>
      </c>
      <c r="N27" s="29">
        <f>PRODUCT(O19:O21)</f>
        <v>1.1550000000000002</v>
      </c>
      <c r="O27" s="28">
        <v>0.125</v>
      </c>
      <c r="P27" s="1">
        <v>0.375</v>
      </c>
      <c r="Q27" s="1">
        <v>0.625</v>
      </c>
      <c r="R27" s="31">
        <v>0.875</v>
      </c>
      <c r="S27" s="246"/>
      <c r="T27" s="244"/>
      <c r="U27" s="244"/>
      <c r="V27" s="242"/>
      <c r="W27" s="246"/>
      <c r="X27" s="244"/>
      <c r="Y27" s="244"/>
      <c r="Z27" s="242"/>
    </row>
    <row r="28" spans="2:33" x14ac:dyDescent="0.2">
      <c r="N28" s="32" t="s">
        <v>66</v>
      </c>
      <c r="S28" s="32" t="s">
        <v>64</v>
      </c>
      <c r="W28" s="32" t="s">
        <v>65</v>
      </c>
    </row>
    <row r="30" spans="2:33" x14ac:dyDescent="0.2">
      <c r="M30" t="s">
        <v>63</v>
      </c>
    </row>
    <row r="31" spans="2:33" x14ac:dyDescent="0.2">
      <c r="M31" s="22" t="s">
        <v>68</v>
      </c>
      <c r="AE31" s="15" t="s">
        <v>34</v>
      </c>
      <c r="AF31" s="15" t="s">
        <v>59</v>
      </c>
      <c r="AG31" s="15" t="s">
        <v>54</v>
      </c>
    </row>
    <row r="32" spans="2:33" x14ac:dyDescent="0.2">
      <c r="AE32" t="s">
        <v>52</v>
      </c>
      <c r="AF32" s="20" t="s">
        <v>53</v>
      </c>
      <c r="AG32">
        <v>1</v>
      </c>
    </row>
    <row r="33" spans="15:41" x14ac:dyDescent="0.2">
      <c r="AE33" s="18">
        <v>37165</v>
      </c>
      <c r="AF33" s="19">
        <v>7.0000000000000007E-2</v>
      </c>
      <c r="AG33" s="21">
        <f>AF33+1</f>
        <v>1.07</v>
      </c>
    </row>
    <row r="34" spans="15:41" x14ac:dyDescent="0.2">
      <c r="AE34" s="18">
        <v>37438</v>
      </c>
      <c r="AF34" s="19">
        <v>0.1</v>
      </c>
      <c r="AG34" s="21">
        <f>AF34+1</f>
        <v>1.1000000000000001</v>
      </c>
      <c r="AH34" s="32"/>
    </row>
    <row r="35" spans="15:41" x14ac:dyDescent="0.2">
      <c r="AE35" s="18" t="s">
        <v>70</v>
      </c>
      <c r="AF35">
        <v>-0.05</v>
      </c>
      <c r="AG35" s="21">
        <f>AF35+1</f>
        <v>0.95</v>
      </c>
    </row>
    <row r="37" spans="15:41" x14ac:dyDescent="0.2">
      <c r="AE37" s="249"/>
      <c r="AF37" s="249"/>
      <c r="AG37" s="248" t="s">
        <v>72</v>
      </c>
      <c r="AH37" s="248"/>
      <c r="AI37" s="248"/>
      <c r="AJ37" s="248" t="s">
        <v>76</v>
      </c>
      <c r="AK37" s="248"/>
      <c r="AL37" s="248"/>
      <c r="AM37" s="248" t="s">
        <v>77</v>
      </c>
      <c r="AN37" s="248"/>
      <c r="AO37" s="248"/>
    </row>
    <row r="38" spans="15:41" x14ac:dyDescent="0.2">
      <c r="AE38" s="15" t="s">
        <v>50</v>
      </c>
      <c r="AF38" s="15" t="s">
        <v>71</v>
      </c>
      <c r="AG38" s="15" t="s">
        <v>73</v>
      </c>
      <c r="AH38" s="15" t="s">
        <v>74</v>
      </c>
      <c r="AI38" s="15" t="s">
        <v>75</v>
      </c>
      <c r="AJ38" s="15" t="s">
        <v>73</v>
      </c>
      <c r="AK38" s="15" t="s">
        <v>74</v>
      </c>
      <c r="AL38" s="15" t="s">
        <v>75</v>
      </c>
      <c r="AM38" s="15" t="s">
        <v>73</v>
      </c>
      <c r="AN38" s="15" t="s">
        <v>74</v>
      </c>
      <c r="AO38" s="15" t="s">
        <v>75</v>
      </c>
    </row>
    <row r="39" spans="15:41" x14ac:dyDescent="0.2">
      <c r="AE39">
        <v>1</v>
      </c>
      <c r="AF39">
        <f>PRODUCT(AG32)</f>
        <v>1</v>
      </c>
      <c r="AH39">
        <f>0.5*3/4*3/4</f>
        <v>0.28125</v>
      </c>
      <c r="AJ39" s="247"/>
      <c r="AK39" s="247">
        <f>SUMPRODUCT(AH39:AH42,AF39:AF42)</f>
        <v>1.0636875000000001</v>
      </c>
      <c r="AL39" s="247"/>
      <c r="AM39" s="247"/>
      <c r="AN39" s="247">
        <f>$AF$42/AK39</f>
        <v>1.0512015982137612</v>
      </c>
      <c r="AO39" s="247"/>
    </row>
    <row r="40" spans="15:41" x14ac:dyDescent="0.2">
      <c r="AE40">
        <v>2</v>
      </c>
      <c r="AF40">
        <f>PRODUCT(AG32:AG33)</f>
        <v>1.07</v>
      </c>
      <c r="AH40">
        <f>1-AH39-AH41</f>
        <v>0.59375</v>
      </c>
      <c r="AJ40" s="247"/>
      <c r="AK40" s="247"/>
      <c r="AL40" s="247"/>
      <c r="AM40" s="247"/>
      <c r="AN40" s="247"/>
      <c r="AO40" s="247"/>
    </row>
    <row r="41" spans="15:41" x14ac:dyDescent="0.2">
      <c r="AE41">
        <v>3</v>
      </c>
      <c r="AF41">
        <f>PRODUCT(AG32:AG34)</f>
        <v>1.1770000000000003</v>
      </c>
      <c r="AH41">
        <v>0.125</v>
      </c>
      <c r="AJ41" s="247"/>
      <c r="AK41" s="247"/>
      <c r="AL41" s="247"/>
      <c r="AM41" s="247"/>
      <c r="AN41" s="247"/>
      <c r="AO41" s="247"/>
    </row>
    <row r="42" spans="15:41" x14ac:dyDescent="0.2">
      <c r="AE42">
        <v>4</v>
      </c>
      <c r="AF42">
        <f>PRODUCT(AG32:AG35)</f>
        <v>1.1181500000000002</v>
      </c>
      <c r="AH42">
        <v>0</v>
      </c>
      <c r="AJ42" s="247"/>
      <c r="AK42" s="247"/>
      <c r="AL42" s="247"/>
      <c r="AM42" s="247"/>
      <c r="AN42" s="247"/>
      <c r="AO42" s="247"/>
    </row>
    <row r="44" spans="15:41" x14ac:dyDescent="0.2">
      <c r="AE44" s="249"/>
      <c r="AF44" s="249"/>
      <c r="AG44" s="248" t="s">
        <v>72</v>
      </c>
      <c r="AH44" s="248"/>
      <c r="AI44" s="248"/>
      <c r="AJ44" s="248" t="s">
        <v>76</v>
      </c>
      <c r="AK44" s="248"/>
      <c r="AL44" s="248"/>
      <c r="AM44" s="248" t="s">
        <v>77</v>
      </c>
      <c r="AN44" s="248"/>
      <c r="AO44" s="248"/>
    </row>
    <row r="45" spans="15:41" x14ac:dyDescent="0.2">
      <c r="AE45" s="15" t="s">
        <v>50</v>
      </c>
      <c r="AF45" s="15" t="s">
        <v>71</v>
      </c>
      <c r="AG45" s="15" t="s">
        <v>80</v>
      </c>
      <c r="AH45" s="15" t="s">
        <v>81</v>
      </c>
      <c r="AI45" s="15" t="s">
        <v>82</v>
      </c>
      <c r="AJ45" s="15" t="s">
        <v>80</v>
      </c>
      <c r="AK45" s="15" t="s">
        <v>81</v>
      </c>
      <c r="AL45" s="15" t="s">
        <v>82</v>
      </c>
      <c r="AM45" s="15" t="s">
        <v>80</v>
      </c>
      <c r="AN45" s="15" t="s">
        <v>81</v>
      </c>
      <c r="AO45" s="15" t="s">
        <v>82</v>
      </c>
    </row>
    <row r="46" spans="15:41" x14ac:dyDescent="0.2">
      <c r="AE46">
        <v>1</v>
      </c>
      <c r="AF46">
        <f>PRODUCT(AG32)</f>
        <v>1</v>
      </c>
      <c r="AH46">
        <v>0</v>
      </c>
      <c r="AJ46" s="247"/>
      <c r="AK46" s="247">
        <f>SUMPRODUCT(AH46:AH49,AF46:AF49)</f>
        <v>1.1161437500000002</v>
      </c>
      <c r="AL46" s="247"/>
      <c r="AM46" s="247"/>
      <c r="AN46" s="247">
        <f>$AF$49/AK46</f>
        <v>1.0017974835230676</v>
      </c>
      <c r="AO46" s="247"/>
    </row>
    <row r="47" spans="15:41" x14ac:dyDescent="0.2">
      <c r="AE47">
        <v>2</v>
      </c>
      <c r="AF47">
        <f>PRODUCT(AG32:AG33)</f>
        <v>1.07</v>
      </c>
      <c r="AH47">
        <v>0.5</v>
      </c>
      <c r="AJ47" s="247"/>
      <c r="AK47" s="247"/>
      <c r="AL47" s="247"/>
      <c r="AM47" s="247"/>
      <c r="AN47" s="247"/>
      <c r="AO47" s="247"/>
    </row>
    <row r="48" spans="15:41" x14ac:dyDescent="0.2">
      <c r="O48" t="s">
        <v>69</v>
      </c>
      <c r="AE48">
        <v>3</v>
      </c>
      <c r="AF48">
        <f>PRODUCT(AG32:AG34)</f>
        <v>1.1770000000000003</v>
      </c>
      <c r="AH48">
        <v>0.375</v>
      </c>
      <c r="AJ48" s="247"/>
      <c r="AK48" s="247"/>
      <c r="AL48" s="247"/>
      <c r="AM48" s="247"/>
      <c r="AN48" s="247"/>
      <c r="AO48" s="247"/>
    </row>
    <row r="49" spans="31:52" x14ac:dyDescent="0.2">
      <c r="AE49">
        <v>4</v>
      </c>
      <c r="AF49">
        <f>PRODUCT(AG32:AG35)</f>
        <v>1.1181500000000002</v>
      </c>
      <c r="AH49">
        <v>0.125</v>
      </c>
      <c r="AJ49" s="247"/>
      <c r="AK49" s="247"/>
      <c r="AL49" s="247"/>
      <c r="AM49" s="247"/>
      <c r="AN49" s="247"/>
      <c r="AO49" s="247"/>
    </row>
    <row r="53" spans="31:52" x14ac:dyDescent="0.2">
      <c r="AS53" s="15" t="s">
        <v>34</v>
      </c>
      <c r="AT53" s="15" t="s">
        <v>59</v>
      </c>
      <c r="AU53" s="15" t="s">
        <v>54</v>
      </c>
    </row>
    <row r="54" spans="31:52" x14ac:dyDescent="0.2">
      <c r="AS54" t="s">
        <v>52</v>
      </c>
      <c r="AT54" s="20" t="s">
        <v>53</v>
      </c>
      <c r="AU54">
        <v>1</v>
      </c>
    </row>
    <row r="55" spans="31:52" x14ac:dyDescent="0.2">
      <c r="AS55" s="18">
        <v>39356</v>
      </c>
      <c r="AT55" s="19">
        <v>0.05</v>
      </c>
      <c r="AU55" s="21">
        <f>AT55+1</f>
        <v>1.05</v>
      </c>
      <c r="AV55" s="32"/>
    </row>
    <row r="56" spans="31:52" x14ac:dyDescent="0.2">
      <c r="AS56" s="18" t="s">
        <v>83</v>
      </c>
      <c r="AT56" s="19">
        <v>0.1</v>
      </c>
      <c r="AU56" s="21">
        <f>AT56+1</f>
        <v>1.1000000000000001</v>
      </c>
    </row>
    <row r="58" spans="31:52" ht="32" customHeight="1" x14ac:dyDescent="0.2">
      <c r="AS58" s="249"/>
      <c r="AT58" s="249"/>
      <c r="AU58" s="248" t="s">
        <v>72</v>
      </c>
      <c r="AV58" s="248"/>
      <c r="AW58" s="250" t="s">
        <v>76</v>
      </c>
      <c r="AX58" s="250"/>
      <c r="AY58" s="248" t="s">
        <v>77</v>
      </c>
      <c r="AZ58" s="248"/>
    </row>
    <row r="59" spans="31:52" x14ac:dyDescent="0.2">
      <c r="AS59" s="15" t="s">
        <v>50</v>
      </c>
      <c r="AT59" s="15" t="s">
        <v>71</v>
      </c>
      <c r="AU59" s="15" t="s">
        <v>78</v>
      </c>
      <c r="AV59" s="15" t="s">
        <v>79</v>
      </c>
      <c r="AW59" s="15" t="s">
        <v>78</v>
      </c>
      <c r="AX59" s="15" t="s">
        <v>79</v>
      </c>
      <c r="AY59" s="15" t="s">
        <v>78</v>
      </c>
      <c r="AZ59" s="15" t="s">
        <v>79</v>
      </c>
    </row>
    <row r="60" spans="31:52" x14ac:dyDescent="0.2">
      <c r="AS60">
        <v>1</v>
      </c>
      <c r="AT60">
        <f>PRODUCT(AU54)</f>
        <v>1</v>
      </c>
      <c r="AV60">
        <f>1/16</f>
        <v>6.25E-2</v>
      </c>
      <c r="AW60" s="247"/>
      <c r="AX60" s="247">
        <f>SUMPRODUCT(AV60:AV62,AT60:AT62)</f>
        <v>1.0993750000000002</v>
      </c>
      <c r="AY60" s="247"/>
      <c r="AZ60" s="247">
        <f>$AT$62/AX60</f>
        <v>1.0505969300739058</v>
      </c>
    </row>
    <row r="61" spans="31:52" x14ac:dyDescent="0.2">
      <c r="AS61">
        <v>2</v>
      </c>
      <c r="AT61">
        <f>PRODUCT(AU54:AU55)</f>
        <v>1.05</v>
      </c>
      <c r="AV61">
        <f>0.5-AV60</f>
        <v>0.4375</v>
      </c>
      <c r="AW61" s="247"/>
      <c r="AX61" s="247"/>
      <c r="AY61" s="247"/>
      <c r="AZ61" s="247"/>
    </row>
    <row r="62" spans="31:52" x14ac:dyDescent="0.2">
      <c r="AS62">
        <v>3</v>
      </c>
      <c r="AT62">
        <f>PRODUCT(AU54:AU56)</f>
        <v>1.1550000000000002</v>
      </c>
      <c r="AV62">
        <v>0.5</v>
      </c>
      <c r="AW62" s="247"/>
      <c r="AX62" s="247"/>
      <c r="AY62" s="247"/>
      <c r="AZ62" s="247"/>
    </row>
    <row r="63" spans="31:52" x14ac:dyDescent="0.2">
      <c r="AW63" s="23"/>
      <c r="AX63" s="23"/>
      <c r="AY63" s="23"/>
      <c r="AZ63" s="23"/>
    </row>
  </sheetData>
  <mergeCells count="40">
    <mergeCell ref="AW60:AW62"/>
    <mergeCell ref="AZ60:AZ62"/>
    <mergeCell ref="AY60:AY62"/>
    <mergeCell ref="AX60:AX62"/>
    <mergeCell ref="AO46:AO49"/>
    <mergeCell ref="AS58:AT58"/>
    <mergeCell ref="AU58:AV58"/>
    <mergeCell ref="AW58:AX58"/>
    <mergeCell ref="AY58:AZ58"/>
    <mergeCell ref="AM37:AO37"/>
    <mergeCell ref="AE44:AF44"/>
    <mergeCell ref="AG44:AI44"/>
    <mergeCell ref="AJ44:AL44"/>
    <mergeCell ref="AM44:AO44"/>
    <mergeCell ref="AO39:AO42"/>
    <mergeCell ref="AN39:AN42"/>
    <mergeCell ref="AM39:AM42"/>
    <mergeCell ref="AG37:AI37"/>
    <mergeCell ref="AE37:AF37"/>
    <mergeCell ref="AJ37:AL37"/>
    <mergeCell ref="AL39:AL42"/>
    <mergeCell ref="AK39:AK42"/>
    <mergeCell ref="AJ39:AJ42"/>
    <mergeCell ref="AJ46:AJ49"/>
    <mergeCell ref="AK46:AK49"/>
    <mergeCell ref="AL46:AL49"/>
    <mergeCell ref="AM46:AM49"/>
    <mergeCell ref="AN46:AN49"/>
    <mergeCell ref="W23:Z23"/>
    <mergeCell ref="M23:N23"/>
    <mergeCell ref="Z25:Z27"/>
    <mergeCell ref="Y25:Y27"/>
    <mergeCell ref="X25:X27"/>
    <mergeCell ref="W25:W27"/>
    <mergeCell ref="O23:R23"/>
    <mergeCell ref="S25:S27"/>
    <mergeCell ref="T25:T27"/>
    <mergeCell ref="U25:U27"/>
    <mergeCell ref="V25:V27"/>
    <mergeCell ref="S23:V23"/>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13D7-1175-664F-8D0F-143E3674FA37}">
  <sheetPr codeName="Sheet3"/>
  <dimension ref="B4:R38"/>
  <sheetViews>
    <sheetView workbookViewId="0">
      <selection activeCell="R38" sqref="R38"/>
    </sheetView>
  </sheetViews>
  <sheetFormatPr baseColWidth="10" defaultRowHeight="16" x14ac:dyDescent="0.2"/>
  <sheetData>
    <row r="4" spans="2:15" x14ac:dyDescent="0.2">
      <c r="C4" s="11" t="s">
        <v>84</v>
      </c>
      <c r="J4" s="11" t="s">
        <v>89</v>
      </c>
      <c r="O4" s="36" t="s">
        <v>94</v>
      </c>
    </row>
    <row r="5" spans="2:15" x14ac:dyDescent="0.2">
      <c r="B5" s="11" t="s">
        <v>88</v>
      </c>
      <c r="C5" s="11">
        <v>12</v>
      </c>
      <c r="D5" s="11">
        <v>24</v>
      </c>
      <c r="E5" s="11">
        <v>36</v>
      </c>
      <c r="I5" s="11" t="s">
        <v>88</v>
      </c>
      <c r="J5" s="11">
        <v>12</v>
      </c>
      <c r="K5" s="11">
        <v>24</v>
      </c>
      <c r="L5" s="11">
        <v>36</v>
      </c>
    </row>
    <row r="6" spans="2:15" x14ac:dyDescent="0.2">
      <c r="B6" s="12">
        <v>2014</v>
      </c>
      <c r="C6" s="33">
        <v>1150</v>
      </c>
      <c r="D6" s="33">
        <v>2250</v>
      </c>
      <c r="E6" s="33">
        <v>3000</v>
      </c>
      <c r="I6" s="12">
        <v>2014</v>
      </c>
      <c r="J6" s="34">
        <f>C6/C13</f>
        <v>0.22330097087378642</v>
      </c>
      <c r="K6" s="34">
        <f t="shared" ref="K6:L6" si="0">D6/D13</f>
        <v>0.3125</v>
      </c>
      <c r="L6" s="34">
        <f t="shared" si="0"/>
        <v>0.375</v>
      </c>
    </row>
    <row r="7" spans="2:15" x14ac:dyDescent="0.2">
      <c r="B7" s="12">
        <v>2015</v>
      </c>
      <c r="C7" s="33">
        <v>1250</v>
      </c>
      <c r="D7" s="33">
        <v>2400</v>
      </c>
      <c r="E7" s="12"/>
      <c r="I7" s="12">
        <v>2015</v>
      </c>
      <c r="J7" s="34">
        <f>C7/C14</f>
        <v>0.26041666666666669</v>
      </c>
      <c r="K7" s="34">
        <f>D7/D14</f>
        <v>0.35820895522388058</v>
      </c>
      <c r="L7" s="35"/>
    </row>
    <row r="8" spans="2:15" x14ac:dyDescent="0.2">
      <c r="B8" s="12">
        <v>2016</v>
      </c>
      <c r="C8" s="33">
        <v>1550</v>
      </c>
      <c r="D8" s="12"/>
      <c r="I8" s="12">
        <v>2016</v>
      </c>
      <c r="J8" s="34">
        <f>C8/C15</f>
        <v>0.32631578947368423</v>
      </c>
      <c r="K8" s="35"/>
      <c r="L8" s="22"/>
    </row>
    <row r="11" spans="2:15" x14ac:dyDescent="0.2">
      <c r="C11" s="11" t="s">
        <v>85</v>
      </c>
      <c r="J11" s="11" t="s">
        <v>90</v>
      </c>
      <c r="O11" s="36" t="s">
        <v>93</v>
      </c>
    </row>
    <row r="12" spans="2:15" x14ac:dyDescent="0.2">
      <c r="B12" s="11" t="s">
        <v>88</v>
      </c>
      <c r="C12" s="11">
        <v>12</v>
      </c>
      <c r="D12" s="11">
        <v>24</v>
      </c>
      <c r="E12" s="11">
        <v>36</v>
      </c>
      <c r="I12" s="11" t="s">
        <v>88</v>
      </c>
      <c r="J12" s="11">
        <v>12</v>
      </c>
      <c r="K12" s="11">
        <v>24</v>
      </c>
      <c r="L12" s="11">
        <v>36</v>
      </c>
    </row>
    <row r="13" spans="2:15" x14ac:dyDescent="0.2">
      <c r="B13" s="12">
        <v>2014</v>
      </c>
      <c r="C13" s="33">
        <v>5150</v>
      </c>
      <c r="D13" s="33">
        <v>7200</v>
      </c>
      <c r="E13" s="33">
        <v>8000</v>
      </c>
      <c r="I13" s="12">
        <v>2014</v>
      </c>
      <c r="J13" s="34">
        <f>(C20-C27)/C20</f>
        <v>0.49019607843137253</v>
      </c>
      <c r="K13" s="34">
        <f t="shared" ref="K13:L13" si="1">(D20-D27)/D20</f>
        <v>0.73831775700934577</v>
      </c>
      <c r="L13" s="34">
        <f t="shared" si="1"/>
        <v>0.88888888888888884</v>
      </c>
    </row>
    <row r="14" spans="2:15" x14ac:dyDescent="0.2">
      <c r="B14" s="12">
        <v>2015</v>
      </c>
      <c r="C14" s="33">
        <v>4800</v>
      </c>
      <c r="D14" s="33">
        <v>6700</v>
      </c>
      <c r="E14" s="12"/>
      <c r="I14" s="12">
        <v>2015</v>
      </c>
      <c r="J14" s="34">
        <f t="shared" ref="J14:J15" si="2">(C21-C28)/C21</f>
        <v>0.52083333333333337</v>
      </c>
      <c r="K14" s="34">
        <f>(D21-D28)/D21</f>
        <v>0.75247524752475248</v>
      </c>
      <c r="L14" s="35"/>
    </row>
    <row r="15" spans="2:15" x14ac:dyDescent="0.2">
      <c r="B15" s="12">
        <v>2016</v>
      </c>
      <c r="C15" s="33">
        <v>4750</v>
      </c>
      <c r="D15" s="12"/>
      <c r="I15" s="12">
        <v>2016</v>
      </c>
      <c r="J15" s="34">
        <f t="shared" si="2"/>
        <v>0.5757575757575758</v>
      </c>
      <c r="K15" s="35"/>
      <c r="L15" s="22"/>
    </row>
    <row r="18" spans="2:15" x14ac:dyDescent="0.2">
      <c r="B18" s="11"/>
      <c r="C18" s="11" t="s">
        <v>86</v>
      </c>
      <c r="J18" s="11" t="s">
        <v>91</v>
      </c>
      <c r="O18" s="36" t="s">
        <v>92</v>
      </c>
    </row>
    <row r="19" spans="2:15" x14ac:dyDescent="0.2">
      <c r="B19" s="11" t="s">
        <v>88</v>
      </c>
      <c r="C19" s="11">
        <v>12</v>
      </c>
      <c r="D19" s="11">
        <v>24</v>
      </c>
      <c r="E19" s="11">
        <v>36</v>
      </c>
      <c r="I19" s="11" t="s">
        <v>88</v>
      </c>
      <c r="J19" s="11">
        <v>12</v>
      </c>
      <c r="K19" s="11">
        <v>24</v>
      </c>
      <c r="L19" s="11">
        <v>36</v>
      </c>
    </row>
    <row r="20" spans="2:15" x14ac:dyDescent="0.2">
      <c r="B20" s="12">
        <v>2014</v>
      </c>
      <c r="C20" s="12">
        <v>102</v>
      </c>
      <c r="D20" s="12">
        <v>107</v>
      </c>
      <c r="E20" s="12">
        <v>108</v>
      </c>
      <c r="I20" s="12">
        <v>2014</v>
      </c>
      <c r="J20" s="37">
        <f>(C13-C6)/C27</f>
        <v>76.92307692307692</v>
      </c>
      <c r="K20" s="37">
        <f t="shared" ref="K20:L20" si="3">(D13-D6)/D27</f>
        <v>176.78571428571428</v>
      </c>
      <c r="L20" s="37">
        <f t="shared" si="3"/>
        <v>416.66666666666669</v>
      </c>
    </row>
    <row r="21" spans="2:15" x14ac:dyDescent="0.2">
      <c r="B21" s="12">
        <v>2015</v>
      </c>
      <c r="C21" s="12">
        <v>96</v>
      </c>
      <c r="D21" s="12">
        <v>101</v>
      </c>
      <c r="E21" s="12"/>
      <c r="I21" s="12">
        <v>2015</v>
      </c>
      <c r="J21" s="37">
        <f t="shared" ref="J21:K22" si="4">(C14-C7)/C28</f>
        <v>77.173913043478265</v>
      </c>
      <c r="K21" s="37">
        <f t="shared" si="4"/>
        <v>172</v>
      </c>
      <c r="L21" s="37"/>
    </row>
    <row r="22" spans="2:15" x14ac:dyDescent="0.2">
      <c r="B22" s="12">
        <v>2016</v>
      </c>
      <c r="C22" s="12">
        <v>99</v>
      </c>
      <c r="D22" s="12"/>
      <c r="I22" s="12">
        <v>2016</v>
      </c>
      <c r="J22" s="37">
        <f t="shared" si="4"/>
        <v>76.19047619047619</v>
      </c>
      <c r="K22" s="37"/>
      <c r="L22" s="38"/>
    </row>
    <row r="25" spans="2:15" x14ac:dyDescent="0.2">
      <c r="C25" s="11" t="s">
        <v>87</v>
      </c>
    </row>
    <row r="26" spans="2:15" x14ac:dyDescent="0.2">
      <c r="B26" s="11" t="s">
        <v>88</v>
      </c>
      <c r="C26" s="11">
        <v>12</v>
      </c>
      <c r="D26" s="11">
        <v>24</v>
      </c>
      <c r="E26" s="11">
        <v>36</v>
      </c>
    </row>
    <row r="27" spans="2:15" x14ac:dyDescent="0.2">
      <c r="B27" s="12">
        <v>2014</v>
      </c>
      <c r="C27" s="12">
        <v>52</v>
      </c>
      <c r="D27" s="12">
        <v>28</v>
      </c>
      <c r="E27" s="12">
        <v>12</v>
      </c>
    </row>
    <row r="28" spans="2:15" x14ac:dyDescent="0.2">
      <c r="B28" s="12">
        <v>2015</v>
      </c>
      <c r="C28" s="12">
        <v>46</v>
      </c>
      <c r="D28" s="12">
        <v>25</v>
      </c>
      <c r="E28" s="12"/>
    </row>
    <row r="29" spans="2:15" x14ac:dyDescent="0.2">
      <c r="B29" s="12">
        <v>2016</v>
      </c>
      <c r="C29" s="12">
        <v>42</v>
      </c>
      <c r="D29" s="12"/>
    </row>
    <row r="38" spans="18:18" x14ac:dyDescent="0.2">
      <c r="R38"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CFE6-F211-E246-984A-FC86F03460FF}">
  <sheetPr codeName="Sheet4"/>
  <dimension ref="B3:AC172"/>
  <sheetViews>
    <sheetView topLeftCell="X149" zoomScale="85" workbookViewId="0">
      <selection activeCell="AD178" sqref="AD178"/>
    </sheetView>
  </sheetViews>
  <sheetFormatPr baseColWidth="10" defaultRowHeight="16" x14ac:dyDescent="0.2"/>
  <cols>
    <col min="3" max="4" width="10.83203125" customWidth="1"/>
    <col min="9" max="9" width="21.83203125" customWidth="1"/>
    <col min="10" max="10" width="21" customWidth="1"/>
    <col min="11" max="11" width="21.6640625" customWidth="1"/>
    <col min="17" max="17" width="14.5" customWidth="1"/>
    <col min="18" max="18" width="18" customWidth="1"/>
    <col min="19" max="19" width="14.6640625" customWidth="1"/>
    <col min="21" max="21" width="10.83203125" customWidth="1"/>
    <col min="25" max="25" width="14.33203125" customWidth="1"/>
    <col min="26" max="26" width="19" customWidth="1"/>
    <col min="27" max="27" width="15.83203125" customWidth="1"/>
  </cols>
  <sheetData>
    <row r="3" spans="2:7" x14ac:dyDescent="0.2">
      <c r="B3" s="251" t="s">
        <v>96</v>
      </c>
      <c r="C3" s="11" t="s">
        <v>97</v>
      </c>
    </row>
    <row r="4" spans="2:7" x14ac:dyDescent="0.2">
      <c r="B4" s="251"/>
      <c r="C4" s="11" t="s">
        <v>98</v>
      </c>
      <c r="D4" s="11" t="s">
        <v>99</v>
      </c>
      <c r="E4" s="11" t="s">
        <v>100</v>
      </c>
      <c r="F4" s="11" t="s">
        <v>101</v>
      </c>
      <c r="G4" s="11" t="s">
        <v>102</v>
      </c>
    </row>
    <row r="5" spans="2:7" x14ac:dyDescent="0.2">
      <c r="B5" s="12">
        <v>2017</v>
      </c>
      <c r="C5" s="12">
        <v>231</v>
      </c>
      <c r="D5" s="12">
        <v>82</v>
      </c>
      <c r="E5" s="12">
        <v>51</v>
      </c>
      <c r="F5" s="12">
        <v>32</v>
      </c>
      <c r="G5" s="12">
        <v>14</v>
      </c>
    </row>
    <row r="6" spans="2:7" x14ac:dyDescent="0.2">
      <c r="B6" s="12">
        <v>2018</v>
      </c>
      <c r="C6" s="12">
        <v>218</v>
      </c>
      <c r="D6" s="12">
        <v>77</v>
      </c>
      <c r="E6" s="12">
        <v>46</v>
      </c>
      <c r="F6" s="12">
        <v>30</v>
      </c>
      <c r="G6" s="12"/>
    </row>
    <row r="7" spans="2:7" x14ac:dyDescent="0.2">
      <c r="B7" s="12">
        <v>2019</v>
      </c>
      <c r="C7" s="12">
        <v>257</v>
      </c>
      <c r="D7" s="12">
        <v>85</v>
      </c>
      <c r="E7" s="12">
        <v>54</v>
      </c>
      <c r="F7" s="12"/>
      <c r="G7" s="12"/>
    </row>
    <row r="8" spans="2:7" x14ac:dyDescent="0.2">
      <c r="B8" s="12">
        <v>2020</v>
      </c>
      <c r="C8" s="12">
        <v>290</v>
      </c>
      <c r="D8" s="12">
        <v>96</v>
      </c>
      <c r="E8" s="12"/>
      <c r="F8" s="12"/>
      <c r="G8" s="12"/>
    </row>
    <row r="9" spans="2:7" x14ac:dyDescent="0.2">
      <c r="B9" s="12">
        <v>2021</v>
      </c>
      <c r="C9" s="12">
        <v>310</v>
      </c>
      <c r="D9" s="12"/>
      <c r="E9" s="12"/>
      <c r="F9" s="12"/>
    </row>
    <row r="10" spans="2:7" x14ac:dyDescent="0.2">
      <c r="B10" s="12"/>
      <c r="C10" s="12"/>
      <c r="D10" s="12"/>
      <c r="E10" s="12"/>
      <c r="F10" s="12"/>
    </row>
    <row r="11" spans="2:7" x14ac:dyDescent="0.2">
      <c r="B11" s="251" t="s">
        <v>96</v>
      </c>
      <c r="C11" s="11" t="s">
        <v>126</v>
      </c>
    </row>
    <row r="12" spans="2:7" x14ac:dyDescent="0.2">
      <c r="B12" s="251"/>
      <c r="C12" s="11" t="s">
        <v>98</v>
      </c>
      <c r="D12" s="11" t="s">
        <v>99</v>
      </c>
      <c r="E12" s="11" t="s">
        <v>100</v>
      </c>
      <c r="F12" s="11" t="s">
        <v>101</v>
      </c>
      <c r="G12" s="11" t="s">
        <v>102</v>
      </c>
    </row>
    <row r="13" spans="2:7" x14ac:dyDescent="0.2">
      <c r="B13" s="12">
        <v>2017</v>
      </c>
      <c r="C13" s="12">
        <f>SUM(C5)</f>
        <v>231</v>
      </c>
      <c r="D13" s="12">
        <f>SUM(C5:D5)</f>
        <v>313</v>
      </c>
      <c r="E13" s="12">
        <f>SUM(C5:E5)</f>
        <v>364</v>
      </c>
      <c r="F13" s="12">
        <f>SUM(C5:F5)</f>
        <v>396</v>
      </c>
      <c r="G13" s="12">
        <f>SUM(C5:G5)</f>
        <v>410</v>
      </c>
    </row>
    <row r="14" spans="2:7" x14ac:dyDescent="0.2">
      <c r="B14" s="12">
        <v>2018</v>
      </c>
      <c r="C14" s="12">
        <f>SUM(C6)</f>
        <v>218</v>
      </c>
      <c r="D14" s="12">
        <f t="shared" ref="D14:D16" si="0">SUM(C6:D6)</f>
        <v>295</v>
      </c>
      <c r="E14" s="12">
        <f t="shared" ref="E14:E15" si="1">SUM(C6:E6)</f>
        <v>341</v>
      </c>
      <c r="F14" s="12">
        <f>SUM(C6:F6)</f>
        <v>371</v>
      </c>
      <c r="G14" s="12"/>
    </row>
    <row r="15" spans="2:7" x14ac:dyDescent="0.2">
      <c r="B15" s="12">
        <v>2019</v>
      </c>
      <c r="C15" s="12">
        <f>SUM(C7)</f>
        <v>257</v>
      </c>
      <c r="D15" s="12">
        <f t="shared" si="0"/>
        <v>342</v>
      </c>
      <c r="E15" s="12">
        <f t="shared" si="1"/>
        <v>396</v>
      </c>
      <c r="F15" s="12"/>
      <c r="G15" s="12"/>
    </row>
    <row r="16" spans="2:7" x14ac:dyDescent="0.2">
      <c r="B16" s="12">
        <v>2020</v>
      </c>
      <c r="C16" s="12">
        <f>SUM(C8)</f>
        <v>290</v>
      </c>
      <c r="D16" s="12">
        <f t="shared" si="0"/>
        <v>386</v>
      </c>
      <c r="E16" s="12"/>
      <c r="F16" s="12"/>
      <c r="G16" s="12"/>
    </row>
    <row r="18" spans="2:7" x14ac:dyDescent="0.2">
      <c r="B18" s="251" t="s">
        <v>96</v>
      </c>
      <c r="C18" s="11" t="s">
        <v>107</v>
      </c>
    </row>
    <row r="19" spans="2:7" x14ac:dyDescent="0.2">
      <c r="B19" s="251"/>
      <c r="C19" s="39" t="s">
        <v>103</v>
      </c>
      <c r="D19" s="40" t="s">
        <v>104</v>
      </c>
      <c r="E19" s="40" t="s">
        <v>105</v>
      </c>
      <c r="F19" s="40" t="s">
        <v>106</v>
      </c>
      <c r="G19" s="11"/>
    </row>
    <row r="20" spans="2:7" x14ac:dyDescent="0.2">
      <c r="B20" s="12">
        <v>2017</v>
      </c>
      <c r="C20" s="41">
        <f>D13/C13</f>
        <v>1.3549783549783549</v>
      </c>
      <c r="D20" s="41">
        <f t="shared" ref="D20:F20" si="2">E13/D13</f>
        <v>1.1629392971246006</v>
      </c>
      <c r="E20" s="41">
        <f t="shared" si="2"/>
        <v>1.0879120879120878</v>
      </c>
      <c r="F20" s="41">
        <f t="shared" si="2"/>
        <v>1.0353535353535352</v>
      </c>
      <c r="G20" s="12"/>
    </row>
    <row r="21" spans="2:7" x14ac:dyDescent="0.2">
      <c r="B21" s="12">
        <v>2018</v>
      </c>
      <c r="C21" s="41">
        <f t="shared" ref="C21:D23" si="3">D14/C14</f>
        <v>1.3532110091743119</v>
      </c>
      <c r="D21" s="41">
        <f t="shared" si="3"/>
        <v>1.1559322033898305</v>
      </c>
      <c r="E21" s="41">
        <f>F14/E14</f>
        <v>1.0879765395894427</v>
      </c>
      <c r="F21" s="35"/>
      <c r="G21" s="12"/>
    </row>
    <row r="22" spans="2:7" x14ac:dyDescent="0.2">
      <c r="B22" s="12">
        <v>2019</v>
      </c>
      <c r="C22" s="41">
        <f t="shared" si="3"/>
        <v>1.3307392996108949</v>
      </c>
      <c r="D22" s="41">
        <f t="shared" si="3"/>
        <v>1.1578947368421053</v>
      </c>
      <c r="E22" s="35"/>
      <c r="F22" s="35"/>
      <c r="G22" s="12" t="s">
        <v>132</v>
      </c>
    </row>
    <row r="23" spans="2:7" x14ac:dyDescent="0.2">
      <c r="B23" s="12">
        <v>2020</v>
      </c>
      <c r="C23" s="41">
        <f t="shared" si="3"/>
        <v>1.3310344827586207</v>
      </c>
      <c r="D23" s="35"/>
      <c r="E23" s="35"/>
      <c r="F23" s="35"/>
      <c r="G23" s="12"/>
    </row>
    <row r="24" spans="2:7" x14ac:dyDescent="0.2">
      <c r="B24" s="12"/>
      <c r="C24" s="12"/>
      <c r="D24" s="12"/>
      <c r="E24" s="12"/>
      <c r="F24" s="12"/>
    </row>
    <row r="25" spans="2:7" x14ac:dyDescent="0.2">
      <c r="B25" s="15" t="s">
        <v>109</v>
      </c>
      <c r="C25" s="15" t="s">
        <v>110</v>
      </c>
    </row>
    <row r="26" spans="2:7" x14ac:dyDescent="0.2">
      <c r="B26" s="3" t="s">
        <v>103</v>
      </c>
      <c r="C26" s="43">
        <f>SUM(D13:D16)/SUM(C13:C16)</f>
        <v>1.3413654618473896</v>
      </c>
      <c r="D26" s="36" t="s">
        <v>127</v>
      </c>
    </row>
    <row r="27" spans="2:7" x14ac:dyDescent="0.2">
      <c r="B27" s="3" t="s">
        <v>104</v>
      </c>
      <c r="C27" s="43">
        <f>SUM(E13:E15)/SUM(D13:D15)</f>
        <v>1.1589473684210527</v>
      </c>
    </row>
    <row r="28" spans="2:7" x14ac:dyDescent="0.2">
      <c r="B28" s="3" t="s">
        <v>105</v>
      </c>
      <c r="C28" s="43">
        <f>SUM(F13:F14)/SUM(E13:E14)</f>
        <v>1.0879432624113474</v>
      </c>
    </row>
    <row r="29" spans="2:7" x14ac:dyDescent="0.2">
      <c r="B29" s="3" t="s">
        <v>106</v>
      </c>
      <c r="C29" s="43">
        <f>G13/F13</f>
        <v>1.0353535353535352</v>
      </c>
    </row>
    <row r="30" spans="2:7" x14ac:dyDescent="0.2">
      <c r="B30" s="3" t="s">
        <v>111</v>
      </c>
      <c r="C30">
        <v>1.02</v>
      </c>
      <c r="D30" t="s">
        <v>112</v>
      </c>
    </row>
    <row r="32" spans="2:7" x14ac:dyDescent="0.2">
      <c r="B32" s="15" t="s">
        <v>113</v>
      </c>
      <c r="C32" s="15" t="s">
        <v>108</v>
      </c>
    </row>
    <row r="33" spans="2:5" x14ac:dyDescent="0.2">
      <c r="B33" s="3" t="s">
        <v>114</v>
      </c>
      <c r="C33" s="43">
        <f>PRODUCT(C26:C30)</f>
        <v>1.786100626933401</v>
      </c>
      <c r="D33" s="36" t="s">
        <v>118</v>
      </c>
    </row>
    <row r="34" spans="2:5" x14ac:dyDescent="0.2">
      <c r="B34" s="3" t="s">
        <v>115</v>
      </c>
      <c r="C34" s="43">
        <f>PRODUCT(C27:C30)</f>
        <v>1.3315540601988531</v>
      </c>
    </row>
    <row r="35" spans="2:5" x14ac:dyDescent="0.2">
      <c r="B35" s="3" t="s">
        <v>116</v>
      </c>
      <c r="C35" s="43">
        <f>PRODUCT(C28:C30)</f>
        <v>1.1489340210616805</v>
      </c>
    </row>
    <row r="36" spans="2:5" x14ac:dyDescent="0.2">
      <c r="B36" s="3" t="s">
        <v>117</v>
      </c>
      <c r="C36" s="43">
        <f>PRODUCT(C29:C30)</f>
        <v>1.0560606060606059</v>
      </c>
    </row>
    <row r="37" spans="2:5" x14ac:dyDescent="0.2">
      <c r="B37" s="3" t="s">
        <v>119</v>
      </c>
      <c r="C37" s="43">
        <f>PRODUCT(C30:C30)</f>
        <v>1.02</v>
      </c>
    </row>
    <row r="39" spans="2:5" ht="51" x14ac:dyDescent="0.2">
      <c r="B39" s="15" t="s">
        <v>128</v>
      </c>
      <c r="C39" s="44" t="s">
        <v>129</v>
      </c>
      <c r="D39" s="15" t="s">
        <v>120</v>
      </c>
    </row>
    <row r="40" spans="2:5" x14ac:dyDescent="0.2">
      <c r="B40" s="48" t="s">
        <v>121</v>
      </c>
      <c r="C40" s="49">
        <v>310</v>
      </c>
      <c r="D40" s="50">
        <f>C40*C33</f>
        <v>553.6911943493543</v>
      </c>
      <c r="E40" s="51" t="s">
        <v>130</v>
      </c>
    </row>
    <row r="41" spans="2:5" x14ac:dyDescent="0.2">
      <c r="B41" s="12" t="s">
        <v>122</v>
      </c>
      <c r="C41">
        <v>96</v>
      </c>
      <c r="D41" s="45">
        <f t="shared" ref="D41:D43" si="4">C41*C34</f>
        <v>127.8291897790899</v>
      </c>
    </row>
    <row r="42" spans="2:5" x14ac:dyDescent="0.2">
      <c r="B42" s="12" t="s">
        <v>123</v>
      </c>
      <c r="C42">
        <v>54</v>
      </c>
      <c r="D42" s="45">
        <f t="shared" si="4"/>
        <v>62.042437137330751</v>
      </c>
    </row>
    <row r="43" spans="2:5" x14ac:dyDescent="0.2">
      <c r="B43" s="12" t="s">
        <v>124</v>
      </c>
      <c r="C43">
        <v>30</v>
      </c>
      <c r="D43" s="45">
        <f t="shared" si="4"/>
        <v>31.681818181818176</v>
      </c>
    </row>
    <row r="44" spans="2:5" x14ac:dyDescent="0.2">
      <c r="B44" s="46" t="s">
        <v>125</v>
      </c>
      <c r="C44" s="1">
        <v>14</v>
      </c>
      <c r="D44" s="47">
        <f>C44*C37</f>
        <v>14.280000000000001</v>
      </c>
      <c r="E44" s="1"/>
    </row>
    <row r="45" spans="2:5" x14ac:dyDescent="0.2">
      <c r="B45" s="11" t="s">
        <v>10</v>
      </c>
      <c r="C45" s="60">
        <f>SUM(C40:C44)</f>
        <v>504</v>
      </c>
      <c r="D45" s="45">
        <f>SUM(D40:D44)</f>
        <v>789.52463944759313</v>
      </c>
      <c r="E45" s="36" t="s">
        <v>131</v>
      </c>
    </row>
    <row r="49" spans="9:13" x14ac:dyDescent="0.2">
      <c r="I49" s="251" t="s">
        <v>96</v>
      </c>
      <c r="J49" s="11" t="s">
        <v>133</v>
      </c>
    </row>
    <row r="50" spans="9:13" x14ac:dyDescent="0.2">
      <c r="I50" s="251"/>
      <c r="J50" s="11" t="s">
        <v>134</v>
      </c>
      <c r="K50" s="11" t="s">
        <v>135</v>
      </c>
      <c r="L50" s="15" t="s">
        <v>136</v>
      </c>
    </row>
    <row r="51" spans="9:13" x14ac:dyDescent="0.2">
      <c r="I51" s="12">
        <v>2009</v>
      </c>
      <c r="J51" s="52">
        <v>16000</v>
      </c>
      <c r="K51" s="52">
        <v>3000</v>
      </c>
      <c r="L51" s="53">
        <f>SUM(J51:K51)</f>
        <v>19000</v>
      </c>
      <c r="M51" s="36" t="s">
        <v>137</v>
      </c>
    </row>
    <row r="52" spans="9:13" x14ac:dyDescent="0.2">
      <c r="I52" s="12">
        <v>2010</v>
      </c>
      <c r="J52" s="52">
        <v>12000</v>
      </c>
      <c r="K52" s="52">
        <v>4000</v>
      </c>
      <c r="L52" s="53">
        <f t="shared" ref="L52:L54" si="5">SUM(J52:K52)</f>
        <v>16000</v>
      </c>
    </row>
    <row r="53" spans="9:13" x14ac:dyDescent="0.2">
      <c r="I53" s="12">
        <v>2011</v>
      </c>
      <c r="J53" s="52">
        <v>10000</v>
      </c>
      <c r="K53" s="52">
        <v>7000</v>
      </c>
      <c r="L53" s="53">
        <f t="shared" si="5"/>
        <v>17000</v>
      </c>
    </row>
    <row r="54" spans="9:13" x14ac:dyDescent="0.2">
      <c r="I54" s="12">
        <v>2012</v>
      </c>
      <c r="J54" s="52">
        <v>5000</v>
      </c>
      <c r="K54" s="52">
        <v>8000</v>
      </c>
      <c r="L54" s="53">
        <f t="shared" si="5"/>
        <v>13000</v>
      </c>
    </row>
    <row r="55" spans="9:13" x14ac:dyDescent="0.2">
      <c r="L55" s="3" t="s">
        <v>138</v>
      </c>
    </row>
    <row r="56" spans="9:13" x14ac:dyDescent="0.2">
      <c r="I56" s="15" t="s">
        <v>109</v>
      </c>
      <c r="J56" s="15" t="s">
        <v>140</v>
      </c>
    </row>
    <row r="57" spans="9:13" x14ac:dyDescent="0.2">
      <c r="I57" s="54" t="s">
        <v>103</v>
      </c>
      <c r="J57" s="55">
        <v>1.2</v>
      </c>
      <c r="K57" t="s">
        <v>112</v>
      </c>
    </row>
    <row r="58" spans="9:13" x14ac:dyDescent="0.2">
      <c r="I58" s="3" t="s">
        <v>104</v>
      </c>
      <c r="J58">
        <v>1.1499999999999999</v>
      </c>
      <c r="K58" t="s">
        <v>112</v>
      </c>
    </row>
    <row r="59" spans="9:13" x14ac:dyDescent="0.2">
      <c r="I59" s="3" t="s">
        <v>105</v>
      </c>
      <c r="J59" s="56" t="s">
        <v>11</v>
      </c>
      <c r="K59" s="42"/>
    </row>
    <row r="60" spans="9:13" x14ac:dyDescent="0.2">
      <c r="I60" s="3"/>
      <c r="J60" s="56"/>
      <c r="K60" s="42"/>
    </row>
    <row r="61" spans="9:13" x14ac:dyDescent="0.2">
      <c r="I61" s="3" t="s">
        <v>145</v>
      </c>
      <c r="J61" s="56"/>
      <c r="K61" s="42"/>
    </row>
    <row r="63" spans="9:13" x14ac:dyDescent="0.2">
      <c r="I63" s="15" t="s">
        <v>139</v>
      </c>
    </row>
    <row r="64" spans="9:13" x14ac:dyDescent="0.2">
      <c r="I64" s="52">
        <v>18000</v>
      </c>
      <c r="J64" s="57" t="s">
        <v>144</v>
      </c>
    </row>
    <row r="65" spans="9:23" x14ac:dyDescent="0.2">
      <c r="I65" t="s">
        <v>112</v>
      </c>
      <c r="J65" t="s">
        <v>141</v>
      </c>
      <c r="K65" s="43">
        <f>I64/L52</f>
        <v>1.125</v>
      </c>
      <c r="L65" s="3"/>
    </row>
    <row r="67" spans="9:23" x14ac:dyDescent="0.2">
      <c r="I67" s="15" t="s">
        <v>143</v>
      </c>
      <c r="J67" s="15" t="s">
        <v>142</v>
      </c>
    </row>
    <row r="68" spans="9:23" x14ac:dyDescent="0.2">
      <c r="I68" s="52">
        <v>17000</v>
      </c>
      <c r="J68" s="58">
        <f>I68*PRODUCT(J58,K65)</f>
        <v>21993.75</v>
      </c>
      <c r="K68" s="57" t="s">
        <v>146</v>
      </c>
    </row>
    <row r="69" spans="9:23" x14ac:dyDescent="0.2">
      <c r="I69" t="s">
        <v>112</v>
      </c>
      <c r="K69" s="43"/>
    </row>
    <row r="73" spans="9:23" ht="16" customHeight="1" x14ac:dyDescent="0.2"/>
    <row r="74" spans="9:23" x14ac:dyDescent="0.2">
      <c r="Q74" s="253" t="s">
        <v>149</v>
      </c>
      <c r="R74" s="253" t="s">
        <v>96</v>
      </c>
      <c r="S74" s="11" t="s">
        <v>147</v>
      </c>
    </row>
    <row r="75" spans="9:23" x14ac:dyDescent="0.2">
      <c r="Q75" s="253"/>
      <c r="R75" s="253"/>
      <c r="S75" s="11" t="s">
        <v>148</v>
      </c>
    </row>
    <row r="76" spans="9:23" x14ac:dyDescent="0.2">
      <c r="Q76" s="253"/>
      <c r="R76" s="253"/>
      <c r="S76" s="11">
        <v>12</v>
      </c>
      <c r="T76" s="11">
        <v>24</v>
      </c>
      <c r="U76" s="11">
        <v>36</v>
      </c>
      <c r="V76" s="11">
        <v>48</v>
      </c>
      <c r="W76" s="11">
        <v>60</v>
      </c>
    </row>
    <row r="77" spans="9:23" x14ac:dyDescent="0.2">
      <c r="Q77" s="33">
        <v>50000</v>
      </c>
      <c r="R77" s="12">
        <v>2010</v>
      </c>
      <c r="S77" s="12">
        <v>500</v>
      </c>
      <c r="T77" s="12">
        <v>550</v>
      </c>
      <c r="U77" s="12">
        <v>660</v>
      </c>
      <c r="V77" s="12">
        <v>660</v>
      </c>
      <c r="W77" s="12">
        <v>660</v>
      </c>
    </row>
    <row r="78" spans="9:23" x14ac:dyDescent="0.2">
      <c r="Q78" s="33">
        <v>50000</v>
      </c>
      <c r="R78" s="12">
        <v>2011</v>
      </c>
      <c r="S78" s="12">
        <v>465</v>
      </c>
      <c r="T78" s="12">
        <v>545</v>
      </c>
      <c r="U78" s="12">
        <v>645</v>
      </c>
      <c r="V78" s="12">
        <v>645</v>
      </c>
      <c r="W78" s="12"/>
    </row>
    <row r="79" spans="9:23" x14ac:dyDescent="0.2">
      <c r="Q79" s="33">
        <v>50000</v>
      </c>
      <c r="R79" s="12">
        <v>2012</v>
      </c>
      <c r="S79" s="12">
        <v>500</v>
      </c>
      <c r="T79" s="12">
        <v>540</v>
      </c>
      <c r="U79" s="12">
        <v>675</v>
      </c>
      <c r="V79" s="12"/>
      <c r="W79" s="12"/>
    </row>
    <row r="80" spans="9:23" x14ac:dyDescent="0.2">
      <c r="Q80" s="33">
        <v>50000</v>
      </c>
      <c r="R80" s="12">
        <v>2013</v>
      </c>
      <c r="S80" s="12">
        <v>500</v>
      </c>
      <c r="T80" s="12">
        <v>545</v>
      </c>
      <c r="U80" s="12"/>
      <c r="V80" s="12"/>
      <c r="W80" s="12"/>
    </row>
    <row r="81" spans="17:23" x14ac:dyDescent="0.2">
      <c r="Q81" s="33">
        <v>50000</v>
      </c>
      <c r="R81" s="12">
        <v>2014</v>
      </c>
      <c r="S81" s="12">
        <v>510</v>
      </c>
      <c r="T81" s="12"/>
      <c r="U81" s="12"/>
    </row>
    <row r="83" spans="17:23" x14ac:dyDescent="0.2">
      <c r="Q83" s="253" t="s">
        <v>149</v>
      </c>
      <c r="R83" s="253" t="s">
        <v>96</v>
      </c>
      <c r="S83" s="11" t="s">
        <v>147</v>
      </c>
    </row>
    <row r="84" spans="17:23" x14ac:dyDescent="0.2">
      <c r="Q84" s="253"/>
      <c r="R84" s="253"/>
      <c r="S84" s="11" t="s">
        <v>150</v>
      </c>
    </row>
    <row r="85" spans="17:23" x14ac:dyDescent="0.2">
      <c r="Q85" s="253"/>
      <c r="R85" s="253"/>
      <c r="S85" s="39" t="s">
        <v>103</v>
      </c>
      <c r="T85" s="40" t="s">
        <v>104</v>
      </c>
      <c r="U85" s="40" t="s">
        <v>105</v>
      </c>
      <c r="V85" s="40" t="s">
        <v>106</v>
      </c>
      <c r="W85" s="11"/>
    </row>
    <row r="86" spans="17:23" x14ac:dyDescent="0.2">
      <c r="Q86" s="33">
        <v>50000</v>
      </c>
      <c r="R86" s="12">
        <v>2010</v>
      </c>
      <c r="S86" s="41">
        <f>T77/S77</f>
        <v>1.1000000000000001</v>
      </c>
      <c r="T86" s="41">
        <f t="shared" ref="T86:V86" si="6">U77/T77</f>
        <v>1.2</v>
      </c>
      <c r="U86" s="41">
        <f t="shared" si="6"/>
        <v>1</v>
      </c>
      <c r="V86" s="41">
        <f t="shared" si="6"/>
        <v>1</v>
      </c>
      <c r="W86" s="12"/>
    </row>
    <row r="87" spans="17:23" x14ac:dyDescent="0.2">
      <c r="Q87" s="33">
        <v>50000</v>
      </c>
      <c r="R87" s="12">
        <v>2011</v>
      </c>
      <c r="S87" s="41">
        <f t="shared" ref="S87:U89" si="7">T78/S78</f>
        <v>1.1720430107526882</v>
      </c>
      <c r="T87" s="41">
        <f t="shared" si="7"/>
        <v>1.1834862385321101</v>
      </c>
      <c r="U87" s="41">
        <f t="shared" si="7"/>
        <v>1</v>
      </c>
      <c r="V87" s="35"/>
      <c r="W87" s="12"/>
    </row>
    <row r="88" spans="17:23" x14ac:dyDescent="0.2">
      <c r="Q88" s="33">
        <v>50000</v>
      </c>
      <c r="R88" s="12">
        <v>2012</v>
      </c>
      <c r="S88" s="41">
        <f t="shared" si="7"/>
        <v>1.08</v>
      </c>
      <c r="T88" s="41">
        <f t="shared" si="7"/>
        <v>1.25</v>
      </c>
      <c r="U88" s="59"/>
      <c r="V88" s="35"/>
      <c r="W88" s="12"/>
    </row>
    <row r="89" spans="17:23" x14ac:dyDescent="0.2">
      <c r="Q89" s="33">
        <v>50000</v>
      </c>
      <c r="R89" s="12">
        <v>2013</v>
      </c>
      <c r="S89" s="41">
        <f t="shared" si="7"/>
        <v>1.0900000000000001</v>
      </c>
      <c r="T89" s="41"/>
      <c r="U89" s="35"/>
      <c r="V89" s="35"/>
      <c r="W89" s="12"/>
    </row>
    <row r="90" spans="17:23" x14ac:dyDescent="0.2">
      <c r="Q90" s="33"/>
      <c r="R90" s="12"/>
      <c r="S90" s="12"/>
      <c r="T90" s="12"/>
      <c r="U90" s="12"/>
    </row>
    <row r="91" spans="17:23" x14ac:dyDescent="0.2">
      <c r="Q91" s="15" t="s">
        <v>109</v>
      </c>
      <c r="R91" s="15" t="s">
        <v>151</v>
      </c>
    </row>
    <row r="92" spans="17:23" x14ac:dyDescent="0.2">
      <c r="Q92" s="39" t="s">
        <v>103</v>
      </c>
      <c r="R92" s="43">
        <f>AVERAGE(S86,S89)</f>
        <v>1.0950000000000002</v>
      </c>
    </row>
    <row r="93" spans="17:23" x14ac:dyDescent="0.2">
      <c r="Q93" s="40" t="s">
        <v>104</v>
      </c>
      <c r="R93" s="43">
        <f>AVERAGE(T86)</f>
        <v>1.2</v>
      </c>
    </row>
    <row r="94" spans="17:23" x14ac:dyDescent="0.2">
      <c r="Q94" s="40" t="s">
        <v>105</v>
      </c>
      <c r="R94" s="43">
        <f>AVERAGE(U86:U87)</f>
        <v>1</v>
      </c>
    </row>
    <row r="95" spans="17:23" x14ac:dyDescent="0.2">
      <c r="Q95" s="40" t="s">
        <v>106</v>
      </c>
      <c r="R95" s="43">
        <f>AVERAGE(V86)</f>
        <v>1</v>
      </c>
    </row>
    <row r="97" spans="17:22" x14ac:dyDescent="0.2">
      <c r="Q97" s="11" t="s">
        <v>152</v>
      </c>
      <c r="R97" s="15" t="s">
        <v>108</v>
      </c>
    </row>
    <row r="98" spans="17:22" x14ac:dyDescent="0.2">
      <c r="Q98" s="39" t="s">
        <v>103</v>
      </c>
      <c r="R98" s="43">
        <f>PRODUCT(R92:R95)</f>
        <v>1.3140000000000003</v>
      </c>
      <c r="S98" s="36" t="s">
        <v>153</v>
      </c>
    </row>
    <row r="99" spans="17:22" x14ac:dyDescent="0.2">
      <c r="Q99" s="40" t="s">
        <v>104</v>
      </c>
      <c r="R99" s="43">
        <f>PRODUCT(R93:R95)</f>
        <v>1.2</v>
      </c>
    </row>
    <row r="100" spans="17:22" x14ac:dyDescent="0.2">
      <c r="Q100" s="40" t="s">
        <v>105</v>
      </c>
      <c r="R100" s="43">
        <f>PRODUCT(R94:R95)</f>
        <v>1</v>
      </c>
    </row>
    <row r="101" spans="17:22" x14ac:dyDescent="0.2">
      <c r="Q101" s="40" t="s">
        <v>106</v>
      </c>
      <c r="R101" s="43">
        <f>PRODUCT(R95)</f>
        <v>1</v>
      </c>
    </row>
    <row r="103" spans="17:22" x14ac:dyDescent="0.2">
      <c r="Q103" s="15" t="s">
        <v>128</v>
      </c>
      <c r="R103" s="15" t="s">
        <v>167</v>
      </c>
      <c r="S103" s="15" t="s">
        <v>154</v>
      </c>
    </row>
    <row r="104" spans="17:22" x14ac:dyDescent="0.2">
      <c r="Q104" s="12" t="s">
        <v>121</v>
      </c>
      <c r="R104">
        <v>510</v>
      </c>
      <c r="S104" s="45">
        <f>R104*R98</f>
        <v>670.1400000000001</v>
      </c>
      <c r="T104" s="36" t="s">
        <v>155</v>
      </c>
    </row>
    <row r="105" spans="17:22" x14ac:dyDescent="0.2">
      <c r="Q105" s="12" t="s">
        <v>122</v>
      </c>
      <c r="R105">
        <v>545</v>
      </c>
      <c r="S105" s="45">
        <f t="shared" ref="S105:S107" si="8">R105*R99</f>
        <v>654</v>
      </c>
    </row>
    <row r="106" spans="17:22" x14ac:dyDescent="0.2">
      <c r="Q106" s="12" t="s">
        <v>123</v>
      </c>
      <c r="R106">
        <v>675</v>
      </c>
      <c r="S106" s="45">
        <f t="shared" si="8"/>
        <v>675</v>
      </c>
    </row>
    <row r="107" spans="17:22" x14ac:dyDescent="0.2">
      <c r="Q107" s="12" t="s">
        <v>124</v>
      </c>
      <c r="R107">
        <v>645</v>
      </c>
      <c r="S107" s="45">
        <f t="shared" si="8"/>
        <v>645</v>
      </c>
    </row>
    <row r="108" spans="17:22" x14ac:dyDescent="0.2">
      <c r="Q108" s="46" t="s">
        <v>125</v>
      </c>
      <c r="R108" s="1">
        <v>660</v>
      </c>
      <c r="S108" s="47">
        <f>R108</f>
        <v>660</v>
      </c>
    </row>
    <row r="109" spans="17:22" x14ac:dyDescent="0.2">
      <c r="Q109" s="11" t="s">
        <v>10</v>
      </c>
      <c r="R109" s="60">
        <f>SUM(R104:R108)</f>
        <v>3035</v>
      </c>
      <c r="S109" s="45">
        <f>SUM(S104:S108)</f>
        <v>3304.1400000000003</v>
      </c>
      <c r="T109" s="3" t="s">
        <v>156</v>
      </c>
      <c r="U109" s="61">
        <f>S109-R109</f>
        <v>269.14000000000033</v>
      </c>
      <c r="V109" s="36" t="s">
        <v>157</v>
      </c>
    </row>
    <row r="116" spans="25:29" x14ac:dyDescent="0.2">
      <c r="Y116" s="254" t="s">
        <v>158</v>
      </c>
      <c r="Z116" s="254"/>
      <c r="AA116" s="254"/>
      <c r="AB116" s="254"/>
      <c r="AC116" s="254"/>
    </row>
    <row r="117" spans="25:29" x14ac:dyDescent="0.2">
      <c r="Y117" s="251" t="s">
        <v>96</v>
      </c>
      <c r="Z117" s="11" t="s">
        <v>84</v>
      </c>
    </row>
    <row r="118" spans="25:29" x14ac:dyDescent="0.2">
      <c r="Y118" s="251"/>
      <c r="Z118" s="11">
        <v>12</v>
      </c>
      <c r="AA118" s="11">
        <v>24</v>
      </c>
      <c r="AB118" s="11">
        <v>36</v>
      </c>
      <c r="AC118" s="11">
        <v>48</v>
      </c>
    </row>
    <row r="119" spans="25:29" x14ac:dyDescent="0.2">
      <c r="Y119" s="12">
        <v>2012</v>
      </c>
      <c r="Z119" s="12">
        <v>850</v>
      </c>
      <c r="AA119" s="12">
        <v>950</v>
      </c>
      <c r="AB119" s="33">
        <v>1950</v>
      </c>
      <c r="AC119" s="33">
        <v>2450</v>
      </c>
    </row>
    <row r="120" spans="25:29" x14ac:dyDescent="0.2">
      <c r="Y120" s="12">
        <v>2013</v>
      </c>
      <c r="Z120" s="12">
        <v>700</v>
      </c>
      <c r="AA120" s="33">
        <v>2200</v>
      </c>
      <c r="AB120" s="33">
        <v>3300</v>
      </c>
      <c r="AC120" s="12"/>
    </row>
    <row r="121" spans="25:29" x14ac:dyDescent="0.2">
      <c r="Y121" s="12">
        <v>2014</v>
      </c>
      <c r="Z121" s="12">
        <v>900</v>
      </c>
      <c r="AA121" s="33">
        <v>1600</v>
      </c>
      <c r="AB121" s="12"/>
      <c r="AC121" s="12"/>
    </row>
    <row r="122" spans="25:29" x14ac:dyDescent="0.2">
      <c r="Y122" s="12">
        <v>2015</v>
      </c>
      <c r="Z122" s="33">
        <v>1000</v>
      </c>
      <c r="AA122" s="12"/>
      <c r="AB122" s="12"/>
    </row>
    <row r="124" spans="25:29" x14ac:dyDescent="0.2">
      <c r="Y124" s="251" t="s">
        <v>96</v>
      </c>
      <c r="Z124" s="11" t="s">
        <v>159</v>
      </c>
    </row>
    <row r="125" spans="25:29" x14ac:dyDescent="0.2">
      <c r="Y125" s="251"/>
      <c r="Z125" s="40" t="s">
        <v>103</v>
      </c>
      <c r="AA125" s="40" t="s">
        <v>104</v>
      </c>
      <c r="AB125" s="40" t="s">
        <v>105</v>
      </c>
      <c r="AC125" s="11"/>
    </row>
    <row r="126" spans="25:29" x14ac:dyDescent="0.2">
      <c r="Y126" s="12">
        <v>2012</v>
      </c>
      <c r="Z126" s="41">
        <f>AA119/Z119</f>
        <v>1.1176470588235294</v>
      </c>
      <c r="AA126" s="41">
        <f t="shared" ref="AA126:AB127" si="9">AB119/AA119</f>
        <v>2.0526315789473686</v>
      </c>
      <c r="AB126" s="41">
        <f t="shared" si="9"/>
        <v>1.2564102564102564</v>
      </c>
      <c r="AC126" s="33"/>
    </row>
    <row r="127" spans="25:29" x14ac:dyDescent="0.2">
      <c r="Y127" s="12">
        <v>2013</v>
      </c>
      <c r="Z127" s="41">
        <f t="shared" ref="Z127:Z128" si="10">AA120/Z120</f>
        <v>3.1428571428571428</v>
      </c>
      <c r="AA127" s="41">
        <f t="shared" si="9"/>
        <v>1.5</v>
      </c>
      <c r="AB127" s="41"/>
      <c r="AC127" s="12"/>
    </row>
    <row r="128" spans="25:29" x14ac:dyDescent="0.2">
      <c r="Y128" s="12">
        <v>2014</v>
      </c>
      <c r="Z128" s="41">
        <f t="shared" si="10"/>
        <v>1.7777777777777777</v>
      </c>
      <c r="AA128" s="41"/>
      <c r="AB128" s="41"/>
      <c r="AC128" s="12"/>
    </row>
    <row r="129" spans="25:29" x14ac:dyDescent="0.2">
      <c r="Y129" s="12"/>
      <c r="Z129" s="33"/>
      <c r="AA129" s="12"/>
      <c r="AB129" s="12"/>
    </row>
    <row r="130" spans="25:29" x14ac:dyDescent="0.2">
      <c r="Y130" s="15" t="s">
        <v>109</v>
      </c>
      <c r="Z130" s="15" t="s">
        <v>160</v>
      </c>
    </row>
    <row r="131" spans="25:29" x14ac:dyDescent="0.2">
      <c r="Y131" s="62" t="s">
        <v>103</v>
      </c>
      <c r="Z131" s="43">
        <f>AVERAGE(Z126:Z128)</f>
        <v>2.0127606598194832</v>
      </c>
      <c r="AA131" s="36" t="s">
        <v>161</v>
      </c>
      <c r="AC131" s="36" t="s">
        <v>171</v>
      </c>
    </row>
    <row r="132" spans="25:29" x14ac:dyDescent="0.2">
      <c r="Y132" s="62" t="s">
        <v>104</v>
      </c>
      <c r="Z132" s="43">
        <f>AVERAGE(AA126:AA127)</f>
        <v>1.7763157894736843</v>
      </c>
      <c r="AA132" s="36" t="s">
        <v>170</v>
      </c>
    </row>
    <row r="133" spans="25:29" x14ac:dyDescent="0.2">
      <c r="Y133" s="62" t="s">
        <v>105</v>
      </c>
      <c r="Z133" s="43">
        <f>AVERAGE(AB126)</f>
        <v>1.2564102564102564</v>
      </c>
    </row>
    <row r="135" spans="25:29" x14ac:dyDescent="0.2">
      <c r="Y135" s="11" t="s">
        <v>152</v>
      </c>
      <c r="Z135" s="15" t="s">
        <v>165</v>
      </c>
    </row>
    <row r="136" spans="25:29" x14ac:dyDescent="0.2">
      <c r="Y136" s="12" t="s">
        <v>162</v>
      </c>
      <c r="Z136" s="43">
        <f>PRODUCT(Z131:Z133)</f>
        <v>4.4920417559736441</v>
      </c>
      <c r="AA136" s="36" t="s">
        <v>166</v>
      </c>
    </row>
    <row r="137" spans="25:29" x14ac:dyDescent="0.2">
      <c r="Y137" t="s">
        <v>163</v>
      </c>
      <c r="Z137" s="43">
        <f>PRODUCT(Z132:Z133)</f>
        <v>2.2317813765182186</v>
      </c>
    </row>
    <row r="138" spans="25:29" x14ac:dyDescent="0.2">
      <c r="Y138" t="s">
        <v>164</v>
      </c>
      <c r="Z138" s="43">
        <f>PRODUCT(Z133)</f>
        <v>1.2564102564102564</v>
      </c>
    </row>
    <row r="140" spans="25:29" x14ac:dyDescent="0.2">
      <c r="Y140" s="15" t="s">
        <v>128</v>
      </c>
      <c r="Z140" s="15" t="s">
        <v>168</v>
      </c>
      <c r="AA140" t="s">
        <v>154</v>
      </c>
    </row>
    <row r="141" spans="25:29" x14ac:dyDescent="0.2">
      <c r="Y141">
        <v>12</v>
      </c>
      <c r="Z141">
        <v>1000</v>
      </c>
      <c r="AA141" s="50">
        <f t="shared" ref="AA141:AA142" si="11">Z141*Z136</f>
        <v>4492.0417559736443</v>
      </c>
      <c r="AB141" s="36" t="s">
        <v>169</v>
      </c>
    </row>
    <row r="142" spans="25:29" x14ac:dyDescent="0.2">
      <c r="Y142">
        <v>24</v>
      </c>
      <c r="Z142">
        <v>1600</v>
      </c>
      <c r="AA142" s="45">
        <f t="shared" si="11"/>
        <v>3570.8502024291497</v>
      </c>
    </row>
    <row r="143" spans="25:29" x14ac:dyDescent="0.2">
      <c r="Y143">
        <v>36</v>
      </c>
      <c r="Z143">
        <v>3300</v>
      </c>
      <c r="AA143" s="45">
        <f>Z143*Z138</f>
        <v>4146.1538461538457</v>
      </c>
    </row>
    <row r="144" spans="25:29" x14ac:dyDescent="0.2">
      <c r="Y144" s="1">
        <v>48</v>
      </c>
      <c r="Z144" s="1">
        <v>2450</v>
      </c>
      <c r="AA144" s="47">
        <f>Z144</f>
        <v>2450</v>
      </c>
    </row>
    <row r="145" spans="25:28" x14ac:dyDescent="0.2">
      <c r="Y145" s="11" t="s">
        <v>10</v>
      </c>
      <c r="Z145" s="60">
        <f>SUM(Z141:Z144)</f>
        <v>8350</v>
      </c>
      <c r="AA145" s="45">
        <f>SUM(AA141:AA144)</f>
        <v>14659.045804556639</v>
      </c>
    </row>
    <row r="148" spans="25:28" x14ac:dyDescent="0.2">
      <c r="Y148" s="3"/>
    </row>
    <row r="150" spans="25:28" x14ac:dyDescent="0.2">
      <c r="Y150" s="248" t="s">
        <v>173</v>
      </c>
      <c r="Z150" s="248"/>
      <c r="AA150" s="248"/>
      <c r="AB150" s="248"/>
    </row>
    <row r="151" spans="25:28" x14ac:dyDescent="0.2">
      <c r="Y151" s="252" t="s">
        <v>96</v>
      </c>
      <c r="Z151" s="11" t="s">
        <v>172</v>
      </c>
    </row>
    <row r="152" spans="25:28" x14ac:dyDescent="0.2">
      <c r="Y152" s="252"/>
      <c r="Z152" s="40" t="s">
        <v>103</v>
      </c>
      <c r="AA152" s="40" t="s">
        <v>104</v>
      </c>
      <c r="AB152" s="40" t="s">
        <v>105</v>
      </c>
    </row>
    <row r="153" spans="25:28" x14ac:dyDescent="0.2">
      <c r="Y153" s="12">
        <v>2012</v>
      </c>
      <c r="Z153" s="12">
        <v>1.97</v>
      </c>
      <c r="AA153" s="12">
        <v>1.24</v>
      </c>
      <c r="AB153" s="12">
        <v>1.1000000000000001</v>
      </c>
    </row>
    <row r="154" spans="25:28" x14ac:dyDescent="0.2">
      <c r="Y154" s="12">
        <v>2013</v>
      </c>
      <c r="Z154" s="12">
        <v>2.0299999999999998</v>
      </c>
      <c r="AA154" s="12">
        <v>1.27</v>
      </c>
      <c r="AB154" s="12"/>
    </row>
    <row r="155" spans="25:28" x14ac:dyDescent="0.2">
      <c r="Y155" s="12">
        <v>2014</v>
      </c>
      <c r="Z155" s="12">
        <v>2.0299999999999998</v>
      </c>
      <c r="AA155" s="12"/>
    </row>
    <row r="157" spans="25:28" x14ac:dyDescent="0.2">
      <c r="Y157" s="15" t="s">
        <v>109</v>
      </c>
      <c r="Z157" s="15" t="s">
        <v>160</v>
      </c>
    </row>
    <row r="158" spans="25:28" x14ac:dyDescent="0.2">
      <c r="Y158" s="62" t="s">
        <v>103</v>
      </c>
      <c r="Z158" s="43">
        <f>AVERAGE(Z153:Z155)</f>
        <v>2.0099999999999998</v>
      </c>
      <c r="AA158" s="36" t="s">
        <v>176</v>
      </c>
    </row>
    <row r="159" spans="25:28" x14ac:dyDescent="0.2">
      <c r="Y159" s="62" t="s">
        <v>104</v>
      </c>
      <c r="Z159" s="43">
        <f>AVERAGE(AA153:AA154)</f>
        <v>1.2549999999999999</v>
      </c>
    </row>
    <row r="160" spans="25:28" x14ac:dyDescent="0.2">
      <c r="Y160" s="62" t="s">
        <v>105</v>
      </c>
      <c r="Z160" s="43">
        <f>AVERAGE(AB153)</f>
        <v>1.1000000000000001</v>
      </c>
    </row>
    <row r="162" spans="25:28" x14ac:dyDescent="0.2">
      <c r="Y162" s="11" t="s">
        <v>152</v>
      </c>
      <c r="Z162" s="15" t="s">
        <v>165</v>
      </c>
    </row>
    <row r="163" spans="25:28" x14ac:dyDescent="0.2">
      <c r="Y163" s="12" t="s">
        <v>162</v>
      </c>
      <c r="Z163" s="43">
        <f>PRODUCT(Z158:Z160)</f>
        <v>2.7748049999999997</v>
      </c>
      <c r="AA163" s="36" t="s">
        <v>174</v>
      </c>
    </row>
    <row r="164" spans="25:28" x14ac:dyDescent="0.2">
      <c r="Y164" t="s">
        <v>163</v>
      </c>
      <c r="Z164" s="43">
        <f>PRODUCT(Z159:Z160)</f>
        <v>1.3805000000000001</v>
      </c>
    </row>
    <row r="165" spans="25:28" x14ac:dyDescent="0.2">
      <c r="Y165" t="s">
        <v>164</v>
      </c>
      <c r="Z165" s="43">
        <f>PRODUCT(Z160)</f>
        <v>1.1000000000000001</v>
      </c>
    </row>
    <row r="167" spans="25:28" x14ac:dyDescent="0.2">
      <c r="Y167" s="15" t="s">
        <v>128</v>
      </c>
      <c r="Z167" s="15" t="s">
        <v>168</v>
      </c>
      <c r="AA167" t="s">
        <v>154</v>
      </c>
    </row>
    <row r="168" spans="25:28" x14ac:dyDescent="0.2">
      <c r="Y168">
        <v>12</v>
      </c>
      <c r="Z168">
        <v>1000</v>
      </c>
      <c r="AA168" s="50">
        <f>Z168*Z163</f>
        <v>2774.8049999999998</v>
      </c>
      <c r="AB168" s="36" t="s">
        <v>175</v>
      </c>
    </row>
    <row r="169" spans="25:28" x14ac:dyDescent="0.2">
      <c r="Y169">
        <v>24</v>
      </c>
      <c r="Z169">
        <v>1600</v>
      </c>
      <c r="AA169" s="45">
        <f t="shared" ref="AA169" si="12">Z169*Z164</f>
        <v>2208.8000000000002</v>
      </c>
    </row>
    <row r="170" spans="25:28" x14ac:dyDescent="0.2">
      <c r="Y170">
        <v>36</v>
      </c>
      <c r="Z170">
        <v>3300</v>
      </c>
      <c r="AA170" s="45">
        <f>Z170*Z165</f>
        <v>3630.0000000000005</v>
      </c>
    </row>
    <row r="171" spans="25:28" x14ac:dyDescent="0.2">
      <c r="Y171" s="1">
        <v>48</v>
      </c>
      <c r="Z171" s="1">
        <v>2450</v>
      </c>
      <c r="AA171" s="47">
        <f>Z171</f>
        <v>2450</v>
      </c>
    </row>
    <row r="172" spans="25:28" x14ac:dyDescent="0.2">
      <c r="Y172" s="11" t="s">
        <v>10</v>
      </c>
      <c r="Z172" s="60">
        <f>SUM(Z168:Z171)</f>
        <v>8350</v>
      </c>
      <c r="AA172" s="45">
        <f>SUM(AA168:AA171)</f>
        <v>11063.605</v>
      </c>
    </row>
  </sheetData>
  <mergeCells count="13">
    <mergeCell ref="Y151:Y152"/>
    <mergeCell ref="Y150:AB150"/>
    <mergeCell ref="R74:R76"/>
    <mergeCell ref="Q74:Q76"/>
    <mergeCell ref="Q83:Q85"/>
    <mergeCell ref="R83:R85"/>
    <mergeCell ref="Y117:Y118"/>
    <mergeCell ref="Y116:AC116"/>
    <mergeCell ref="B3:B4"/>
    <mergeCell ref="B18:B19"/>
    <mergeCell ref="B11:B12"/>
    <mergeCell ref="I49:I50"/>
    <mergeCell ref="Y124:Y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BBE1-93F4-6A42-86E6-4D91298C2F20}">
  <sheetPr codeName="Sheet5"/>
  <dimension ref="B2:E19"/>
  <sheetViews>
    <sheetView workbookViewId="0">
      <selection activeCell="K27" sqref="K27"/>
    </sheetView>
  </sheetViews>
  <sheetFormatPr baseColWidth="10" defaultRowHeight="16" x14ac:dyDescent="0.2"/>
  <cols>
    <col min="3" max="3" width="29.6640625" customWidth="1"/>
  </cols>
  <sheetData>
    <row r="2" spans="2:5" x14ac:dyDescent="0.2">
      <c r="B2" t="s">
        <v>180</v>
      </c>
      <c r="C2" s="63">
        <v>50000</v>
      </c>
      <c r="D2" t="s">
        <v>183</v>
      </c>
      <c r="E2" s="63">
        <v>100000</v>
      </c>
    </row>
    <row r="3" spans="2:5" x14ac:dyDescent="0.2">
      <c r="B3" t="s">
        <v>182</v>
      </c>
      <c r="C3" s="19">
        <v>0.1</v>
      </c>
    </row>
    <row r="5" spans="2:5" x14ac:dyDescent="0.2">
      <c r="B5" s="11" t="s">
        <v>177</v>
      </c>
      <c r="C5" s="11" t="s">
        <v>178</v>
      </c>
      <c r="D5" s="15" t="s">
        <v>179</v>
      </c>
    </row>
    <row r="6" spans="2:5" x14ac:dyDescent="0.2">
      <c r="B6" s="12">
        <v>1</v>
      </c>
      <c r="C6" s="52">
        <v>75000</v>
      </c>
      <c r="D6" s="53">
        <f t="shared" ref="D6:D8" si="0">IF(C6&gt;$E$2,MIN(C6-$E$2,$C$2),0)</f>
        <v>0</v>
      </c>
      <c r="E6" s="36" t="s">
        <v>184</v>
      </c>
    </row>
    <row r="7" spans="2:5" x14ac:dyDescent="0.2">
      <c r="B7" s="12">
        <v>2</v>
      </c>
      <c r="C7" s="52">
        <v>100000</v>
      </c>
      <c r="D7" s="53">
        <f t="shared" si="0"/>
        <v>0</v>
      </c>
    </row>
    <row r="8" spans="2:5" x14ac:dyDescent="0.2">
      <c r="B8" s="12">
        <v>3</v>
      </c>
      <c r="C8" s="52">
        <v>125000</v>
      </c>
      <c r="D8" s="53">
        <f t="shared" si="0"/>
        <v>25000</v>
      </c>
    </row>
    <row r="9" spans="2:5" x14ac:dyDescent="0.2">
      <c r="B9" s="46">
        <v>4</v>
      </c>
      <c r="C9" s="64">
        <v>150000</v>
      </c>
      <c r="D9" s="67">
        <f>IF(C9&gt;$E$2,MIN(C9-$E$2,$C$2),0)</f>
        <v>50000</v>
      </c>
    </row>
    <row r="10" spans="2:5" x14ac:dyDescent="0.2">
      <c r="B10" s="15" t="s">
        <v>10</v>
      </c>
      <c r="C10" s="53">
        <f>SUM(C6:C9)</f>
        <v>450000</v>
      </c>
      <c r="D10" s="53">
        <f>SUM(D6:D9)</f>
        <v>75000</v>
      </c>
    </row>
    <row r="12" spans="2:5" x14ac:dyDescent="0.2">
      <c r="B12" s="11" t="s">
        <v>177</v>
      </c>
      <c r="C12" s="11" t="s">
        <v>181</v>
      </c>
      <c r="D12" s="15" t="s">
        <v>179</v>
      </c>
    </row>
    <row r="13" spans="2:5" x14ac:dyDescent="0.2">
      <c r="B13" s="12">
        <v>1</v>
      </c>
      <c r="C13" s="68">
        <f>C6*(1+$C$3)</f>
        <v>82500</v>
      </c>
      <c r="D13" s="53">
        <f t="shared" ref="D13:D15" si="1">IF(C13&gt;$E$2,MIN(C13-$E$2,$C$2),0)</f>
        <v>0</v>
      </c>
    </row>
    <row r="14" spans="2:5" x14ac:dyDescent="0.2">
      <c r="B14" s="12">
        <v>2</v>
      </c>
      <c r="C14" s="68">
        <f t="shared" ref="C14:C15" si="2">C7*(1+$C$3)</f>
        <v>110000.00000000001</v>
      </c>
      <c r="D14" s="53">
        <f t="shared" si="1"/>
        <v>10000.000000000015</v>
      </c>
    </row>
    <row r="15" spans="2:5" x14ac:dyDescent="0.2">
      <c r="B15" s="12">
        <v>3</v>
      </c>
      <c r="C15" s="68">
        <f t="shared" si="2"/>
        <v>137500</v>
      </c>
      <c r="D15" s="53">
        <f t="shared" si="1"/>
        <v>37500</v>
      </c>
    </row>
    <row r="16" spans="2:5" x14ac:dyDescent="0.2">
      <c r="B16" s="46">
        <v>4</v>
      </c>
      <c r="C16" s="69">
        <f>C9*(1+$C$3)</f>
        <v>165000</v>
      </c>
      <c r="D16" s="67">
        <f>IF(C16&gt;$E$2,MIN(C16-$E$2,$C$2),0)</f>
        <v>50000</v>
      </c>
    </row>
    <row r="17" spans="2:5" x14ac:dyDescent="0.2">
      <c r="B17" s="15" t="s">
        <v>10</v>
      </c>
      <c r="C17" s="53">
        <f>SUM(C13:C16)</f>
        <v>495000</v>
      </c>
      <c r="D17" s="53">
        <f>SUM(D13:D16)</f>
        <v>97500.000000000015</v>
      </c>
    </row>
    <row r="19" spans="2:5" ht="17" x14ac:dyDescent="0.2">
      <c r="C19" s="65" t="s">
        <v>186</v>
      </c>
      <c r="D19" s="66">
        <f>D17/D10-1</f>
        <v>0.30000000000000027</v>
      </c>
      <c r="E19" s="36"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ACF41-794C-7C44-8041-B413283265E7}">
  <sheetPr codeName="Sheet6"/>
  <dimension ref="B2:AP74"/>
  <sheetViews>
    <sheetView topLeftCell="AE48" zoomScale="94" workbookViewId="0">
      <selection activeCell="AU83" sqref="AU83"/>
    </sheetView>
  </sheetViews>
  <sheetFormatPr baseColWidth="10" defaultRowHeight="16" x14ac:dyDescent="0.2"/>
  <cols>
    <col min="2" max="2" width="37.83203125" bestFit="1" customWidth="1"/>
    <col min="8" max="8" width="37.83203125" bestFit="1" customWidth="1"/>
    <col min="9" max="9" width="10.83203125" bestFit="1" customWidth="1"/>
    <col min="10" max="11" width="25.83203125" bestFit="1" customWidth="1"/>
    <col min="17" max="17" width="60" bestFit="1" customWidth="1"/>
    <col min="18" max="19" width="11.33203125" bestFit="1" customWidth="1"/>
    <col min="21" max="21" width="25.33203125" bestFit="1" customWidth="1"/>
    <col min="22" max="22" width="26.83203125" bestFit="1" customWidth="1"/>
    <col min="23" max="23" width="13.33203125" bestFit="1" customWidth="1"/>
    <col min="24" max="24" width="18.33203125" bestFit="1" customWidth="1"/>
    <col min="25" max="25" width="31.83203125" bestFit="1" customWidth="1"/>
    <col min="31" max="31" width="29.1640625" bestFit="1" customWidth="1"/>
    <col min="32" max="32" width="28" bestFit="1" customWidth="1"/>
    <col min="36" max="36" width="32" customWidth="1"/>
    <col min="37" max="37" width="18.33203125" bestFit="1" customWidth="1"/>
    <col min="38" max="38" width="18.6640625" bestFit="1" customWidth="1"/>
    <col min="39" max="39" width="12.5" bestFit="1" customWidth="1"/>
    <col min="40" max="40" width="13" customWidth="1"/>
  </cols>
  <sheetData>
    <row r="2" spans="2:11" x14ac:dyDescent="0.2">
      <c r="B2" s="249"/>
      <c r="C2" s="256" t="s">
        <v>187</v>
      </c>
      <c r="D2" s="256"/>
      <c r="E2" s="256"/>
    </row>
    <row r="3" spans="2:11" x14ac:dyDescent="0.2">
      <c r="B3" s="249"/>
      <c r="C3" s="70">
        <v>2021</v>
      </c>
      <c r="D3" s="70">
        <v>2022</v>
      </c>
      <c r="E3" s="70">
        <v>2023</v>
      </c>
    </row>
    <row r="4" spans="2:11" x14ac:dyDescent="0.2">
      <c r="B4" s="71" t="s">
        <v>188</v>
      </c>
      <c r="C4" s="72">
        <v>10000</v>
      </c>
      <c r="D4" s="72">
        <v>11100</v>
      </c>
      <c r="E4" s="72">
        <v>10500</v>
      </c>
    </row>
    <row r="5" spans="2:11" x14ac:dyDescent="0.2">
      <c r="B5" s="71" t="s">
        <v>189</v>
      </c>
      <c r="C5" s="72">
        <v>900</v>
      </c>
      <c r="D5" s="72">
        <v>888</v>
      </c>
      <c r="E5" s="72">
        <v>965</v>
      </c>
    </row>
    <row r="6" spans="2:11" x14ac:dyDescent="0.2">
      <c r="B6" s="71" t="s">
        <v>190</v>
      </c>
      <c r="C6" s="72">
        <v>9000</v>
      </c>
      <c r="D6" s="72">
        <v>2850</v>
      </c>
      <c r="E6" s="72">
        <v>3000</v>
      </c>
    </row>
    <row r="7" spans="2:11" x14ac:dyDescent="0.2">
      <c r="B7" s="71" t="s">
        <v>191</v>
      </c>
      <c r="C7" s="72">
        <v>40800</v>
      </c>
      <c r="D7" s="72">
        <v>36500</v>
      </c>
      <c r="E7" s="72">
        <v>32200</v>
      </c>
    </row>
    <row r="8" spans="2:11" x14ac:dyDescent="0.2">
      <c r="B8" s="71" t="s">
        <v>192</v>
      </c>
      <c r="C8" s="72">
        <v>32000</v>
      </c>
      <c r="D8" s="72">
        <v>33500</v>
      </c>
      <c r="E8" s="72">
        <v>37000</v>
      </c>
    </row>
    <row r="9" spans="2:11" x14ac:dyDescent="0.2">
      <c r="B9" s="71" t="s">
        <v>193</v>
      </c>
      <c r="C9" s="72">
        <v>33000</v>
      </c>
      <c r="D9" s="72">
        <v>36000</v>
      </c>
      <c r="E9" s="72">
        <v>38500</v>
      </c>
    </row>
    <row r="10" spans="2:11" x14ac:dyDescent="0.2">
      <c r="B10" s="71" t="s">
        <v>194</v>
      </c>
      <c r="C10" s="72">
        <v>500500</v>
      </c>
      <c r="D10" s="72">
        <v>513000</v>
      </c>
      <c r="E10" s="72">
        <v>518500</v>
      </c>
    </row>
    <row r="11" spans="2:11" x14ac:dyDescent="0.2">
      <c r="B11" s="71" t="s">
        <v>195</v>
      </c>
      <c r="C11" s="72">
        <v>545000</v>
      </c>
      <c r="D11" s="72">
        <v>560000</v>
      </c>
      <c r="E11" s="72">
        <v>565000</v>
      </c>
    </row>
    <row r="13" spans="2:11" x14ac:dyDescent="0.2">
      <c r="B13" s="249"/>
      <c r="C13" s="256" t="s">
        <v>187</v>
      </c>
      <c r="D13" s="256"/>
      <c r="E13" s="256"/>
      <c r="H13" s="15" t="s">
        <v>208</v>
      </c>
    </row>
    <row r="14" spans="2:11" x14ac:dyDescent="0.2">
      <c r="B14" s="249"/>
      <c r="C14" s="70">
        <v>2021</v>
      </c>
      <c r="D14" s="70">
        <v>2022</v>
      </c>
      <c r="E14" s="70">
        <v>2023</v>
      </c>
      <c r="H14" s="70"/>
      <c r="I14" s="74" t="s">
        <v>197</v>
      </c>
      <c r="J14" s="74" t="s">
        <v>198</v>
      </c>
      <c r="K14" s="74" t="s">
        <v>199</v>
      </c>
    </row>
    <row r="15" spans="2:11" x14ac:dyDescent="0.2">
      <c r="B15" s="71" t="s">
        <v>188</v>
      </c>
      <c r="C15" s="73">
        <f>C4/C$11</f>
        <v>1.834862385321101E-2</v>
      </c>
      <c r="D15" s="73">
        <f t="shared" ref="D15:E15" si="0">D4/D$11</f>
        <v>1.982142857142857E-2</v>
      </c>
      <c r="E15" s="73">
        <f t="shared" si="0"/>
        <v>1.8584070796460177E-2</v>
      </c>
      <c r="F15" s="36" t="s">
        <v>224</v>
      </c>
      <c r="G15" s="36"/>
      <c r="H15" s="71" t="s">
        <v>188</v>
      </c>
      <c r="I15" s="73">
        <f>AVERAGE(C15:E15)</f>
        <v>1.8918041073699921E-2</v>
      </c>
      <c r="J15" s="75" t="s">
        <v>201</v>
      </c>
      <c r="K15" s="75" t="s">
        <v>202</v>
      </c>
    </row>
    <row r="16" spans="2:11" x14ac:dyDescent="0.2">
      <c r="B16" s="71" t="s">
        <v>189</v>
      </c>
      <c r="C16" s="73">
        <f>C5/C$9</f>
        <v>2.7272727272727271E-2</v>
      </c>
      <c r="D16" s="73">
        <f t="shared" ref="D16:E16" si="1">D5/D$9</f>
        <v>2.4666666666666667E-2</v>
      </c>
      <c r="E16" s="73">
        <f t="shared" si="1"/>
        <v>2.5064935064935064E-2</v>
      </c>
      <c r="F16" s="36" t="s">
        <v>225</v>
      </c>
      <c r="G16" s="36"/>
      <c r="H16" s="71" t="s">
        <v>189</v>
      </c>
      <c r="I16" s="73">
        <f>AVERAGE(C16:E16)</f>
        <v>2.566810966810967E-2</v>
      </c>
      <c r="J16" s="75" t="s">
        <v>201</v>
      </c>
      <c r="K16" s="75" t="s">
        <v>202</v>
      </c>
    </row>
    <row r="17" spans="2:12" x14ac:dyDescent="0.2">
      <c r="B17" s="71" t="s">
        <v>190</v>
      </c>
      <c r="C17" s="73">
        <f>C6/C$9</f>
        <v>0.27272727272727271</v>
      </c>
      <c r="D17" s="73">
        <f t="shared" ref="D17:E17" si="2">D6/D$9</f>
        <v>7.9166666666666663E-2</v>
      </c>
      <c r="E17" s="73">
        <f t="shared" si="2"/>
        <v>7.792207792207792E-2</v>
      </c>
      <c r="F17" s="36" t="s">
        <v>226</v>
      </c>
      <c r="G17" s="36"/>
      <c r="H17" s="71" t="s">
        <v>190</v>
      </c>
      <c r="I17" s="73">
        <f>AVERAGE(D17:E17)</f>
        <v>7.8544372294372292E-2</v>
      </c>
      <c r="J17" s="75" t="s">
        <v>203</v>
      </c>
      <c r="K17" s="75" t="s">
        <v>204</v>
      </c>
    </row>
    <row r="18" spans="2:12" ht="17" thickBot="1" x14ac:dyDescent="0.25">
      <c r="B18" s="71" t="s">
        <v>191</v>
      </c>
      <c r="C18" s="73">
        <f>C7/C$10</f>
        <v>8.1518481518481525E-2</v>
      </c>
      <c r="D18" s="73">
        <f>D7/D$10</f>
        <v>7.1150097465886936E-2</v>
      </c>
      <c r="E18" s="73">
        <f>E7/E$10</f>
        <v>6.210221793635487E-2</v>
      </c>
      <c r="F18" s="36" t="s">
        <v>196</v>
      </c>
      <c r="G18" s="36"/>
      <c r="H18" s="76" t="s">
        <v>191</v>
      </c>
      <c r="I18" s="77">
        <f>E18</f>
        <v>6.210221793635487E-2</v>
      </c>
      <c r="J18" s="78" t="s">
        <v>205</v>
      </c>
      <c r="K18" s="78" t="s">
        <v>206</v>
      </c>
    </row>
    <row r="19" spans="2:12" ht="17" thickTop="1" x14ac:dyDescent="0.2">
      <c r="B19" s="71"/>
      <c r="C19" s="72"/>
      <c r="D19" s="72"/>
      <c r="E19" s="72"/>
      <c r="H19" s="70" t="s">
        <v>10</v>
      </c>
      <c r="I19" s="79">
        <f>SUM(I15:I18)</f>
        <v>0.18523274097253675</v>
      </c>
      <c r="J19" s="80" t="s">
        <v>207</v>
      </c>
    </row>
    <row r="20" spans="2:12" ht="36" customHeight="1" x14ac:dyDescent="0.2">
      <c r="B20" s="255" t="s">
        <v>223</v>
      </c>
      <c r="C20" s="255"/>
      <c r="D20" s="255"/>
      <c r="E20" s="255"/>
      <c r="F20" s="255"/>
    </row>
    <row r="21" spans="2:12" x14ac:dyDescent="0.2">
      <c r="B21" s="3" t="s">
        <v>200</v>
      </c>
      <c r="H21" s="15" t="s">
        <v>209</v>
      </c>
    </row>
    <row r="22" spans="2:12" x14ac:dyDescent="0.2">
      <c r="H22" t="s">
        <v>210</v>
      </c>
    </row>
    <row r="24" spans="2:12" x14ac:dyDescent="0.2">
      <c r="B24" s="70" t="s">
        <v>211</v>
      </c>
      <c r="C24" s="70" t="s">
        <v>212</v>
      </c>
      <c r="I24" s="15" t="s">
        <v>217</v>
      </c>
      <c r="J24" s="15" t="s">
        <v>218</v>
      </c>
      <c r="K24" s="15" t="s">
        <v>217</v>
      </c>
      <c r="L24" s="15" t="s">
        <v>218</v>
      </c>
    </row>
    <row r="25" spans="2:12" x14ac:dyDescent="0.2">
      <c r="B25" s="71" t="s">
        <v>213</v>
      </c>
      <c r="C25" s="81">
        <v>0.6</v>
      </c>
      <c r="H25" s="71" t="s">
        <v>188</v>
      </c>
      <c r="I25" s="82">
        <f>$I15*$C25</f>
        <v>1.1350824644219952E-2</v>
      </c>
      <c r="J25" s="82">
        <f>$I15*(1-$C25)</f>
        <v>7.5672164294799688E-3</v>
      </c>
      <c r="K25" s="36" t="s">
        <v>219</v>
      </c>
      <c r="L25" s="36" t="s">
        <v>220</v>
      </c>
    </row>
    <row r="26" spans="2:12" x14ac:dyDescent="0.2">
      <c r="B26" s="71" t="s">
        <v>214</v>
      </c>
      <c r="C26" s="81">
        <v>0.4</v>
      </c>
      <c r="H26" s="71" t="s">
        <v>189</v>
      </c>
      <c r="I26" s="82">
        <f t="shared" ref="I26:I28" si="3">$I16*$C26</f>
        <v>1.0267243867243869E-2</v>
      </c>
      <c r="J26" s="82">
        <f t="shared" ref="J26:J28" si="4">$I16*(1-$C26)</f>
        <v>1.54008658008658E-2</v>
      </c>
    </row>
    <row r="27" spans="2:12" x14ac:dyDescent="0.2">
      <c r="B27" s="71" t="s">
        <v>215</v>
      </c>
      <c r="C27" s="81">
        <v>0</v>
      </c>
      <c r="H27" s="71" t="s">
        <v>190</v>
      </c>
      <c r="I27" s="82">
        <f t="shared" si="3"/>
        <v>0</v>
      </c>
      <c r="J27" s="82">
        <f t="shared" si="4"/>
        <v>7.8544372294372292E-2</v>
      </c>
    </row>
    <row r="28" spans="2:12" ht="17" thickBot="1" x14ac:dyDescent="0.25">
      <c r="B28" s="71" t="s">
        <v>216</v>
      </c>
      <c r="C28" s="81">
        <v>0.3</v>
      </c>
      <c r="H28" s="76" t="s">
        <v>191</v>
      </c>
      <c r="I28" s="83">
        <f t="shared" si="3"/>
        <v>1.863066538090646E-2</v>
      </c>
      <c r="J28" s="83">
        <f t="shared" si="4"/>
        <v>4.3471552555448406E-2</v>
      </c>
      <c r="K28" s="84"/>
      <c r="L28" s="84"/>
    </row>
    <row r="29" spans="2:12" ht="17" thickTop="1" x14ac:dyDescent="0.2">
      <c r="H29" s="70" t="s">
        <v>10</v>
      </c>
      <c r="I29" s="79">
        <f>SUM(I25:I28)</f>
        <v>4.0248733892370284E-2</v>
      </c>
      <c r="J29" s="79">
        <f>SUM(J25:J28)</f>
        <v>0.14498400708016645</v>
      </c>
      <c r="K29" s="36" t="s">
        <v>222</v>
      </c>
      <c r="L29" s="85" t="s">
        <v>221</v>
      </c>
    </row>
    <row r="33" spans="17:26" x14ac:dyDescent="0.2">
      <c r="Q33" s="249"/>
      <c r="R33" s="256" t="s">
        <v>187</v>
      </c>
      <c r="S33" s="256"/>
      <c r="U33" s="15" t="s">
        <v>232</v>
      </c>
      <c r="V33" s="36" t="s">
        <v>239</v>
      </c>
      <c r="W33" s="36" t="s">
        <v>240</v>
      </c>
      <c r="X33" s="93"/>
      <c r="Y33" s="36" t="s">
        <v>241</v>
      </c>
    </row>
    <row r="34" spans="17:26" x14ac:dyDescent="0.2">
      <c r="Q34" s="249"/>
      <c r="R34" s="70">
        <v>2003</v>
      </c>
      <c r="S34" s="70">
        <v>2004</v>
      </c>
      <c r="U34" s="15" t="s">
        <v>237</v>
      </c>
      <c r="V34" s="15" t="s">
        <v>233</v>
      </c>
      <c r="W34" s="15" t="s">
        <v>234</v>
      </c>
      <c r="X34" s="15" t="s">
        <v>235</v>
      </c>
      <c r="Y34" s="15" t="s">
        <v>236</v>
      </c>
    </row>
    <row r="35" spans="17:26" x14ac:dyDescent="0.2">
      <c r="Q35" s="71" t="s">
        <v>191</v>
      </c>
      <c r="R35" s="72">
        <v>25000</v>
      </c>
      <c r="S35" s="72">
        <v>28000</v>
      </c>
      <c r="U35">
        <v>2003</v>
      </c>
      <c r="V35" s="53">
        <f>R35/R37</f>
        <v>40</v>
      </c>
      <c r="W35" s="53">
        <f>V35*R36</f>
        <v>30</v>
      </c>
      <c r="X35">
        <v>3</v>
      </c>
      <c r="Y35" s="92">
        <f>W35*(1+$R$47)^X35</f>
        <v>32.78181</v>
      </c>
    </row>
    <row r="36" spans="17:26" ht="17" thickBot="1" x14ac:dyDescent="0.25">
      <c r="Q36" s="71" t="s">
        <v>227</v>
      </c>
      <c r="R36" s="81">
        <v>0.75</v>
      </c>
      <c r="S36" s="81">
        <v>0.75</v>
      </c>
      <c r="U36" s="84">
        <v>2004</v>
      </c>
      <c r="V36" s="90">
        <f>S35/S37</f>
        <v>43.410852713178294</v>
      </c>
      <c r="W36" s="90">
        <f>V36*S36</f>
        <v>32.558139534883722</v>
      </c>
      <c r="X36" s="91">
        <f>X35-1</f>
        <v>2</v>
      </c>
      <c r="Y36" s="90">
        <f>W36*(1+$R$47)^X36</f>
        <v>34.540930232558139</v>
      </c>
      <c r="Z36" s="84"/>
    </row>
    <row r="37" spans="17:26" ht="17" thickTop="1" x14ac:dyDescent="0.2">
      <c r="Q37" s="71" t="s">
        <v>228</v>
      </c>
      <c r="R37" s="71">
        <v>625</v>
      </c>
      <c r="S37" s="71">
        <v>645</v>
      </c>
      <c r="X37" s="15" t="s">
        <v>238</v>
      </c>
      <c r="Y37" s="92">
        <f>AVERAGE(Y35:Y36)</f>
        <v>33.661370116279073</v>
      </c>
      <c r="Z37" s="36" t="s">
        <v>243</v>
      </c>
    </row>
    <row r="38" spans="17:26" x14ac:dyDescent="0.2">
      <c r="Q38" s="71" t="s">
        <v>229</v>
      </c>
      <c r="R38" s="71">
        <v>640</v>
      </c>
      <c r="S38" s="71">
        <v>700</v>
      </c>
    </row>
    <row r="39" spans="17:26" x14ac:dyDescent="0.2">
      <c r="Q39" s="71" t="s">
        <v>194</v>
      </c>
      <c r="R39" s="72">
        <v>435000</v>
      </c>
      <c r="S39" s="72">
        <v>450000</v>
      </c>
      <c r="X39" s="15" t="s">
        <v>10</v>
      </c>
      <c r="Y39" s="58">
        <f>Y37+SUM(R43:R45)</f>
        <v>96.161370116279073</v>
      </c>
      <c r="Z39" s="36" t="s">
        <v>242</v>
      </c>
    </row>
    <row r="40" spans="17:26" x14ac:dyDescent="0.2">
      <c r="Q40" s="71" t="s">
        <v>195</v>
      </c>
      <c r="R40" s="72">
        <v>460000</v>
      </c>
      <c r="S40" s="71" t="s">
        <v>230</v>
      </c>
    </row>
    <row r="41" spans="17:26" x14ac:dyDescent="0.2">
      <c r="U41" s="15" t="s">
        <v>245</v>
      </c>
      <c r="V41" s="36" t="s">
        <v>251</v>
      </c>
      <c r="W41" s="36" t="s">
        <v>252</v>
      </c>
    </row>
    <row r="42" spans="17:26" x14ac:dyDescent="0.2">
      <c r="Q42" s="70" t="s">
        <v>231</v>
      </c>
      <c r="R42" s="70" t="s">
        <v>217</v>
      </c>
      <c r="S42" s="70" t="s">
        <v>218</v>
      </c>
      <c r="U42" s="70" t="s">
        <v>237</v>
      </c>
      <c r="V42" s="70" t="s">
        <v>250</v>
      </c>
      <c r="W42" s="70" t="s">
        <v>246</v>
      </c>
    </row>
    <row r="43" spans="17:26" x14ac:dyDescent="0.2">
      <c r="Q43" s="71" t="s">
        <v>213</v>
      </c>
      <c r="R43" s="72">
        <v>60</v>
      </c>
      <c r="S43" s="86">
        <v>2.5000000000000001E-2</v>
      </c>
      <c r="U43">
        <v>2003</v>
      </c>
      <c r="V43" s="63">
        <f>R35*(1-R36)</f>
        <v>6250</v>
      </c>
      <c r="W43" s="94">
        <f>V43/R39</f>
        <v>1.4367816091954023E-2</v>
      </c>
      <c r="X43" t="s">
        <v>247</v>
      </c>
    </row>
    <row r="44" spans="17:26" ht="17" thickBot="1" x14ac:dyDescent="0.25">
      <c r="Q44" s="71" t="s">
        <v>214</v>
      </c>
      <c r="R44" s="88">
        <v>2.5</v>
      </c>
      <c r="S44" s="86">
        <v>0.02</v>
      </c>
      <c r="U44" s="84">
        <v>2004</v>
      </c>
      <c r="V44" s="98">
        <f>S35*(1-S36)</f>
        <v>7000</v>
      </c>
      <c r="W44" s="96">
        <f>V44/S39</f>
        <v>1.5555555555555555E-2</v>
      </c>
      <c r="X44" s="99"/>
    </row>
    <row r="45" spans="17:26" ht="17" thickTop="1" x14ac:dyDescent="0.2">
      <c r="Q45" s="71" t="s">
        <v>215</v>
      </c>
      <c r="R45" s="71">
        <v>0</v>
      </c>
      <c r="S45" s="86">
        <v>0.12</v>
      </c>
      <c r="V45" s="15" t="s">
        <v>238</v>
      </c>
      <c r="W45" s="95">
        <f>AVERAGE(W43:W44)</f>
        <v>1.4961685823754789E-2</v>
      </c>
      <c r="X45" s="36" t="s">
        <v>248</v>
      </c>
    </row>
    <row r="47" spans="17:26" x14ac:dyDescent="0.2">
      <c r="Q47" s="70" t="s">
        <v>244</v>
      </c>
      <c r="R47" s="19">
        <v>0.03</v>
      </c>
      <c r="V47" s="15" t="s">
        <v>10</v>
      </c>
      <c r="W47" s="97">
        <f>W45+SUM(S43:S45)</f>
        <v>0.17996168582375477</v>
      </c>
      <c r="X47" s="36" t="s">
        <v>249</v>
      </c>
    </row>
    <row r="49" spans="32:42" x14ac:dyDescent="0.2">
      <c r="AJ49" s="15" t="s">
        <v>257</v>
      </c>
      <c r="AM49" s="36" t="s">
        <v>271</v>
      </c>
      <c r="AN49" t="s">
        <v>263</v>
      </c>
    </row>
    <row r="50" spans="32:42" x14ac:dyDescent="0.2">
      <c r="AG50" s="70" t="s">
        <v>253</v>
      </c>
      <c r="AH50" s="70" t="s">
        <v>212</v>
      </c>
      <c r="AK50" s="15" t="s">
        <v>260</v>
      </c>
      <c r="AL50" s="15" t="s">
        <v>258</v>
      </c>
      <c r="AM50" s="15" t="s">
        <v>234</v>
      </c>
      <c r="AN50" s="15" t="s">
        <v>268</v>
      </c>
      <c r="AO50" s="15" t="s">
        <v>264</v>
      </c>
    </row>
    <row r="51" spans="32:42" x14ac:dyDescent="0.2">
      <c r="AF51" s="71" t="s">
        <v>216</v>
      </c>
      <c r="AG51" s="72">
        <v>15000</v>
      </c>
      <c r="AH51" s="81">
        <v>0.5</v>
      </c>
      <c r="AJ51" s="71" t="s">
        <v>216</v>
      </c>
      <c r="AK51" s="87" t="s">
        <v>261</v>
      </c>
      <c r="AL51" s="92">
        <f>AG51/AG57</f>
        <v>11.673151750972762</v>
      </c>
      <c r="AM51" s="92">
        <f>AL51*AH51</f>
        <v>5.836575875486381</v>
      </c>
      <c r="AN51">
        <v>2.5</v>
      </c>
      <c r="AO51" s="92">
        <f>AM51*(1+$AG$60)^AN51</f>
        <v>6.1327966563454703</v>
      </c>
      <c r="AP51" s="36" t="s">
        <v>275</v>
      </c>
    </row>
    <row r="52" spans="32:42" x14ac:dyDescent="0.2">
      <c r="AF52" s="71" t="s">
        <v>213</v>
      </c>
      <c r="AG52" s="72">
        <v>38125</v>
      </c>
      <c r="AH52" s="81">
        <v>0.2</v>
      </c>
      <c r="AJ52" s="71" t="s">
        <v>213</v>
      </c>
      <c r="AK52" s="87" t="s">
        <v>262</v>
      </c>
      <c r="AL52" s="92">
        <f>AG52/$AG$58</f>
        <v>28.838880484114977</v>
      </c>
      <c r="AM52" s="92">
        <f>AL52*AH52</f>
        <v>5.7677760968229954</v>
      </c>
      <c r="AN52">
        <v>2</v>
      </c>
      <c r="AO52" s="92">
        <f>AM52*(1+$AG$60)^AN52</f>
        <v>6.0007942511346446</v>
      </c>
    </row>
    <row r="53" spans="32:42" x14ac:dyDescent="0.2">
      <c r="AF53" s="71" t="s">
        <v>214</v>
      </c>
      <c r="AG53" s="72">
        <v>11000</v>
      </c>
      <c r="AH53" s="81">
        <v>0.4</v>
      </c>
      <c r="AJ53" s="71" t="s">
        <v>214</v>
      </c>
      <c r="AK53" s="87" t="s">
        <v>262</v>
      </c>
      <c r="AL53" s="92">
        <f>AG53/$AG$58</f>
        <v>8.3207261724659602</v>
      </c>
      <c r="AM53" s="92">
        <f>AL53*AH53</f>
        <v>3.3282904689863844</v>
      </c>
      <c r="AN53">
        <v>2</v>
      </c>
      <c r="AO53" s="92">
        <f>AM53*(1+$AG$60)^AN53</f>
        <v>3.4627534039334344</v>
      </c>
    </row>
    <row r="54" spans="32:42" ht="17" thickBot="1" x14ac:dyDescent="0.25">
      <c r="AF54" s="71" t="s">
        <v>215</v>
      </c>
      <c r="AG54" s="72">
        <v>1525</v>
      </c>
      <c r="AH54" s="81">
        <v>0.1</v>
      </c>
      <c r="AJ54" s="76" t="s">
        <v>215</v>
      </c>
      <c r="AK54" s="89" t="s">
        <v>262</v>
      </c>
      <c r="AL54" s="90">
        <f>AG54/$AG$58</f>
        <v>1.153555219364599</v>
      </c>
      <c r="AM54" s="90">
        <f>AL54*AH54</f>
        <v>0.11535552193645991</v>
      </c>
      <c r="AN54" s="84">
        <v>2</v>
      </c>
      <c r="AO54" s="90">
        <f>AM54*(1+$AG$60)^AN54</f>
        <v>0.12001588502269289</v>
      </c>
      <c r="AP54" s="84"/>
    </row>
    <row r="55" spans="32:42" ht="17" thickTop="1" x14ac:dyDescent="0.2">
      <c r="AF55" s="71" t="s">
        <v>254</v>
      </c>
      <c r="AG55" s="72">
        <v>385000</v>
      </c>
      <c r="AH55" s="71"/>
      <c r="AN55" s="15" t="s">
        <v>10</v>
      </c>
      <c r="AO55" s="58">
        <f>SUM(AO51:AO54)</f>
        <v>15.716360196436241</v>
      </c>
      <c r="AP55" s="36" t="s">
        <v>265</v>
      </c>
    </row>
    <row r="56" spans="32:42" x14ac:dyDescent="0.2">
      <c r="AF56" s="71" t="s">
        <v>255</v>
      </c>
      <c r="AG56" s="72">
        <v>400000</v>
      </c>
      <c r="AH56" s="71"/>
      <c r="AL56" s="36" t="s">
        <v>272</v>
      </c>
    </row>
    <row r="57" spans="32:42" x14ac:dyDescent="0.2">
      <c r="AF57" s="71" t="s">
        <v>149</v>
      </c>
      <c r="AG57" s="100">
        <v>1285</v>
      </c>
      <c r="AH57" s="71"/>
      <c r="AJ57" s="70" t="s">
        <v>266</v>
      </c>
      <c r="AK57" s="15" t="s">
        <v>260</v>
      </c>
      <c r="AL57" s="101" t="s">
        <v>250</v>
      </c>
      <c r="AM57" s="15" t="s">
        <v>246</v>
      </c>
    </row>
    <row r="58" spans="32:42" x14ac:dyDescent="0.2">
      <c r="AF58" s="71" t="s">
        <v>256</v>
      </c>
      <c r="AG58" s="100">
        <v>1322</v>
      </c>
      <c r="AH58" s="71"/>
      <c r="AJ58" s="71" t="s">
        <v>216</v>
      </c>
      <c r="AK58" s="87" t="s">
        <v>49</v>
      </c>
      <c r="AL58" s="53">
        <f>AG51*(1-AH51)</f>
        <v>7500</v>
      </c>
      <c r="AM58" s="102">
        <f>AL58/AG55</f>
        <v>1.948051948051948E-2</v>
      </c>
      <c r="AN58" s="36" t="s">
        <v>273</v>
      </c>
    </row>
    <row r="59" spans="32:42" x14ac:dyDescent="0.2">
      <c r="AJ59" s="71" t="s">
        <v>213</v>
      </c>
      <c r="AK59" s="87" t="s">
        <v>259</v>
      </c>
      <c r="AL59" s="53">
        <f>AG52*(1-AH52)</f>
        <v>30500</v>
      </c>
      <c r="AM59" s="102">
        <f>AL59/$AG$56</f>
        <v>7.6249999999999998E-2</v>
      </c>
      <c r="AN59" s="36" t="s">
        <v>274</v>
      </c>
    </row>
    <row r="60" spans="32:42" x14ac:dyDescent="0.2">
      <c r="AF60" s="70" t="s">
        <v>244</v>
      </c>
      <c r="AG60" s="19">
        <v>0.02</v>
      </c>
      <c r="AJ60" s="71" t="s">
        <v>214</v>
      </c>
      <c r="AK60" s="87" t="s">
        <v>259</v>
      </c>
      <c r="AL60" s="53">
        <f>AG53*(1-AH53)</f>
        <v>6600</v>
      </c>
      <c r="AM60" s="102">
        <f>AL60/$AG$56</f>
        <v>1.6500000000000001E-2</v>
      </c>
    </row>
    <row r="61" spans="32:42" ht="17" thickBot="1" x14ac:dyDescent="0.25">
      <c r="AF61" s="71" t="s">
        <v>270</v>
      </c>
      <c r="AG61" s="19">
        <v>0.08</v>
      </c>
      <c r="AJ61" s="76" t="s">
        <v>215</v>
      </c>
      <c r="AK61" s="89" t="s">
        <v>259</v>
      </c>
      <c r="AL61" s="103">
        <f>AG54*(1-AH54)</f>
        <v>1372.5</v>
      </c>
      <c r="AM61" s="104">
        <f>AL61/$AG$56</f>
        <v>3.4312499999999998E-3</v>
      </c>
      <c r="AN61" s="84"/>
    </row>
    <row r="62" spans="32:42" ht="17" thickTop="1" x14ac:dyDescent="0.2">
      <c r="AL62" s="15" t="s">
        <v>10</v>
      </c>
      <c r="AM62" s="105">
        <f>SUM(AM58:AM61)</f>
        <v>0.11566176948051947</v>
      </c>
      <c r="AN62" s="36" t="s">
        <v>267</v>
      </c>
    </row>
    <row r="64" spans="32:42" x14ac:dyDescent="0.2">
      <c r="AJ64" s="70" t="s">
        <v>269</v>
      </c>
      <c r="AK64" s="79">
        <f>1-AM62-AG61</f>
        <v>0.80433823051948061</v>
      </c>
      <c r="AL64" s="36" t="s">
        <v>276</v>
      </c>
    </row>
    <row r="66" spans="36:40" x14ac:dyDescent="0.2">
      <c r="AJ66" s="15" t="s">
        <v>277</v>
      </c>
    </row>
    <row r="67" spans="36:40" x14ac:dyDescent="0.2">
      <c r="AJ67" s="70" t="s">
        <v>266</v>
      </c>
      <c r="AK67" s="15" t="s">
        <v>260</v>
      </c>
      <c r="AL67" s="101" t="s">
        <v>234</v>
      </c>
      <c r="AM67" s="15" t="s">
        <v>246</v>
      </c>
    </row>
    <row r="68" spans="36:40" x14ac:dyDescent="0.2">
      <c r="AJ68" s="71" t="s">
        <v>216</v>
      </c>
      <c r="AK68" s="87" t="s">
        <v>49</v>
      </c>
      <c r="AL68" s="53">
        <f>AG51*AH51</f>
        <v>7500</v>
      </c>
      <c r="AM68" s="102">
        <f>AL68/AG55</f>
        <v>1.948051948051948E-2</v>
      </c>
      <c r="AN68" s="36" t="s">
        <v>278</v>
      </c>
    </row>
    <row r="69" spans="36:40" x14ac:dyDescent="0.2">
      <c r="AJ69" s="71" t="s">
        <v>213</v>
      </c>
      <c r="AK69" s="87" t="s">
        <v>259</v>
      </c>
      <c r="AL69" s="53">
        <f t="shared" ref="AL69:AL71" si="5">AG52*AH52</f>
        <v>7625</v>
      </c>
      <c r="AM69" s="102">
        <f>AL69/$AG$56</f>
        <v>1.90625E-2</v>
      </c>
      <c r="AN69" s="36" t="s">
        <v>279</v>
      </c>
    </row>
    <row r="70" spans="36:40" x14ac:dyDescent="0.2">
      <c r="AJ70" s="71" t="s">
        <v>214</v>
      </c>
      <c r="AK70" s="87" t="s">
        <v>259</v>
      </c>
      <c r="AL70" s="53">
        <f t="shared" si="5"/>
        <v>4400</v>
      </c>
      <c r="AM70" s="102">
        <f>AL70/$AG$56</f>
        <v>1.0999999999999999E-2</v>
      </c>
    </row>
    <row r="71" spans="36:40" ht="17" thickBot="1" x14ac:dyDescent="0.25">
      <c r="AJ71" s="76" t="s">
        <v>215</v>
      </c>
      <c r="AK71" s="89" t="s">
        <v>259</v>
      </c>
      <c r="AL71" s="103">
        <f t="shared" si="5"/>
        <v>152.5</v>
      </c>
      <c r="AM71" s="104">
        <f>AL71/$AG$56</f>
        <v>3.8125000000000002E-4</v>
      </c>
      <c r="AN71" s="84"/>
    </row>
    <row r="72" spans="36:40" ht="17" thickTop="1" x14ac:dyDescent="0.2">
      <c r="AL72" s="15" t="s">
        <v>10</v>
      </c>
      <c r="AM72" s="105">
        <f>SUM(AM68:AM71)</f>
        <v>4.9924269480519479E-2</v>
      </c>
      <c r="AN72" s="36" t="s">
        <v>280</v>
      </c>
    </row>
    <row r="74" spans="36:40" x14ac:dyDescent="0.2">
      <c r="AJ74" s="70" t="s">
        <v>281</v>
      </c>
      <c r="AK74" s="79">
        <f>1-AM72-AM62-AG61</f>
        <v>0.75441396103896108</v>
      </c>
      <c r="AL74" s="36" t="s">
        <v>282</v>
      </c>
    </row>
  </sheetData>
  <mergeCells count="7">
    <mergeCell ref="B20:F20"/>
    <mergeCell ref="R33:S33"/>
    <mergeCell ref="Q33:Q34"/>
    <mergeCell ref="C2:E2"/>
    <mergeCell ref="B2:B3"/>
    <mergeCell ref="B13:B14"/>
    <mergeCell ref="C13:E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237-AC88-AB4B-A1F6-5996C6CE41DE}">
  <sheetPr codeName="Sheet7"/>
  <dimension ref="B1:J22"/>
  <sheetViews>
    <sheetView zoomScale="75" workbookViewId="0">
      <selection activeCell="H21" sqref="H21"/>
    </sheetView>
  </sheetViews>
  <sheetFormatPr baseColWidth="10" defaultRowHeight="16" x14ac:dyDescent="0.2"/>
  <cols>
    <col min="2" max="2" width="20.6640625" bestFit="1" customWidth="1"/>
    <col min="3" max="3" width="15.5" customWidth="1"/>
    <col min="4" max="4" width="13" customWidth="1"/>
    <col min="5" max="5" width="12.1640625" customWidth="1"/>
    <col min="6" max="6" width="12" customWidth="1"/>
    <col min="7" max="7" width="26.1640625" bestFit="1" customWidth="1"/>
    <col min="8" max="8" width="29.33203125" bestFit="1" customWidth="1"/>
    <col min="9" max="9" width="18" customWidth="1"/>
    <col min="10" max="10" width="14.1640625" customWidth="1"/>
  </cols>
  <sheetData>
    <row r="1" spans="2:10" x14ac:dyDescent="0.2">
      <c r="G1" s="36" t="s">
        <v>302</v>
      </c>
      <c r="I1" s="36" t="s">
        <v>301</v>
      </c>
    </row>
    <row r="2" spans="2:10" s="106" customFormat="1" ht="34" x14ac:dyDescent="0.2">
      <c r="B2" s="111" t="s">
        <v>283</v>
      </c>
      <c r="C2" s="112" t="s">
        <v>284</v>
      </c>
      <c r="D2" s="113" t="s">
        <v>149</v>
      </c>
      <c r="E2" s="111" t="s">
        <v>292</v>
      </c>
      <c r="F2" s="112" t="s">
        <v>165</v>
      </c>
      <c r="G2" s="112" t="s">
        <v>297</v>
      </c>
      <c r="H2" s="112" t="s">
        <v>291</v>
      </c>
      <c r="I2" s="113" t="s">
        <v>298</v>
      </c>
    </row>
    <row r="3" spans="2:10" x14ac:dyDescent="0.2">
      <c r="B3" s="114">
        <v>2003</v>
      </c>
      <c r="C3" s="100">
        <v>2000000</v>
      </c>
      <c r="D3" s="115">
        <v>2000</v>
      </c>
      <c r="E3" s="119">
        <v>48</v>
      </c>
      <c r="F3" s="107">
        <v>1</v>
      </c>
      <c r="G3" s="120">
        <f>C3*F3</f>
        <v>2000000</v>
      </c>
      <c r="H3" s="121">
        <v>5.25</v>
      </c>
      <c r="I3" s="128">
        <f>G3*(1+$H$7)^H3</f>
        <v>2202041.100392635</v>
      </c>
    </row>
    <row r="4" spans="2:10" x14ac:dyDescent="0.2">
      <c r="B4" s="114">
        <v>2004</v>
      </c>
      <c r="C4" s="100">
        <v>2300000</v>
      </c>
      <c r="D4" s="115">
        <v>2300</v>
      </c>
      <c r="E4" s="119">
        <v>36</v>
      </c>
      <c r="F4" s="107">
        <v>1.05</v>
      </c>
      <c r="G4" s="120">
        <f>C4*F4</f>
        <v>2415000</v>
      </c>
      <c r="H4" s="38">
        <f>H3-1</f>
        <v>4.25</v>
      </c>
      <c r="I4" s="128">
        <f>G4*(1+$H$7)^H4</f>
        <v>2610667.2839706494</v>
      </c>
    </row>
    <row r="5" spans="2:10" x14ac:dyDescent="0.2">
      <c r="B5" s="116">
        <v>2005</v>
      </c>
      <c r="C5" s="117">
        <v>1900000</v>
      </c>
      <c r="D5" s="118">
        <v>1900</v>
      </c>
      <c r="E5" s="122">
        <v>24</v>
      </c>
      <c r="F5" s="123">
        <v>1.2</v>
      </c>
      <c r="G5" s="124">
        <f>C5*F5</f>
        <v>2280000</v>
      </c>
      <c r="H5" s="125">
        <f>H4-1</f>
        <v>3.25</v>
      </c>
      <c r="I5" s="129">
        <f>G5*(1+$H$7)^H5</f>
        <v>2419960.0994248562</v>
      </c>
    </row>
    <row r="6" spans="2:10" x14ac:dyDescent="0.2">
      <c r="E6" s="108" t="s">
        <v>299</v>
      </c>
    </row>
    <row r="7" spans="2:10" x14ac:dyDescent="0.2">
      <c r="B7" s="15" t="s">
        <v>285</v>
      </c>
      <c r="C7" s="15" t="s">
        <v>286</v>
      </c>
      <c r="G7" s="15" t="s">
        <v>293</v>
      </c>
      <c r="H7" s="82">
        <f>(1+C14)*(1+C15)-1</f>
        <v>1.8499999999999961E-2</v>
      </c>
      <c r="I7" s="36" t="s">
        <v>300</v>
      </c>
    </row>
    <row r="8" spans="2:10" x14ac:dyDescent="0.2">
      <c r="B8" s="71" t="s">
        <v>287</v>
      </c>
      <c r="C8" s="107">
        <v>1.4</v>
      </c>
    </row>
    <row r="9" spans="2:10" x14ac:dyDescent="0.2">
      <c r="B9" s="71" t="s">
        <v>288</v>
      </c>
      <c r="C9" s="107">
        <v>1.2</v>
      </c>
      <c r="H9" s="15" t="s">
        <v>303</v>
      </c>
      <c r="I9" s="127">
        <f>SUM(I3:I5)/SUM(D3:D5)</f>
        <v>1166.5594328690549</v>
      </c>
      <c r="J9" s="36" t="s">
        <v>304</v>
      </c>
    </row>
    <row r="10" spans="2:10" x14ac:dyDescent="0.2">
      <c r="B10" s="71" t="s">
        <v>289</v>
      </c>
      <c r="C10" s="107">
        <v>1.05</v>
      </c>
    </row>
    <row r="11" spans="2:10" x14ac:dyDescent="0.2">
      <c r="B11" s="71" t="s">
        <v>290</v>
      </c>
      <c r="C11" s="107">
        <v>1</v>
      </c>
      <c r="H11" s="15" t="s">
        <v>305</v>
      </c>
      <c r="I11" s="127">
        <f>(I9+C22)/(1-SUM(C18:C21))</f>
        <v>1582.0792438254066</v>
      </c>
      <c r="J11" s="36" t="s">
        <v>313</v>
      </c>
    </row>
    <row r="13" spans="2:10" x14ac:dyDescent="0.2">
      <c r="B13" s="70" t="s">
        <v>294</v>
      </c>
      <c r="C13" s="109" t="s">
        <v>108</v>
      </c>
    </row>
    <row r="14" spans="2:10" x14ac:dyDescent="0.2">
      <c r="B14" s="71" t="s">
        <v>295</v>
      </c>
      <c r="C14" s="110">
        <v>0.05</v>
      </c>
    </row>
    <row r="15" spans="2:10" x14ac:dyDescent="0.2">
      <c r="B15" s="71" t="s">
        <v>296</v>
      </c>
      <c r="C15" s="110">
        <v>-0.03</v>
      </c>
    </row>
    <row r="17" spans="2:3" x14ac:dyDescent="0.2">
      <c r="B17" s="15" t="s">
        <v>306</v>
      </c>
      <c r="C17" s="15" t="s">
        <v>310</v>
      </c>
    </row>
    <row r="18" spans="2:3" x14ac:dyDescent="0.2">
      <c r="B18" t="s">
        <v>307</v>
      </c>
      <c r="C18" s="19">
        <v>0.1</v>
      </c>
    </row>
    <row r="19" spans="2:3" x14ac:dyDescent="0.2">
      <c r="B19" t="s">
        <v>308</v>
      </c>
      <c r="C19" s="19">
        <v>7.0000000000000007E-2</v>
      </c>
    </row>
    <row r="20" spans="2:3" x14ac:dyDescent="0.2">
      <c r="B20" t="s">
        <v>309</v>
      </c>
      <c r="C20" s="19">
        <v>0.06</v>
      </c>
    </row>
    <row r="21" spans="2:3" x14ac:dyDescent="0.2">
      <c r="B21" t="s">
        <v>312</v>
      </c>
      <c r="C21" s="19">
        <v>0.02</v>
      </c>
    </row>
    <row r="22" spans="2:3" x14ac:dyDescent="0.2">
      <c r="B22" t="s">
        <v>311</v>
      </c>
      <c r="C22" s="126">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BDFF-5D42-FA49-91E6-920BDEC7DF05}">
  <sheetPr codeName="Sheet8"/>
  <dimension ref="B2:X42"/>
  <sheetViews>
    <sheetView topLeftCell="I1" zoomScale="140" workbookViewId="0">
      <selection activeCell="M13" sqref="M13"/>
    </sheetView>
  </sheetViews>
  <sheetFormatPr baseColWidth="10" defaultRowHeight="16" x14ac:dyDescent="0.2"/>
  <cols>
    <col min="2" max="2" width="14.33203125" bestFit="1" customWidth="1"/>
    <col min="3" max="3" width="18.1640625" bestFit="1" customWidth="1"/>
    <col min="4" max="4" width="12.33203125" bestFit="1" customWidth="1"/>
    <col min="8" max="8" width="14.5" customWidth="1"/>
    <col min="9" max="9" width="33.1640625" customWidth="1"/>
    <col min="10" max="10" width="34" customWidth="1"/>
    <col min="11" max="11" width="17.5" bestFit="1" customWidth="1"/>
    <col min="12" max="12" width="20.83203125" customWidth="1"/>
    <col min="13" max="13" width="28.6640625" bestFit="1" customWidth="1"/>
    <col min="14" max="14" width="16.5" bestFit="1" customWidth="1"/>
    <col min="15" max="15" width="23" bestFit="1" customWidth="1"/>
    <col min="16" max="16" width="9.5" bestFit="1" customWidth="1"/>
    <col min="17" max="17" width="14.6640625" bestFit="1" customWidth="1"/>
    <col min="18" max="18" width="24.5" bestFit="1" customWidth="1"/>
    <col min="19" max="19" width="22.1640625" bestFit="1" customWidth="1"/>
    <col min="21" max="21" width="23.83203125" bestFit="1" customWidth="1"/>
    <col min="22" max="23" width="18.83203125" customWidth="1"/>
    <col min="24" max="24" width="26.6640625" bestFit="1" customWidth="1"/>
  </cols>
  <sheetData>
    <row r="2" spans="2:15" x14ac:dyDescent="0.2">
      <c r="I2" s="257" t="s">
        <v>329</v>
      </c>
      <c r="J2" s="257"/>
      <c r="K2" s="257"/>
    </row>
    <row r="3" spans="2:15" x14ac:dyDescent="0.2">
      <c r="J3" s="256" t="s">
        <v>317</v>
      </c>
      <c r="K3" s="256"/>
    </row>
    <row r="4" spans="2:15" x14ac:dyDescent="0.2">
      <c r="B4" s="139" t="s">
        <v>320</v>
      </c>
      <c r="C4" s="260" t="s">
        <v>314</v>
      </c>
      <c r="D4" s="261"/>
      <c r="E4" s="261"/>
      <c r="F4" s="258" t="s">
        <v>10</v>
      </c>
      <c r="H4" s="70" t="s">
        <v>314</v>
      </c>
      <c r="I4" s="70" t="s">
        <v>108</v>
      </c>
      <c r="J4" s="70" t="s">
        <v>315</v>
      </c>
      <c r="K4" s="70" t="s">
        <v>316</v>
      </c>
    </row>
    <row r="5" spans="2:15" x14ac:dyDescent="0.2">
      <c r="B5" s="139" t="s">
        <v>317</v>
      </c>
      <c r="C5" s="137">
        <v>1</v>
      </c>
      <c r="D5" s="137">
        <v>2</v>
      </c>
      <c r="E5" s="137">
        <v>3</v>
      </c>
      <c r="F5" s="259"/>
      <c r="H5" s="71">
        <v>1</v>
      </c>
      <c r="I5" s="22">
        <f>_xlfn.XLOOKUP(H5,$B$15:$B$17,$C$15:$C$17)</f>
        <v>0.6</v>
      </c>
      <c r="J5" s="22" cm="1">
        <f t="array" ref="J5">_xlfn.XLOOKUP($H5,$C$5:$E$5,_xlfn.XLOOKUP(J$4,$B$6:$B$7,$C$6:$E$7))</f>
        <v>123</v>
      </c>
      <c r="K5" s="22" cm="1">
        <f t="array" ref="K5">_xlfn.XLOOKUP($H5,$C$5:$E$5,_xlfn.XLOOKUP(K$4,$B$6:$B$7,$C$6:$E$7))</f>
        <v>74</v>
      </c>
    </row>
    <row r="6" spans="2:15" x14ac:dyDescent="0.2">
      <c r="B6" s="133" t="s">
        <v>315</v>
      </c>
      <c r="C6" s="135">
        <v>123</v>
      </c>
      <c r="D6" s="135">
        <v>79</v>
      </c>
      <c r="E6" s="135">
        <v>87</v>
      </c>
      <c r="F6" s="147">
        <f>SUM(C6:E6)</f>
        <v>289</v>
      </c>
      <c r="H6" s="71">
        <v>2</v>
      </c>
      <c r="I6" s="22">
        <f t="shared" ref="I6:I7" si="0">_xlfn.XLOOKUP(H6,$B$15:$B$17,$C$15:$C$17)</f>
        <v>1</v>
      </c>
      <c r="J6" s="22" cm="1">
        <f t="array" ref="J6">_xlfn.XLOOKUP($H6,$C$5:$E$5,_xlfn.XLOOKUP(J$4,$B$6:$B$7,$C$6:$E$7))</f>
        <v>79</v>
      </c>
      <c r="K6" s="22" cm="1">
        <f t="array" ref="K6">_xlfn.XLOOKUP($H6,$C$5:$E$5,_xlfn.XLOOKUP(K$4,$B$6:$B$7,$C$6:$E$7))</f>
        <v>123</v>
      </c>
    </row>
    <row r="7" spans="2:15" x14ac:dyDescent="0.2">
      <c r="B7" s="133" t="s">
        <v>316</v>
      </c>
      <c r="C7" s="71">
        <v>74</v>
      </c>
      <c r="D7" s="71">
        <v>123</v>
      </c>
      <c r="E7" s="71">
        <v>33</v>
      </c>
      <c r="F7" s="147">
        <f>SUM(C7:E7)</f>
        <v>230</v>
      </c>
      <c r="H7" s="131">
        <v>3</v>
      </c>
      <c r="I7" s="145">
        <f t="shared" si="0"/>
        <v>0.9</v>
      </c>
      <c r="J7" s="145" cm="1">
        <f t="array" ref="J7">_xlfn.XLOOKUP($H7,$C$5:$E$5,_xlfn.XLOOKUP(J$4,$B$6:$B$7,$C$6:$E$7))</f>
        <v>87</v>
      </c>
      <c r="K7" s="145" cm="1">
        <f t="array" ref="K7">_xlfn.XLOOKUP($H7,$C$5:$E$5,_xlfn.XLOOKUP(K$4,$B$6:$B$7,$C$6:$E$7))</f>
        <v>33</v>
      </c>
    </row>
    <row r="8" spans="2:15" x14ac:dyDescent="0.2">
      <c r="B8" s="139" t="s">
        <v>10</v>
      </c>
      <c r="C8" s="146">
        <f>SUM(C6:C7)</f>
        <v>197</v>
      </c>
      <c r="D8" s="146">
        <f t="shared" ref="D8:F8" si="1">SUM(D6:D7)</f>
        <v>202</v>
      </c>
      <c r="E8" s="146">
        <f t="shared" si="1"/>
        <v>120</v>
      </c>
      <c r="F8" s="138">
        <f t="shared" si="1"/>
        <v>519</v>
      </c>
      <c r="I8" s="15" t="s">
        <v>322</v>
      </c>
      <c r="J8" s="43">
        <f>SUMPRODUCT($I$5:$I$7,J5:J7)/SUM(J5:J7)</f>
        <v>0.79965397923875436</v>
      </c>
      <c r="K8" s="43">
        <f>SUMPRODUCT($I$5:$I$7,K5:K7)/SUM(K5:K7)</f>
        <v>0.85695652173913039</v>
      </c>
      <c r="L8" s="36" t="s">
        <v>321</v>
      </c>
    </row>
    <row r="9" spans="2:15" x14ac:dyDescent="0.2">
      <c r="I9" s="15"/>
      <c r="J9" s="43"/>
      <c r="K9" s="43"/>
      <c r="L9" s="36"/>
    </row>
    <row r="10" spans="2:15" x14ac:dyDescent="0.2">
      <c r="B10" s="140" t="s">
        <v>317</v>
      </c>
      <c r="C10" s="141" t="s">
        <v>318</v>
      </c>
      <c r="D10" s="71"/>
    </row>
    <row r="11" spans="2:15" x14ac:dyDescent="0.2">
      <c r="B11" s="114" t="s">
        <v>315</v>
      </c>
      <c r="C11" s="130">
        <v>1</v>
      </c>
      <c r="D11" s="71"/>
      <c r="I11" s="257" t="s">
        <v>329</v>
      </c>
      <c r="J11" s="257"/>
      <c r="K11" s="36" t="s">
        <v>330</v>
      </c>
      <c r="L11" s="36" t="s">
        <v>329</v>
      </c>
      <c r="M11" s="36" t="s">
        <v>331</v>
      </c>
      <c r="N11" s="36" t="s">
        <v>332</v>
      </c>
      <c r="O11" s="36" t="s">
        <v>334</v>
      </c>
    </row>
    <row r="12" spans="2:15" x14ac:dyDescent="0.2">
      <c r="B12" s="116" t="s">
        <v>316</v>
      </c>
      <c r="C12" s="132">
        <v>1.1499999999999999</v>
      </c>
      <c r="D12" s="71"/>
      <c r="H12" s="70" t="s">
        <v>317</v>
      </c>
      <c r="I12" s="70" t="s">
        <v>320</v>
      </c>
      <c r="J12" s="15" t="s">
        <v>322</v>
      </c>
      <c r="K12" s="15" t="s">
        <v>323</v>
      </c>
      <c r="L12" s="15" t="s">
        <v>319</v>
      </c>
      <c r="M12" s="15" t="s">
        <v>324</v>
      </c>
      <c r="N12" s="15" t="s">
        <v>325</v>
      </c>
      <c r="O12" s="15" t="s">
        <v>333</v>
      </c>
    </row>
    <row r="13" spans="2:15" x14ac:dyDescent="0.2">
      <c r="B13" s="71"/>
      <c r="C13" s="71"/>
      <c r="D13" s="71"/>
      <c r="H13" s="71" t="s">
        <v>315</v>
      </c>
      <c r="I13" s="22">
        <f>_xlfn.XLOOKUP(H13,$B$6:$B$7,$F$6:$F$7)</f>
        <v>289</v>
      </c>
      <c r="J13" s="43">
        <f>_xlfn.XLOOKUP(H13,$J$4:$K$4,$J$8:$K$8)</f>
        <v>0.79965397923875436</v>
      </c>
      <c r="K13" s="22">
        <f>I13*J13</f>
        <v>231.10000000000002</v>
      </c>
      <c r="L13" s="155">
        <f>_xlfn.XLOOKUP(H13,$B$30:$B$31,$F$30:$F$31)</f>
        <v>24300</v>
      </c>
      <c r="M13" s="156">
        <f>L13/K13</f>
        <v>105.1492860233665</v>
      </c>
      <c r="N13" s="43">
        <f>M13/$M$15</f>
        <v>0.90049848550411082</v>
      </c>
      <c r="O13" s="43">
        <f>N13/$N$13</f>
        <v>1</v>
      </c>
    </row>
    <row r="14" spans="2:15" x14ac:dyDescent="0.2">
      <c r="B14" s="140" t="s">
        <v>314</v>
      </c>
      <c r="C14" s="141" t="s">
        <v>318</v>
      </c>
      <c r="H14" s="131" t="s">
        <v>316</v>
      </c>
      <c r="I14" s="145">
        <f>_xlfn.XLOOKUP(H14,$B$6:$B$7,$F$6:$F$7)</f>
        <v>230</v>
      </c>
      <c r="J14" s="157">
        <f>_xlfn.XLOOKUP(H14,$J$4:$K$4,$J$8:$K$8)</f>
        <v>0.85695652173913039</v>
      </c>
      <c r="K14" s="145">
        <f>I14*J14</f>
        <v>197.1</v>
      </c>
      <c r="L14" s="158">
        <f>_xlfn.XLOOKUP(H14,$B$30:$B$31,$F$30:$F$31)</f>
        <v>25700</v>
      </c>
      <c r="M14" s="159">
        <f>L14/K14</f>
        <v>130.39066463723998</v>
      </c>
      <c r="N14" s="157">
        <f t="shared" ref="N14:N15" si="2">M14/$M$15</f>
        <v>1.1166656519533233</v>
      </c>
      <c r="O14" s="160">
        <f>N14/$N$13</f>
        <v>1.2400527817969613</v>
      </c>
    </row>
    <row r="15" spans="2:15" x14ac:dyDescent="0.2">
      <c r="B15" s="114">
        <v>1</v>
      </c>
      <c r="C15" s="130">
        <v>0.6</v>
      </c>
      <c r="H15" s="70" t="s">
        <v>10</v>
      </c>
      <c r="I15" s="22">
        <f>SUM(I13:I14)</f>
        <v>519</v>
      </c>
      <c r="K15" s="22">
        <f>SUM(K13:K14)</f>
        <v>428.20000000000005</v>
      </c>
      <c r="L15" s="155">
        <f>SUM(L13:L14)</f>
        <v>50000</v>
      </c>
      <c r="M15" s="156">
        <f>L15/K15</f>
        <v>116.76786548341894</v>
      </c>
      <c r="N15" s="43">
        <f t="shared" si="2"/>
        <v>1</v>
      </c>
      <c r="O15" s="43">
        <f>N15/$N$13</f>
        <v>1.1104960375809927</v>
      </c>
    </row>
    <row r="16" spans="2:15" x14ac:dyDescent="0.2">
      <c r="B16" s="114">
        <v>2</v>
      </c>
      <c r="C16" s="130">
        <v>1</v>
      </c>
    </row>
    <row r="17" spans="2:7" x14ac:dyDescent="0.2">
      <c r="B17" s="116">
        <v>3</v>
      </c>
      <c r="C17" s="132">
        <v>0.9</v>
      </c>
    </row>
    <row r="19" spans="2:7" x14ac:dyDescent="0.2">
      <c r="B19" s="140" t="s">
        <v>314</v>
      </c>
      <c r="C19" s="144" t="s">
        <v>317</v>
      </c>
      <c r="D19" s="141" t="s">
        <v>319</v>
      </c>
    </row>
    <row r="20" spans="2:7" x14ac:dyDescent="0.2">
      <c r="B20" s="114">
        <v>1</v>
      </c>
      <c r="C20" s="71" t="s">
        <v>315</v>
      </c>
      <c r="D20" s="142">
        <v>7760</v>
      </c>
    </row>
    <row r="21" spans="2:7" x14ac:dyDescent="0.2">
      <c r="B21" s="114">
        <v>1</v>
      </c>
      <c r="C21" s="71" t="s">
        <v>316</v>
      </c>
      <c r="D21" s="142">
        <v>5789</v>
      </c>
    </row>
    <row r="22" spans="2:7" x14ac:dyDescent="0.2">
      <c r="B22" s="114">
        <v>2</v>
      </c>
      <c r="C22" s="71" t="s">
        <v>315</v>
      </c>
      <c r="D22" s="142">
        <v>8307</v>
      </c>
    </row>
    <row r="23" spans="2:7" x14ac:dyDescent="0.2">
      <c r="B23" s="114">
        <v>2</v>
      </c>
      <c r="C23" s="71" t="s">
        <v>316</v>
      </c>
      <c r="D23" s="142">
        <v>16038</v>
      </c>
    </row>
    <row r="24" spans="2:7" x14ac:dyDescent="0.2">
      <c r="B24" s="114">
        <v>3</v>
      </c>
      <c r="C24" s="71" t="s">
        <v>315</v>
      </c>
      <c r="D24" s="142">
        <v>8233</v>
      </c>
    </row>
    <row r="25" spans="2:7" x14ac:dyDescent="0.2">
      <c r="B25" s="116">
        <v>3</v>
      </c>
      <c r="C25" s="131" t="s">
        <v>316</v>
      </c>
      <c r="D25" s="143">
        <v>3873</v>
      </c>
    </row>
    <row r="26" spans="2:7" x14ac:dyDescent="0.2">
      <c r="B26" s="71"/>
      <c r="C26" s="71"/>
      <c r="D26" s="72"/>
    </row>
    <row r="27" spans="2:7" x14ac:dyDescent="0.2">
      <c r="C27" s="154" t="s">
        <v>328</v>
      </c>
    </row>
    <row r="28" spans="2:7" x14ac:dyDescent="0.2">
      <c r="B28" s="139" t="s">
        <v>319</v>
      </c>
      <c r="C28" s="260" t="s">
        <v>314</v>
      </c>
      <c r="D28" s="261"/>
      <c r="E28" s="261"/>
      <c r="F28" s="258" t="s">
        <v>10</v>
      </c>
    </row>
    <row r="29" spans="2:7" x14ac:dyDescent="0.2">
      <c r="B29" s="140" t="s">
        <v>317</v>
      </c>
      <c r="C29" s="140">
        <v>1</v>
      </c>
      <c r="D29" s="144">
        <v>2</v>
      </c>
      <c r="E29" s="141">
        <v>3</v>
      </c>
      <c r="F29" s="262"/>
    </row>
    <row r="30" spans="2:7" x14ac:dyDescent="0.2">
      <c r="B30" s="148" t="s">
        <v>315</v>
      </c>
      <c r="C30" s="68">
        <f t="shared" ref="C30:E31" si="3">SUMIFS($D$20:$D$25,$B$20:$B$25,C$29,$C$20:$C$25,$B30)</f>
        <v>7760</v>
      </c>
      <c r="D30" s="68">
        <f t="shared" si="3"/>
        <v>8307</v>
      </c>
      <c r="E30" s="68">
        <f t="shared" si="3"/>
        <v>8233</v>
      </c>
      <c r="F30" s="149">
        <f>SUM(C30:E30)</f>
        <v>24300</v>
      </c>
      <c r="G30" s="36" t="s">
        <v>327</v>
      </c>
    </row>
    <row r="31" spans="2:7" x14ac:dyDescent="0.2">
      <c r="B31" s="134" t="s">
        <v>316</v>
      </c>
      <c r="C31" s="68">
        <f t="shared" si="3"/>
        <v>5789</v>
      </c>
      <c r="D31" s="68">
        <f t="shared" si="3"/>
        <v>16038</v>
      </c>
      <c r="E31" s="68">
        <f t="shared" si="3"/>
        <v>3873</v>
      </c>
      <c r="F31" s="150">
        <f>SUM(C31:E31)</f>
        <v>25700</v>
      </c>
    </row>
    <row r="32" spans="2:7" x14ac:dyDescent="0.2">
      <c r="B32" s="136" t="s">
        <v>10</v>
      </c>
      <c r="C32" s="151">
        <f>SUM(C30:C31)</f>
        <v>13549</v>
      </c>
      <c r="D32" s="152">
        <f t="shared" ref="D32" si="4">SUM(D30:D31)</f>
        <v>24345</v>
      </c>
      <c r="E32" s="152">
        <f t="shared" ref="E32" si="5">SUM(E30:E31)</f>
        <v>12106</v>
      </c>
      <c r="F32" s="153">
        <f t="shared" ref="F32" si="6">SUM(F30:F31)</f>
        <v>50000</v>
      </c>
    </row>
    <row r="33" spans="3:24" x14ac:dyDescent="0.2">
      <c r="C33" s="36" t="s">
        <v>326</v>
      </c>
    </row>
    <row r="35" spans="3:24" x14ac:dyDescent="0.2">
      <c r="T35" s="36" t="s">
        <v>344</v>
      </c>
      <c r="U35" s="36" t="s">
        <v>345</v>
      </c>
      <c r="V35" s="36" t="s">
        <v>348</v>
      </c>
      <c r="W35" s="36" t="s">
        <v>349</v>
      </c>
      <c r="X35" s="36" t="s">
        <v>350</v>
      </c>
    </row>
    <row r="36" spans="3:24" x14ac:dyDescent="0.2">
      <c r="P36" s="70" t="s">
        <v>314</v>
      </c>
      <c r="Q36" s="161" t="s">
        <v>340</v>
      </c>
      <c r="R36" s="70" t="s">
        <v>339</v>
      </c>
      <c r="S36" s="70" t="s">
        <v>338</v>
      </c>
      <c r="T36" s="70" t="s">
        <v>341</v>
      </c>
      <c r="U36" s="70" t="s">
        <v>346</v>
      </c>
      <c r="V36" s="70" t="s">
        <v>347</v>
      </c>
      <c r="W36" s="70" t="s">
        <v>325</v>
      </c>
      <c r="X36" s="70" t="s">
        <v>333</v>
      </c>
    </row>
    <row r="37" spans="3:24" x14ac:dyDescent="0.2">
      <c r="P37" s="71" t="s">
        <v>38</v>
      </c>
      <c r="Q37" s="165">
        <v>110</v>
      </c>
      <c r="R37" s="165">
        <v>575000</v>
      </c>
      <c r="S37" s="165">
        <v>330000</v>
      </c>
      <c r="T37" s="94">
        <f>S37/R37</f>
        <v>0.57391304347826089</v>
      </c>
      <c r="U37" s="43">
        <f>T37/$T$41</f>
        <v>0.88104664402173916</v>
      </c>
      <c r="V37" s="43">
        <f>Q37/$Q$37</f>
        <v>1</v>
      </c>
      <c r="W37" s="43">
        <f>U37*V37</f>
        <v>0.88104664402173916</v>
      </c>
      <c r="X37" s="164">
        <f>W37/$W$37</f>
        <v>1</v>
      </c>
    </row>
    <row r="38" spans="3:24" x14ac:dyDescent="0.2">
      <c r="P38" s="71" t="s">
        <v>39</v>
      </c>
      <c r="Q38" s="165">
        <v>55</v>
      </c>
      <c r="R38" s="165">
        <v>716667</v>
      </c>
      <c r="S38" s="165">
        <v>525000</v>
      </c>
      <c r="T38" s="94">
        <f t="shared" ref="T38:T41" si="7">S38/R38</f>
        <v>0.73255779881032612</v>
      </c>
      <c r="U38" s="43">
        <f t="shared" ref="U38:U40" si="8">T38/$T$41</f>
        <v>1.1245912556406952</v>
      </c>
      <c r="V38" s="43">
        <f t="shared" ref="V38:V40" si="9">Q38/$Q$37</f>
        <v>0.5</v>
      </c>
      <c r="W38" s="43">
        <f t="shared" ref="W38:W40" si="10">U38*V38</f>
        <v>0.56229562782034759</v>
      </c>
      <c r="X38" s="164">
        <f t="shared" ref="X38:X40" si="11">W38/$W$37</f>
        <v>0.63821323381202666</v>
      </c>
    </row>
    <row r="39" spans="3:24" x14ac:dyDescent="0.2">
      <c r="P39" s="71" t="s">
        <v>336</v>
      </c>
      <c r="Q39" s="165">
        <v>100</v>
      </c>
      <c r="R39" s="165">
        <v>416667</v>
      </c>
      <c r="S39" s="165">
        <v>290000</v>
      </c>
      <c r="T39" s="94">
        <f t="shared" si="7"/>
        <v>0.69599944320044549</v>
      </c>
      <c r="U39" s="43">
        <f t="shared" si="8"/>
        <v>1.068468438975249</v>
      </c>
      <c r="V39" s="43">
        <f t="shared" si="9"/>
        <v>0.90909090909090906</v>
      </c>
      <c r="W39" s="43">
        <f t="shared" si="10"/>
        <v>0.97133494452295366</v>
      </c>
      <c r="X39" s="164">
        <f t="shared" si="11"/>
        <v>1.10247845686021</v>
      </c>
    </row>
    <row r="40" spans="3:24" x14ac:dyDescent="0.2">
      <c r="P40" s="131" t="s">
        <v>337</v>
      </c>
      <c r="Q40" s="166">
        <v>160</v>
      </c>
      <c r="R40" s="166">
        <v>256667</v>
      </c>
      <c r="S40" s="166">
        <v>135000</v>
      </c>
      <c r="T40" s="163">
        <f t="shared" si="7"/>
        <v>0.52597334289176245</v>
      </c>
      <c r="U40" s="157">
        <f t="shared" si="8"/>
        <v>0.80745167559035635</v>
      </c>
      <c r="V40" s="157">
        <f t="shared" si="9"/>
        <v>1.4545454545454546</v>
      </c>
      <c r="W40" s="157">
        <f t="shared" si="10"/>
        <v>1.1744751644950637</v>
      </c>
      <c r="X40" s="160">
        <f t="shared" si="11"/>
        <v>1.3330453869433097</v>
      </c>
    </row>
    <row r="41" spans="3:24" x14ac:dyDescent="0.2">
      <c r="P41" s="162" t="s">
        <v>10</v>
      </c>
      <c r="Q41" s="22"/>
      <c r="R41" s="155">
        <f>SUM(R37:R40)</f>
        <v>1965001</v>
      </c>
      <c r="S41" s="155">
        <f>SUM(S37:S40)</f>
        <v>1280000</v>
      </c>
      <c r="T41" s="94">
        <f t="shared" si="7"/>
        <v>0.65139915959330297</v>
      </c>
      <c r="U41" s="43">
        <f>T41/$T$41</f>
        <v>1</v>
      </c>
      <c r="V41" s="43"/>
      <c r="W41" s="43"/>
    </row>
    <row r="42" spans="3:24" x14ac:dyDescent="0.2">
      <c r="R42" s="36" t="s">
        <v>342</v>
      </c>
      <c r="S42" s="36" t="s">
        <v>343</v>
      </c>
    </row>
  </sheetData>
  <mergeCells count="7">
    <mergeCell ref="I2:K2"/>
    <mergeCell ref="J3:K3"/>
    <mergeCell ref="F4:F5"/>
    <mergeCell ref="C28:E28"/>
    <mergeCell ref="F28:F29"/>
    <mergeCell ref="I11:J11"/>
    <mergeCell ref="C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825C0-165C-2E40-9F26-17C3BD9140D6}">
  <sheetPr codeName="Sheet9"/>
  <dimension ref="B2:AE46"/>
  <sheetViews>
    <sheetView topLeftCell="N10" workbookViewId="0">
      <selection activeCell="AE46" sqref="AE46"/>
    </sheetView>
  </sheetViews>
  <sheetFormatPr baseColWidth="10" defaultRowHeight="16" x14ac:dyDescent="0.2"/>
  <cols>
    <col min="2" max="2" width="22.83203125" bestFit="1" customWidth="1"/>
    <col min="3" max="3" width="12.6640625" bestFit="1" customWidth="1"/>
    <col min="4" max="4" width="24.33203125" bestFit="1" customWidth="1"/>
    <col min="5" max="5" width="11.5" bestFit="1" customWidth="1"/>
    <col min="6" max="6" width="15.5" bestFit="1" customWidth="1"/>
    <col min="8" max="8" width="23.83203125" bestFit="1" customWidth="1"/>
    <col min="9" max="9" width="21.1640625" bestFit="1" customWidth="1"/>
    <col min="10" max="10" width="38.33203125" bestFit="1" customWidth="1"/>
    <col min="11" max="11" width="34" bestFit="1" customWidth="1"/>
    <col min="12" max="12" width="10.33203125" bestFit="1" customWidth="1"/>
    <col min="15" max="15" width="33" bestFit="1" customWidth="1"/>
    <col min="16" max="16" width="29" bestFit="1" customWidth="1"/>
    <col min="17" max="18" width="29.1640625" customWidth="1"/>
    <col min="19" max="19" width="18.33203125" bestFit="1" customWidth="1"/>
    <col min="20" max="20" width="29" bestFit="1" customWidth="1"/>
    <col min="21" max="21" width="24.6640625" bestFit="1" customWidth="1"/>
    <col min="22" max="22" width="26.83203125" bestFit="1" customWidth="1"/>
    <col min="23" max="23" width="23.33203125" bestFit="1" customWidth="1"/>
    <col min="24" max="24" width="41.6640625" bestFit="1" customWidth="1"/>
    <col min="25" max="25" width="10.5" bestFit="1" customWidth="1"/>
  </cols>
  <sheetData>
    <row r="2" spans="2:12" x14ac:dyDescent="0.2">
      <c r="G2" s="36" t="s">
        <v>359</v>
      </c>
      <c r="H2" s="36" t="s">
        <v>360</v>
      </c>
      <c r="I2" s="36" t="s">
        <v>361</v>
      </c>
      <c r="J2" s="36" t="s">
        <v>362</v>
      </c>
      <c r="K2" s="36" t="s">
        <v>363</v>
      </c>
      <c r="L2" s="36" t="s">
        <v>364</v>
      </c>
    </row>
    <row r="3" spans="2:12" x14ac:dyDescent="0.2">
      <c r="B3" s="70" t="s">
        <v>314</v>
      </c>
      <c r="C3" s="70" t="s">
        <v>335</v>
      </c>
      <c r="D3" s="70" t="s">
        <v>351</v>
      </c>
      <c r="E3" s="15" t="s">
        <v>352</v>
      </c>
      <c r="F3" s="15" t="s">
        <v>318</v>
      </c>
      <c r="G3" s="70" t="s">
        <v>341</v>
      </c>
      <c r="H3" s="70" t="s">
        <v>346</v>
      </c>
      <c r="I3" s="70" t="s">
        <v>353</v>
      </c>
      <c r="J3" s="15" t="s">
        <v>356</v>
      </c>
      <c r="K3" s="15" t="s">
        <v>357</v>
      </c>
      <c r="L3" s="70" t="s">
        <v>358</v>
      </c>
    </row>
    <row r="4" spans="2:12" x14ac:dyDescent="0.2">
      <c r="B4" s="71">
        <v>1</v>
      </c>
      <c r="C4" s="72">
        <v>520000</v>
      </c>
      <c r="D4" s="72">
        <v>420000</v>
      </c>
      <c r="E4" s="71">
        <v>600</v>
      </c>
      <c r="F4" s="71">
        <v>0.6</v>
      </c>
      <c r="G4" s="94">
        <f>D4/C4</f>
        <v>0.80769230769230771</v>
      </c>
      <c r="H4" s="43">
        <f>G4/$G$7</f>
        <v>1.0543766578249336</v>
      </c>
      <c r="I4" s="43">
        <f>MIN(1,SQRT(E4/$C$9))</f>
        <v>0.74466680511954475</v>
      </c>
      <c r="J4" s="43">
        <f>I4*H4+(1-I4)*$C$10</f>
        <v>1.040492492055572</v>
      </c>
      <c r="K4" s="43">
        <f>F4*J4</f>
        <v>0.62429549523334316</v>
      </c>
      <c r="L4" s="164">
        <f>K4/$K$5</f>
        <v>0.64274637190756034</v>
      </c>
    </row>
    <row r="5" spans="2:12" x14ac:dyDescent="0.2">
      <c r="B5" s="71">
        <v>2</v>
      </c>
      <c r="C5" s="72">
        <v>1680000</v>
      </c>
      <c r="D5" s="72">
        <v>1250000</v>
      </c>
      <c r="E5" s="100">
        <v>1320</v>
      </c>
      <c r="F5" s="71">
        <v>1</v>
      </c>
      <c r="G5" s="94">
        <f t="shared" ref="G5:G7" si="0">D5/C5</f>
        <v>0.74404761904761907</v>
      </c>
      <c r="H5" s="43">
        <f t="shared" ref="H5:H7" si="1">G5/$G$7</f>
        <v>0.97129368988974896</v>
      </c>
      <c r="I5" s="43">
        <f>MIN(1,SQRT(E5/$C$9))</f>
        <v>1</v>
      </c>
      <c r="J5" s="43">
        <f>I5*H5+(1-I5)*$C$10</f>
        <v>0.97129368988974896</v>
      </c>
      <c r="K5" s="43">
        <f>F5*J5</f>
        <v>0.97129368988974896</v>
      </c>
      <c r="L5" s="164">
        <f t="shared" ref="L5:L6" si="2">K5/$K$5</f>
        <v>1</v>
      </c>
    </row>
    <row r="6" spans="2:12" x14ac:dyDescent="0.2">
      <c r="B6" s="131">
        <v>3</v>
      </c>
      <c r="C6" s="167">
        <v>450000</v>
      </c>
      <c r="D6" s="167">
        <v>360000</v>
      </c>
      <c r="E6" s="131">
        <v>390</v>
      </c>
      <c r="F6" s="131">
        <v>0.52</v>
      </c>
      <c r="G6" s="163">
        <f t="shared" si="0"/>
        <v>0.8</v>
      </c>
      <c r="H6" s="157">
        <f t="shared" si="1"/>
        <v>1.0443349753694582</v>
      </c>
      <c r="I6" s="157">
        <f>MIN(1,SQRT(E6/$C$9))</f>
        <v>0.60036957194757756</v>
      </c>
      <c r="J6" s="157">
        <f>I6*H6+(1-I6)*$C$10</f>
        <v>1.026617370184868</v>
      </c>
      <c r="K6" s="157">
        <f>F6*J6</f>
        <v>0.53384103249613135</v>
      </c>
      <c r="L6" s="160">
        <f t="shared" si="2"/>
        <v>0.54961855312446983</v>
      </c>
    </row>
    <row r="7" spans="2:12" x14ac:dyDescent="0.2">
      <c r="B7" s="70" t="s">
        <v>10</v>
      </c>
      <c r="C7" s="170">
        <v>2650000</v>
      </c>
      <c r="D7" s="170">
        <v>2030000</v>
      </c>
      <c r="E7" s="171">
        <v>2310</v>
      </c>
      <c r="G7" s="94">
        <f t="shared" si="0"/>
        <v>0.76603773584905666</v>
      </c>
      <c r="H7" s="43">
        <f t="shared" si="1"/>
        <v>1</v>
      </c>
    </row>
    <row r="9" spans="2:12" x14ac:dyDescent="0.2">
      <c r="B9" s="15" t="s">
        <v>354</v>
      </c>
      <c r="C9" s="168">
        <v>1082</v>
      </c>
    </row>
    <row r="10" spans="2:12" x14ac:dyDescent="0.2">
      <c r="B10" s="15" t="s">
        <v>355</v>
      </c>
      <c r="C10" s="169">
        <v>1</v>
      </c>
      <c r="I10">
        <f>H4*F4</f>
        <v>0.63262599469496017</v>
      </c>
      <c r="J10">
        <f>I4*I10+(1-I4)*C10</f>
        <v>0.72642877318552523</v>
      </c>
      <c r="K10">
        <f>J10/$J$11</f>
        <v>0.7478981699839744</v>
      </c>
    </row>
    <row r="11" spans="2:12" x14ac:dyDescent="0.2">
      <c r="I11">
        <f t="shared" ref="I11:I12" si="3">H5*F5</f>
        <v>0.97129368988974896</v>
      </c>
      <c r="J11">
        <f t="shared" ref="J11:J12" si="4">I5*I11+(1-I5)*C11</f>
        <v>0.97129368988974896</v>
      </c>
      <c r="K11">
        <f>J11/$J$11</f>
        <v>1</v>
      </c>
    </row>
    <row r="12" spans="2:12" x14ac:dyDescent="0.2">
      <c r="I12">
        <f t="shared" si="3"/>
        <v>0.54305418719211829</v>
      </c>
      <c r="J12">
        <f t="shared" si="4"/>
        <v>0.32603320990887169</v>
      </c>
      <c r="K12">
        <f>J12/$J$11</f>
        <v>0.33566902915417846</v>
      </c>
    </row>
    <row r="17" spans="15:25" x14ac:dyDescent="0.2">
      <c r="O17" s="70"/>
      <c r="Q17" s="70"/>
      <c r="R17" s="154" t="s">
        <v>380</v>
      </c>
      <c r="S17" s="70"/>
      <c r="T17" s="36" t="s">
        <v>370</v>
      </c>
      <c r="U17" s="36" t="s">
        <v>379</v>
      </c>
      <c r="V17" s="36" t="s">
        <v>371</v>
      </c>
      <c r="W17" s="36" t="s">
        <v>372</v>
      </c>
      <c r="X17" s="36" t="s">
        <v>373</v>
      </c>
      <c r="Y17" s="36" t="s">
        <v>374</v>
      </c>
    </row>
    <row r="18" spans="15:25" ht="54" customHeight="1" x14ac:dyDescent="0.2">
      <c r="O18" s="70" t="s">
        <v>314</v>
      </c>
      <c r="P18" s="70" t="s">
        <v>149</v>
      </c>
      <c r="Q18" s="174" t="s">
        <v>365</v>
      </c>
      <c r="R18" s="174" t="s">
        <v>378</v>
      </c>
      <c r="S18" s="70" t="s">
        <v>318</v>
      </c>
      <c r="T18" s="174" t="s">
        <v>375</v>
      </c>
      <c r="U18" s="70" t="s">
        <v>367</v>
      </c>
      <c r="V18" s="174" t="s">
        <v>376</v>
      </c>
      <c r="W18" s="70" t="s">
        <v>353</v>
      </c>
      <c r="X18" s="174" t="s">
        <v>377</v>
      </c>
      <c r="Y18" s="70" t="s">
        <v>358</v>
      </c>
    </row>
    <row r="19" spans="15:25" x14ac:dyDescent="0.2">
      <c r="O19" s="71" t="s">
        <v>38</v>
      </c>
      <c r="P19" s="100">
        <v>20000</v>
      </c>
      <c r="Q19" s="72">
        <v>500000</v>
      </c>
      <c r="R19" s="68">
        <f>Q19*(1+P25)^$P$31</f>
        <v>428687.49999999994</v>
      </c>
      <c r="S19" s="176">
        <v>1</v>
      </c>
      <c r="T19" s="43">
        <f>S19/$S$22</f>
        <v>0.91954022988505757</v>
      </c>
      <c r="U19" s="92">
        <f>R19/P19</f>
        <v>21.434374999999996</v>
      </c>
      <c r="V19" s="43">
        <f>U19/$U$22</f>
        <v>0.96721427060565435</v>
      </c>
      <c r="W19" s="43">
        <f>MIN(1, SQRT(P19/$P$30))</f>
        <v>1</v>
      </c>
      <c r="X19" s="43">
        <f>W19*V19+(1-W19)*T19</f>
        <v>0.96721427060565435</v>
      </c>
      <c r="Y19" s="43">
        <f>X19/$X$19</f>
        <v>1</v>
      </c>
    </row>
    <row r="20" spans="15:25" x14ac:dyDescent="0.2">
      <c r="O20" s="71" t="s">
        <v>39</v>
      </c>
      <c r="P20" s="100">
        <v>5000</v>
      </c>
      <c r="Q20" s="72">
        <v>125000</v>
      </c>
      <c r="R20" s="68">
        <f t="shared" ref="R20:R21" si="5">Q20*(1+P26)^$P$31</f>
        <v>125000</v>
      </c>
      <c r="S20" s="176">
        <v>0.95</v>
      </c>
      <c r="T20" s="43">
        <f t="shared" ref="T20:T22" si="6">S20/$S$22</f>
        <v>0.87356321839080464</v>
      </c>
      <c r="U20" s="92">
        <f t="shared" ref="U20:U21" si="7">R20/P20</f>
        <v>25</v>
      </c>
      <c r="V20" s="43">
        <f>U20/$U$22</f>
        <v>1.128111118945216</v>
      </c>
      <c r="W20" s="43">
        <f>MIN(1, SQRT(P20/$P$30))</f>
        <v>0.67267279399631252</v>
      </c>
      <c r="X20" s="43">
        <f t="shared" ref="X20:X21" si="8">W20*V20+(1-W20)*T20</f>
        <v>1.044790665862636</v>
      </c>
      <c r="Y20" s="43">
        <f t="shared" ref="Y20:Y21" si="9">X20/$X$19</f>
        <v>1.0802060077219544</v>
      </c>
    </row>
    <row r="21" spans="15:25" x14ac:dyDescent="0.2">
      <c r="O21" s="131" t="s">
        <v>336</v>
      </c>
      <c r="P21" s="117">
        <v>15000</v>
      </c>
      <c r="Q21" s="167">
        <v>250000</v>
      </c>
      <c r="R21" s="69">
        <f t="shared" si="5"/>
        <v>332750.00000000012</v>
      </c>
      <c r="S21" s="177">
        <v>1.25</v>
      </c>
      <c r="T21" s="157">
        <f t="shared" si="6"/>
        <v>1.149425287356322</v>
      </c>
      <c r="U21" s="175">
        <f t="shared" si="7"/>
        <v>22.183333333333341</v>
      </c>
      <c r="V21" s="157">
        <f t="shared" ref="V21:V22" si="10">U21/$U$22</f>
        <v>1.0010105995440552</v>
      </c>
      <c r="W21" s="157">
        <f>MIN(1, SQRT(P21/$P$30))</f>
        <v>1</v>
      </c>
      <c r="X21" s="157">
        <f t="shared" si="8"/>
        <v>1.0010105995440552</v>
      </c>
      <c r="Y21" s="157">
        <f t="shared" si="9"/>
        <v>1.0349419254507464</v>
      </c>
    </row>
    <row r="22" spans="15:25" x14ac:dyDescent="0.2">
      <c r="O22" s="71" t="s">
        <v>10</v>
      </c>
      <c r="P22" s="100">
        <v>40000</v>
      </c>
      <c r="Q22" s="72">
        <v>875000</v>
      </c>
      <c r="R22" s="68">
        <f>SUM(R19:R21)</f>
        <v>886437.50000000012</v>
      </c>
      <c r="S22" s="22">
        <f>SUMPRODUCT(S19:S21,P19:P21)/P22</f>
        <v>1.0874999999999999</v>
      </c>
      <c r="T22" s="43">
        <f t="shared" si="6"/>
        <v>1</v>
      </c>
      <c r="U22" s="92">
        <f>R22/P22</f>
        <v>22.160937500000003</v>
      </c>
      <c r="V22" s="43">
        <f t="shared" si="10"/>
        <v>1</v>
      </c>
      <c r="W22" s="43">
        <f>MIN(1, SQRT(P22/$P$30))</f>
        <v>1</v>
      </c>
      <c r="X22" s="22">
        <f>W22*V22+(1-W22)*T22</f>
        <v>1</v>
      </c>
      <c r="Y22" s="43">
        <f>X22/$X$19</f>
        <v>1.0338970695436656</v>
      </c>
    </row>
    <row r="23" spans="15:25" x14ac:dyDescent="0.2">
      <c r="R23" s="36" t="s">
        <v>381</v>
      </c>
      <c r="S23" s="36" t="s">
        <v>369</v>
      </c>
    </row>
    <row r="24" spans="15:25" x14ac:dyDescent="0.2">
      <c r="O24" s="70" t="s">
        <v>314</v>
      </c>
      <c r="P24" s="70" t="s">
        <v>366</v>
      </c>
    </row>
    <row r="25" spans="15:25" x14ac:dyDescent="0.2">
      <c r="O25" s="71" t="s">
        <v>38</v>
      </c>
      <c r="P25" s="81">
        <v>-0.05</v>
      </c>
    </row>
    <row r="26" spans="15:25" x14ac:dyDescent="0.2">
      <c r="O26" s="71" t="s">
        <v>39</v>
      </c>
      <c r="P26" s="81">
        <v>0</v>
      </c>
    </row>
    <row r="27" spans="15:25" x14ac:dyDescent="0.2">
      <c r="O27" s="131" t="s">
        <v>336</v>
      </c>
      <c r="P27" s="173">
        <v>0.1</v>
      </c>
      <c r="Q27" s="1"/>
    </row>
    <row r="28" spans="15:25" x14ac:dyDescent="0.2">
      <c r="O28" s="71" t="s">
        <v>10</v>
      </c>
      <c r="P28" s="81">
        <v>0</v>
      </c>
      <c r="S28" s="63"/>
    </row>
    <row r="30" spans="15:25" x14ac:dyDescent="0.2">
      <c r="O30" s="70" t="s">
        <v>368</v>
      </c>
      <c r="P30" s="172">
        <v>11050</v>
      </c>
    </row>
    <row r="31" spans="15:25" x14ac:dyDescent="0.2">
      <c r="O31" s="70" t="s">
        <v>235</v>
      </c>
      <c r="P31" s="178">
        <v>3</v>
      </c>
    </row>
    <row r="46" spans="31:31" x14ac:dyDescent="0.2">
      <c r="AE46" s="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9A799-393D-9B4C-A096-4CF8838C6329}">
  <sheetPr codeName="Sheet10"/>
  <dimension ref="B2:AH48"/>
  <sheetViews>
    <sheetView workbookViewId="0">
      <selection activeCell="AN53" sqref="AN53"/>
    </sheetView>
  </sheetViews>
  <sheetFormatPr baseColWidth="10" defaultRowHeight="16" x14ac:dyDescent="0.2"/>
  <cols>
    <col min="2" max="2" width="14.33203125" bestFit="1" customWidth="1"/>
    <col min="3" max="4" width="16.6640625" customWidth="1"/>
    <col min="5" max="6" width="17.5" customWidth="1"/>
    <col min="7" max="7" width="14" bestFit="1" customWidth="1"/>
    <col min="8" max="8" width="30.1640625" bestFit="1" customWidth="1"/>
    <col min="9" max="9" width="12.6640625" bestFit="1" customWidth="1"/>
    <col min="13" max="13" width="25.6640625" bestFit="1" customWidth="1"/>
    <col min="14" max="16" width="14.5" bestFit="1" customWidth="1"/>
    <col min="19" max="19" width="14.5" bestFit="1" customWidth="1"/>
    <col min="20" max="20" width="16" bestFit="1" customWidth="1"/>
    <col min="27" max="27" width="44.1640625" bestFit="1" customWidth="1"/>
    <col min="28" max="28" width="29.33203125" bestFit="1" customWidth="1"/>
    <col min="29" max="30" width="29.33203125" customWidth="1"/>
    <col min="32" max="32" width="17" bestFit="1" customWidth="1"/>
    <col min="33" max="33" width="13" bestFit="1" customWidth="1"/>
  </cols>
  <sheetData>
    <row r="2" spans="2:9" ht="16" customHeight="1" x14ac:dyDescent="0.2">
      <c r="B2" s="270" t="s">
        <v>177</v>
      </c>
      <c r="C2" s="270" t="s">
        <v>388</v>
      </c>
      <c r="D2" s="270" t="str">
        <f>"LAS("&amp;TEXT($C$17,"#,###")&amp;")"</f>
        <v>LAS(1,000,000)</v>
      </c>
      <c r="E2" s="270" t="str">
        <f>"LAS("&amp;TEXT($C$18,"#,###")&amp;")"</f>
        <v>LAS(5,000,000)</v>
      </c>
      <c r="F2" s="270" t="s">
        <v>394</v>
      </c>
    </row>
    <row r="3" spans="2:9" x14ac:dyDescent="0.2">
      <c r="B3" s="270"/>
      <c r="C3" s="270"/>
      <c r="D3" s="270"/>
      <c r="E3" s="270"/>
      <c r="F3" s="270"/>
      <c r="H3" s="36" t="s">
        <v>391</v>
      </c>
      <c r="I3" s="36" t="s">
        <v>392</v>
      </c>
    </row>
    <row r="4" spans="2:9" ht="16" customHeight="1" x14ac:dyDescent="0.2">
      <c r="B4" s="270"/>
      <c r="C4" s="270"/>
      <c r="D4" s="270"/>
      <c r="E4" s="270"/>
      <c r="F4" s="270"/>
      <c r="H4" s="184" t="str">
        <f>"LAS("&amp;TEXT(C17,"#,###")&amp;") = "</f>
        <v xml:space="preserve">LAS(1,000,000) = </v>
      </c>
      <c r="I4" s="182">
        <f>$D$15/COUNTA($B$5:$B$14)</f>
        <v>775000</v>
      </c>
    </row>
    <row r="5" spans="2:9" x14ac:dyDescent="0.2">
      <c r="B5" s="71" t="s">
        <v>38</v>
      </c>
      <c r="C5" s="180">
        <v>250000</v>
      </c>
      <c r="D5" s="182">
        <f>IF($C5&lt;$C$17,$C5,$C$17)</f>
        <v>250000</v>
      </c>
      <c r="E5" s="182">
        <f>IF($C5&lt;$C$18,$C5,$C$18)</f>
        <v>250000</v>
      </c>
      <c r="F5" s="182">
        <f>MAX(IF($C5&lt;$C$17,0,IF($C5&lt;$C$18,$C5,$C$18))-$C$17,0)</f>
        <v>0</v>
      </c>
      <c r="H5" s="184" t="str">
        <f>"LAS("&amp;TEXT(C18,"#,###")&amp;") = "</f>
        <v xml:space="preserve">LAS(5,000,000) = </v>
      </c>
      <c r="I5" s="182">
        <f>$E$15/COUNTA($B$5:$B$14)</f>
        <v>2445000</v>
      </c>
    </row>
    <row r="6" spans="2:9" x14ac:dyDescent="0.2">
      <c r="B6" s="71" t="s">
        <v>39</v>
      </c>
      <c r="C6" s="180">
        <v>300000</v>
      </c>
      <c r="D6" s="182">
        <f t="shared" ref="D6:D14" si="0">IF($C6&lt;$C$17,$C6,$C$17)</f>
        <v>300000</v>
      </c>
      <c r="E6" s="182">
        <f t="shared" ref="E6:E14" si="1">IF($C6&lt;$C$18,$C6,$C$18)</f>
        <v>300000</v>
      </c>
      <c r="F6" s="182">
        <f t="shared" ref="F6:F14" si="2">MAX(IF($C6&lt;$C$17,0,IF($C6&lt;$C$18,$C6,$C$18))-$C$17,0)</f>
        <v>0</v>
      </c>
    </row>
    <row r="7" spans="2:9" x14ac:dyDescent="0.2">
      <c r="B7" s="71" t="s">
        <v>336</v>
      </c>
      <c r="C7" s="180">
        <v>450000</v>
      </c>
      <c r="D7" s="182">
        <f t="shared" si="0"/>
        <v>450000</v>
      </c>
      <c r="E7" s="182">
        <f t="shared" si="1"/>
        <v>450000</v>
      </c>
      <c r="F7" s="182">
        <f t="shared" si="2"/>
        <v>0</v>
      </c>
      <c r="H7" s="184"/>
      <c r="I7" s="36" t="s">
        <v>393</v>
      </c>
    </row>
    <row r="8" spans="2:9" x14ac:dyDescent="0.2">
      <c r="B8" s="71" t="s">
        <v>337</v>
      </c>
      <c r="C8" s="180">
        <v>750000</v>
      </c>
      <c r="D8" s="182">
        <f t="shared" si="0"/>
        <v>750000</v>
      </c>
      <c r="E8" s="182">
        <f t="shared" si="1"/>
        <v>750000</v>
      </c>
      <c r="F8" s="182">
        <f t="shared" si="2"/>
        <v>0</v>
      </c>
      <c r="H8" s="184" t="str">
        <f>"ILF("&amp;TEXT(C18,"#,###")&amp;") = "</f>
        <v xml:space="preserve">ILF(5,000,000) = </v>
      </c>
      <c r="I8" s="185">
        <f>I5/I4</f>
        <v>3.1548387096774193</v>
      </c>
    </row>
    <row r="9" spans="2:9" x14ac:dyDescent="0.2">
      <c r="B9" s="71" t="s">
        <v>382</v>
      </c>
      <c r="C9" s="180">
        <v>1200000</v>
      </c>
      <c r="D9" s="182">
        <f t="shared" si="0"/>
        <v>1000000</v>
      </c>
      <c r="E9" s="182">
        <f t="shared" si="1"/>
        <v>1200000</v>
      </c>
      <c r="F9" s="182">
        <f t="shared" si="2"/>
        <v>200000</v>
      </c>
    </row>
    <row r="10" spans="2:9" x14ac:dyDescent="0.2">
      <c r="B10" s="71" t="s">
        <v>383</v>
      </c>
      <c r="C10" s="180">
        <v>2500000</v>
      </c>
      <c r="D10" s="182">
        <f t="shared" si="0"/>
        <v>1000000</v>
      </c>
      <c r="E10" s="182">
        <f t="shared" si="1"/>
        <v>2500000</v>
      </c>
      <c r="F10" s="182">
        <f t="shared" si="2"/>
        <v>1500000</v>
      </c>
      <c r="H10" s="36" t="s">
        <v>394</v>
      </c>
      <c r="I10" s="36" t="s">
        <v>395</v>
      </c>
    </row>
    <row r="11" spans="2:9" x14ac:dyDescent="0.2">
      <c r="B11" s="71" t="s">
        <v>384</v>
      </c>
      <c r="C11" s="180">
        <v>4000000</v>
      </c>
      <c r="D11" s="182">
        <f t="shared" si="0"/>
        <v>1000000</v>
      </c>
      <c r="E11" s="182">
        <f t="shared" si="1"/>
        <v>4000000</v>
      </c>
      <c r="F11" s="182">
        <f t="shared" si="2"/>
        <v>3000000</v>
      </c>
      <c r="H11" s="184" t="str">
        <f>"LAS("&amp;TEXT($C$18-$C$17,"#,###")&amp;" xs "&amp;TEXT($C$17,"#,###")&amp;") ="</f>
        <v>LAS(4,000,000 xs 1,000,000) =</v>
      </c>
      <c r="I11" s="186">
        <f>$F$15/COUNTIF($B$9:$B$14,"&lt;&gt;0")</f>
        <v>2783333.3333333335</v>
      </c>
    </row>
    <row r="12" spans="2:9" x14ac:dyDescent="0.2">
      <c r="B12" s="71" t="s">
        <v>385</v>
      </c>
      <c r="C12" s="180">
        <v>7500000</v>
      </c>
      <c r="D12" s="182">
        <f t="shared" si="0"/>
        <v>1000000</v>
      </c>
      <c r="E12" s="182">
        <f t="shared" si="1"/>
        <v>5000000</v>
      </c>
      <c r="F12" s="182">
        <f t="shared" si="2"/>
        <v>4000000</v>
      </c>
    </row>
    <row r="13" spans="2:9" x14ac:dyDescent="0.2">
      <c r="B13" s="71" t="s">
        <v>386</v>
      </c>
      <c r="C13" s="180">
        <v>9000000</v>
      </c>
      <c r="D13" s="182">
        <f t="shared" si="0"/>
        <v>1000000</v>
      </c>
      <c r="E13" s="182">
        <f t="shared" si="1"/>
        <v>5000000</v>
      </c>
      <c r="F13" s="182">
        <f t="shared" si="2"/>
        <v>4000000</v>
      </c>
      <c r="I13" t="s">
        <v>396</v>
      </c>
    </row>
    <row r="14" spans="2:9" ht="17" thickBot="1" x14ac:dyDescent="0.25">
      <c r="B14" s="76" t="s">
        <v>387</v>
      </c>
      <c r="C14" s="181">
        <v>15000000</v>
      </c>
      <c r="D14" s="183">
        <f t="shared" si="0"/>
        <v>1000000</v>
      </c>
      <c r="E14" s="183">
        <f t="shared" si="1"/>
        <v>5000000</v>
      </c>
      <c r="F14" s="183">
        <f t="shared" si="2"/>
        <v>4000000</v>
      </c>
    </row>
    <row r="15" spans="2:9" ht="17" thickTop="1" x14ac:dyDescent="0.2">
      <c r="B15" s="71" t="s">
        <v>10</v>
      </c>
      <c r="C15" s="180">
        <f>SUM(C5:C14)</f>
        <v>40950000</v>
      </c>
      <c r="D15" s="182">
        <f>SUM(D5:D14)</f>
        <v>7750000</v>
      </c>
      <c r="E15" s="182">
        <f>SUM(E5:E14)</f>
        <v>24450000</v>
      </c>
      <c r="F15" s="182">
        <f>SUM(F5:F14)</f>
        <v>16700000</v>
      </c>
      <c r="I15" s="36" t="s">
        <v>398</v>
      </c>
    </row>
    <row r="16" spans="2:9" x14ac:dyDescent="0.2">
      <c r="H16" s="184" t="s">
        <v>397</v>
      </c>
      <c r="I16" s="186">
        <f>(I5-I4)/(COUNTIF(F5:F14,"&lt;&gt;0")/COUNTA(F5:F14))</f>
        <v>2783333.3333333335</v>
      </c>
    </row>
    <row r="17" spans="2:32" x14ac:dyDescent="0.2">
      <c r="B17" s="71" t="s">
        <v>389</v>
      </c>
      <c r="C17" s="180">
        <v>1000000</v>
      </c>
    </row>
    <row r="18" spans="2:32" x14ac:dyDescent="0.2">
      <c r="B18" s="71" t="s">
        <v>390</v>
      </c>
      <c r="C18" s="180">
        <v>5000000</v>
      </c>
      <c r="M18" t="s">
        <v>404</v>
      </c>
      <c r="S18" s="36" t="s">
        <v>408</v>
      </c>
    </row>
    <row r="19" spans="2:32" x14ac:dyDescent="0.2">
      <c r="M19" s="263" t="s">
        <v>399</v>
      </c>
      <c r="N19" s="265" t="s">
        <v>400</v>
      </c>
      <c r="O19" s="266"/>
      <c r="P19" s="267"/>
      <c r="S19" s="22" t="str">
        <f>"LAS("&amp;TEXT(N20,"$#,###")&amp;") = "</f>
        <v xml:space="preserve">LAS($100,000) = </v>
      </c>
      <c r="T19" s="92">
        <f>(SUM(N21:P21)+SUM(N20*SUM(O30:P31)))/SUM(N32:P32)</f>
        <v>76726.030739204682</v>
      </c>
      <c r="U19" s="36" t="s">
        <v>406</v>
      </c>
    </row>
    <row r="20" spans="2:32" x14ac:dyDescent="0.2">
      <c r="M20" s="264"/>
      <c r="N20" s="187">
        <v>100000</v>
      </c>
      <c r="O20" s="187">
        <v>300000</v>
      </c>
      <c r="P20" s="188">
        <v>500000</v>
      </c>
      <c r="S20" s="22"/>
      <c r="T20" s="22"/>
      <c r="U20" s="93"/>
    </row>
    <row r="21" spans="2:32" x14ac:dyDescent="0.2">
      <c r="M21" s="148" t="s">
        <v>401</v>
      </c>
      <c r="N21" s="189">
        <v>97000000</v>
      </c>
      <c r="O21" s="189">
        <v>46000000</v>
      </c>
      <c r="P21" s="190">
        <v>11000000</v>
      </c>
      <c r="S21" s="22" t="str">
        <f>"LAS("&amp;TEXT(O20,"$#,###")&amp;") = "</f>
        <v xml:space="preserve">LAS($300,000) = </v>
      </c>
      <c r="T21" s="92">
        <f>T19+(SUM(O22:P22)+P31*O20-N20*SUM(O30:P31))/SUM(O32:P32)</f>
        <v>163266.01490389195</v>
      </c>
      <c r="U21" s="36" t="s">
        <v>409</v>
      </c>
    </row>
    <row r="22" spans="2:32" x14ac:dyDescent="0.2">
      <c r="M22" s="133" t="s">
        <v>402</v>
      </c>
      <c r="N22" s="71"/>
      <c r="O22" s="72">
        <v>150000000</v>
      </c>
      <c r="P22" s="142">
        <v>107000000</v>
      </c>
      <c r="S22" s="22"/>
      <c r="T22" s="22"/>
      <c r="U22" s="93"/>
    </row>
    <row r="23" spans="2:32" x14ac:dyDescent="0.2">
      <c r="M23" s="134" t="s">
        <v>403</v>
      </c>
      <c r="N23" s="131"/>
      <c r="O23" s="131"/>
      <c r="P23" s="143">
        <v>160000000</v>
      </c>
      <c r="S23" s="22" t="str">
        <f>"ILF("&amp;TEXT(O20,"$#,###")&amp;") = "</f>
        <v xml:space="preserve">ILF($300,000) = </v>
      </c>
      <c r="T23" s="164">
        <f>T21/T19</f>
        <v>2.1279090463944454</v>
      </c>
      <c r="U23" s="36" t="s">
        <v>407</v>
      </c>
    </row>
    <row r="24" spans="2:32" x14ac:dyDescent="0.2">
      <c r="M24" s="134" t="s">
        <v>10</v>
      </c>
      <c r="N24" s="167">
        <v>97000000</v>
      </c>
      <c r="O24" s="167">
        <v>196000000</v>
      </c>
      <c r="P24" s="143">
        <v>278000000</v>
      </c>
    </row>
    <row r="26" spans="2:32" x14ac:dyDescent="0.2">
      <c r="M26" t="s">
        <v>405</v>
      </c>
    </row>
    <row r="27" spans="2:32" x14ac:dyDescent="0.2">
      <c r="M27" s="268" t="s">
        <v>399</v>
      </c>
      <c r="N27" s="265" t="s">
        <v>400</v>
      </c>
      <c r="O27" s="266"/>
      <c r="P27" s="267"/>
    </row>
    <row r="28" spans="2:32" x14ac:dyDescent="0.2">
      <c r="M28" s="269"/>
      <c r="N28" s="191">
        <v>100000</v>
      </c>
      <c r="O28" s="187">
        <v>300000</v>
      </c>
      <c r="P28" s="188">
        <v>500000</v>
      </c>
    </row>
    <row r="29" spans="2:32" x14ac:dyDescent="0.2">
      <c r="M29" s="148" t="s">
        <v>401</v>
      </c>
      <c r="N29" s="179">
        <v>1573</v>
      </c>
      <c r="O29" s="135">
        <v>753</v>
      </c>
      <c r="P29" s="192">
        <v>168</v>
      </c>
    </row>
    <row r="30" spans="2:32" x14ac:dyDescent="0.2">
      <c r="M30" s="133" t="s">
        <v>402</v>
      </c>
      <c r="N30" s="114"/>
      <c r="O30" s="71">
        <v>637</v>
      </c>
      <c r="P30" s="130">
        <v>561</v>
      </c>
    </row>
    <row r="31" spans="2:32" x14ac:dyDescent="0.2">
      <c r="M31" s="134" t="s">
        <v>403</v>
      </c>
      <c r="N31" s="116"/>
      <c r="O31" s="131"/>
      <c r="P31" s="132">
        <v>407</v>
      </c>
    </row>
    <row r="32" spans="2:32" x14ac:dyDescent="0.2">
      <c r="M32" s="116" t="s">
        <v>10</v>
      </c>
      <c r="N32" s="193">
        <v>1573</v>
      </c>
      <c r="O32" s="194">
        <v>1390</v>
      </c>
      <c r="P32" s="195">
        <v>1136</v>
      </c>
      <c r="AF32" s="36" t="s">
        <v>420</v>
      </c>
    </row>
    <row r="33" spans="27:34" x14ac:dyDescent="0.2">
      <c r="AA33" s="70" t="s">
        <v>177</v>
      </c>
      <c r="AB33" s="70" t="s">
        <v>410</v>
      </c>
      <c r="AC33" s="70" t="str">
        <f>"LAS("&amp;TEXT($AB$42,"$#,###")&amp;")"</f>
        <v>LAS($1,000,000)</v>
      </c>
      <c r="AD33" s="70" t="str">
        <f>"LAS("&amp;TEXT($AB$48,"$#,###")&amp;")"</f>
        <v>LAS($5,000,000)</v>
      </c>
      <c r="AF33" s="22" t="str">
        <f>"LAS("&amp;TEXT($AB$42,"$#,###")&amp;") = "</f>
        <v xml:space="preserve">LAS($1,000,000) = </v>
      </c>
      <c r="AG33" s="199">
        <f>AC40/COUNT(AC34:AC39)</f>
        <v>775000</v>
      </c>
      <c r="AH33" s="36" t="s">
        <v>421</v>
      </c>
    </row>
    <row r="34" spans="27:34" x14ac:dyDescent="0.2">
      <c r="AA34" s="71">
        <v>1</v>
      </c>
      <c r="AB34" s="72">
        <v>300000</v>
      </c>
      <c r="AC34" s="68">
        <f>MIN(AB34,$AB$42)</f>
        <v>300000</v>
      </c>
      <c r="AD34" s="68">
        <f>MIN(AB34,$AB$48)</f>
        <v>300000</v>
      </c>
      <c r="AF34" t="s">
        <v>417</v>
      </c>
      <c r="AG34" s="155">
        <f>AG33*(1+AB43)</f>
        <v>852500.00000000012</v>
      </c>
      <c r="AH34" s="36" t="s">
        <v>422</v>
      </c>
    </row>
    <row r="35" spans="27:34" x14ac:dyDescent="0.2">
      <c r="AA35" s="71">
        <v>2</v>
      </c>
      <c r="AB35" s="72">
        <v>600000</v>
      </c>
      <c r="AC35" s="68">
        <f t="shared" ref="AC35:AC39" si="3">MIN(AB35,$AB$42)</f>
        <v>600000</v>
      </c>
      <c r="AD35" s="68">
        <f t="shared" ref="AD35:AD39" si="4">MIN(AB35,$AB$48)</f>
        <v>600000</v>
      </c>
      <c r="AF35" t="s">
        <v>419</v>
      </c>
      <c r="AG35" s="155">
        <f>AG34*AB45</f>
        <v>127875.00000000001</v>
      </c>
      <c r="AH35" s="36" t="s">
        <v>423</v>
      </c>
    </row>
    <row r="36" spans="27:34" x14ac:dyDescent="0.2">
      <c r="AA36" s="71">
        <v>3</v>
      </c>
      <c r="AB36" s="72">
        <v>750000</v>
      </c>
      <c r="AC36" s="68">
        <f t="shared" si="3"/>
        <v>750000</v>
      </c>
      <c r="AD36" s="68">
        <f t="shared" si="4"/>
        <v>750000</v>
      </c>
      <c r="AH36" s="93"/>
    </row>
    <row r="37" spans="27:34" x14ac:dyDescent="0.2">
      <c r="AA37" s="71">
        <v>4</v>
      </c>
      <c r="AB37" s="72">
        <v>1250000</v>
      </c>
      <c r="AC37" s="68">
        <f t="shared" si="3"/>
        <v>1000000</v>
      </c>
      <c r="AD37" s="68">
        <f t="shared" si="4"/>
        <v>1250000</v>
      </c>
      <c r="AF37" s="22" t="str">
        <f>"LAS("&amp;TEXT($AB$48,"$#,###")&amp;") = "</f>
        <v xml:space="preserve">LAS($5,000,000) = </v>
      </c>
      <c r="AG37" s="199">
        <f>AD40/COUNT(AD34:AD39)</f>
        <v>2066666.6666666667</v>
      </c>
      <c r="AH37" s="36" t="s">
        <v>424</v>
      </c>
    </row>
    <row r="38" spans="27:34" x14ac:dyDescent="0.2">
      <c r="AA38" s="71">
        <v>5</v>
      </c>
      <c r="AB38" s="72">
        <v>4500000</v>
      </c>
      <c r="AC38" s="68">
        <f t="shared" si="3"/>
        <v>1000000</v>
      </c>
      <c r="AD38" s="68">
        <f t="shared" si="4"/>
        <v>4500000</v>
      </c>
      <c r="AF38" t="s">
        <v>417</v>
      </c>
      <c r="AG38" s="155">
        <f>AG37*(1+AB44)</f>
        <v>2480000</v>
      </c>
      <c r="AH38" s="36" t="s">
        <v>425</v>
      </c>
    </row>
    <row r="39" spans="27:34" ht="17" thickBot="1" x14ac:dyDescent="0.25">
      <c r="AA39" s="76">
        <v>6</v>
      </c>
      <c r="AB39" s="197">
        <v>10000000</v>
      </c>
      <c r="AC39" s="198">
        <f t="shared" si="3"/>
        <v>1000000</v>
      </c>
      <c r="AD39" s="198">
        <f t="shared" si="4"/>
        <v>5000000</v>
      </c>
      <c r="AF39" t="s">
        <v>419</v>
      </c>
      <c r="AG39" s="155">
        <f>AG38*AB46</f>
        <v>248000</v>
      </c>
      <c r="AH39" s="36" t="s">
        <v>426</v>
      </c>
    </row>
    <row r="40" spans="27:34" ht="17" thickTop="1" x14ac:dyDescent="0.2">
      <c r="AA40" s="71" t="s">
        <v>10</v>
      </c>
      <c r="AB40" s="68">
        <f>SUM(AB34:AB39)</f>
        <v>17400000</v>
      </c>
      <c r="AC40" s="68">
        <f>SUM(AC34:AC39)</f>
        <v>4650000</v>
      </c>
      <c r="AD40" s="68">
        <f>SUM(AD34:AD39)</f>
        <v>12400000</v>
      </c>
      <c r="AH40" s="93"/>
    </row>
    <row r="41" spans="27:34" x14ac:dyDescent="0.2">
      <c r="AF41" s="22" t="str">
        <f>"ILF("&amp;TEXT($AB$48,"$#,###")&amp;") = "</f>
        <v xml:space="preserve">ILF($5,000,000) = </v>
      </c>
      <c r="AG41" s="164">
        <f>AG39/AG35</f>
        <v>1.9393939393939392</v>
      </c>
      <c r="AH41" s="36" t="s">
        <v>427</v>
      </c>
    </row>
    <row r="42" spans="27:34" x14ac:dyDescent="0.2">
      <c r="AA42" s="56" t="s">
        <v>412</v>
      </c>
      <c r="AB42" s="72">
        <v>1000000</v>
      </c>
      <c r="AC42" s="72"/>
      <c r="AD42" s="72"/>
    </row>
    <row r="43" spans="27:34" x14ac:dyDescent="0.2">
      <c r="AA43" s="56" t="s">
        <v>413</v>
      </c>
      <c r="AB43" s="110">
        <v>0.1</v>
      </c>
      <c r="AC43" s="110"/>
      <c r="AD43" s="110"/>
    </row>
    <row r="44" spans="27:34" x14ac:dyDescent="0.2">
      <c r="AA44" s="56" t="s">
        <v>414</v>
      </c>
      <c r="AB44" s="110">
        <v>0.2</v>
      </c>
      <c r="AC44" s="110"/>
      <c r="AD44" s="110"/>
    </row>
    <row r="45" spans="27:34" x14ac:dyDescent="0.2">
      <c r="AA45" s="56" t="s">
        <v>415</v>
      </c>
      <c r="AB45" s="196">
        <v>0.15</v>
      </c>
      <c r="AC45" s="196"/>
      <c r="AD45" s="196"/>
    </row>
    <row r="46" spans="27:34" x14ac:dyDescent="0.2">
      <c r="AA46" s="56" t="s">
        <v>416</v>
      </c>
      <c r="AB46" s="196">
        <v>0.1</v>
      </c>
      <c r="AC46" s="196"/>
      <c r="AD46" s="196"/>
    </row>
    <row r="47" spans="27:34" x14ac:dyDescent="0.2">
      <c r="AA47" s="56" t="s">
        <v>411</v>
      </c>
      <c r="AB47" s="72"/>
      <c r="AC47" s="72"/>
      <c r="AD47" s="72"/>
    </row>
    <row r="48" spans="27:34" x14ac:dyDescent="0.2">
      <c r="AA48" s="56" t="s">
        <v>418</v>
      </c>
      <c r="AB48" s="72">
        <v>5000000</v>
      </c>
    </row>
  </sheetData>
  <mergeCells count="9">
    <mergeCell ref="M19:M20"/>
    <mergeCell ref="N19:P19"/>
    <mergeCell ref="M27:M28"/>
    <mergeCell ref="N27:P27"/>
    <mergeCell ref="B2:B4"/>
    <mergeCell ref="C2:C4"/>
    <mergeCell ref="D2:D4"/>
    <mergeCell ref="E2:E4"/>
    <mergeCell ref="F2: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8ACD0-71ED-BF49-8DC3-DBE331265C1F}">
  <sheetPr codeName="Sheet11"/>
  <dimension ref="A4:AA31"/>
  <sheetViews>
    <sheetView topLeftCell="P11" zoomScale="88" workbookViewId="0">
      <selection activeCell="AC46" sqref="AC46"/>
    </sheetView>
  </sheetViews>
  <sheetFormatPr baseColWidth="10" defaultRowHeight="16" x14ac:dyDescent="0.2"/>
  <cols>
    <col min="1" max="1" width="13.6640625" bestFit="1" customWidth="1"/>
    <col min="2" max="6" width="23.1640625" customWidth="1"/>
    <col min="8" max="8" width="34.1640625" bestFit="1" customWidth="1"/>
    <col min="9" max="9" width="15" bestFit="1" customWidth="1"/>
    <col min="17" max="17" width="21.1640625" bestFit="1" customWidth="1"/>
    <col min="18" max="18" width="20.1640625" bestFit="1" customWidth="1"/>
    <col min="19" max="19" width="12" bestFit="1" customWidth="1"/>
    <col min="20" max="20" width="23.83203125" bestFit="1" customWidth="1"/>
    <col min="21" max="21" width="30" bestFit="1" customWidth="1"/>
    <col min="23" max="23" width="82.5" bestFit="1" customWidth="1"/>
    <col min="25" max="25" width="18.6640625" bestFit="1" customWidth="1"/>
  </cols>
  <sheetData>
    <row r="4" spans="1:24" ht="51" x14ac:dyDescent="0.2">
      <c r="B4" s="174" t="s">
        <v>428</v>
      </c>
      <c r="C4" s="174" t="s">
        <v>431</v>
      </c>
      <c r="D4" s="174" t="s">
        <v>432</v>
      </c>
      <c r="E4" s="174" t="s">
        <v>433</v>
      </c>
      <c r="F4" s="174" t="s">
        <v>434</v>
      </c>
      <c r="H4" s="154" t="s">
        <v>438</v>
      </c>
      <c r="I4" s="154" t="s">
        <v>439</v>
      </c>
    </row>
    <row r="5" spans="1:24" x14ac:dyDescent="0.2">
      <c r="A5" s="71" t="s">
        <v>429</v>
      </c>
      <c r="B5" s="72">
        <v>0</v>
      </c>
      <c r="C5" s="71">
        <v>990</v>
      </c>
      <c r="D5" s="72">
        <v>1347000</v>
      </c>
      <c r="E5" s="72">
        <v>772000</v>
      </c>
      <c r="F5" s="72">
        <v>605000</v>
      </c>
      <c r="H5" s="184" t="str">
        <f>"LER("&amp;TEXT(C12,"$#,###")&amp;") = "</f>
        <v xml:space="preserve">LER($750) = </v>
      </c>
      <c r="I5" s="202">
        <f>_xlfn.LET(_xlpm.x,SUMIFS($E$5:$E$9,$B$5:$B$9,"&lt;="&amp;C12),(_xlpm.x-SUMIFS($F$5:$F$9,$B$5:$B$9,"&lt;="&amp;C12))/_xlpm.x)</f>
        <v>0.11610325752919484</v>
      </c>
    </row>
    <row r="6" spans="1:24" x14ac:dyDescent="0.2">
      <c r="B6" s="72">
        <v>250</v>
      </c>
      <c r="C6" s="100">
        <v>2770</v>
      </c>
      <c r="D6" s="72">
        <v>5167000</v>
      </c>
      <c r="E6" s="72">
        <v>4024000</v>
      </c>
      <c r="F6" s="72">
        <v>3505000</v>
      </c>
      <c r="H6" s="56"/>
      <c r="I6" s="201"/>
    </row>
    <row r="7" spans="1:24" x14ac:dyDescent="0.2">
      <c r="B7" s="72">
        <v>500</v>
      </c>
      <c r="C7" s="100">
        <v>4360</v>
      </c>
      <c r="D7" s="72">
        <v>9198000</v>
      </c>
      <c r="E7" s="72">
        <v>8244000</v>
      </c>
      <c r="F7" s="72">
        <v>7345000</v>
      </c>
      <c r="H7" s="56" t="s">
        <v>437</v>
      </c>
      <c r="I7" s="203">
        <f>1-I5</f>
        <v>0.88389674247080519</v>
      </c>
      <c r="J7" s="36" t="s">
        <v>440</v>
      </c>
    </row>
    <row r="8" spans="1:24" x14ac:dyDescent="0.2">
      <c r="B8" s="72">
        <v>750</v>
      </c>
      <c r="C8" s="100">
        <v>1350</v>
      </c>
      <c r="D8" s="72">
        <v>3230000</v>
      </c>
      <c r="E8" s="72">
        <v>3230000</v>
      </c>
      <c r="F8" s="72">
        <v>2926000</v>
      </c>
    </row>
    <row r="9" spans="1:24" ht="17" thickBot="1" x14ac:dyDescent="0.25">
      <c r="B9" s="197">
        <v>1000</v>
      </c>
      <c r="C9" s="76">
        <v>500</v>
      </c>
      <c r="D9" s="197">
        <v>1692000</v>
      </c>
      <c r="E9" s="76" t="s">
        <v>430</v>
      </c>
      <c r="F9" s="197">
        <v>1692000</v>
      </c>
    </row>
    <row r="10" spans="1:24" ht="17" thickTop="1" x14ac:dyDescent="0.2">
      <c r="B10" s="71" t="s">
        <v>10</v>
      </c>
      <c r="C10" s="100">
        <v>9970</v>
      </c>
      <c r="D10" s="72">
        <v>20634000</v>
      </c>
      <c r="E10" s="71"/>
    </row>
    <row r="12" spans="1:24" x14ac:dyDescent="0.2">
      <c r="B12" s="56" t="s">
        <v>435</v>
      </c>
      <c r="C12" s="200">
        <v>750</v>
      </c>
      <c r="T12" s="36" t="s">
        <v>462</v>
      </c>
    </row>
    <row r="13" spans="1:24" x14ac:dyDescent="0.2">
      <c r="B13" s="56" t="s">
        <v>436</v>
      </c>
      <c r="C13" s="200">
        <v>1000</v>
      </c>
      <c r="T13" s="36" t="s">
        <v>463</v>
      </c>
      <c r="U13" s="36" t="s">
        <v>464</v>
      </c>
    </row>
    <row r="14" spans="1:24" x14ac:dyDescent="0.2">
      <c r="R14" s="70" t="s">
        <v>441</v>
      </c>
      <c r="S14" s="70" t="s">
        <v>442</v>
      </c>
      <c r="T14" s="209" t="str">
        <f>"Paid loss with D = "&amp;TEXT($S$24,"$#,###")</f>
        <v>Paid loss with D = $500</v>
      </c>
      <c r="U14" s="209" t="str">
        <f>"Eliminated loss with D = "&amp;TEXT($S$24,"$#,###")</f>
        <v>Eliminated loss with D = $500</v>
      </c>
      <c r="W14" t="s">
        <v>443</v>
      </c>
      <c r="X14" s="180">
        <v>350</v>
      </c>
    </row>
    <row r="15" spans="1:24" x14ac:dyDescent="0.2">
      <c r="R15" s="72">
        <v>100</v>
      </c>
      <c r="S15" s="81">
        <v>0.2</v>
      </c>
      <c r="T15" s="68">
        <f>MAX(R15-$S$24,0)</f>
        <v>0</v>
      </c>
      <c r="U15" s="53">
        <f>R15-T15</f>
        <v>100</v>
      </c>
      <c r="W15" t="s">
        <v>444</v>
      </c>
      <c r="X15" s="207">
        <v>0.60899999999999999</v>
      </c>
    </row>
    <row r="16" spans="1:24" x14ac:dyDescent="0.2">
      <c r="R16" s="72">
        <v>250</v>
      </c>
      <c r="S16" s="81">
        <v>0.1</v>
      </c>
      <c r="T16" s="68">
        <f t="shared" ref="T16:T20" si="0">MAX(R16-$S$24,0)</f>
        <v>0</v>
      </c>
      <c r="U16" s="53">
        <f t="shared" ref="U16:U20" si="1">R16-T16</f>
        <v>250</v>
      </c>
      <c r="W16" t="s">
        <v>445</v>
      </c>
      <c r="X16" s="206">
        <v>31.7</v>
      </c>
    </row>
    <row r="17" spans="17:27" x14ac:dyDescent="0.2">
      <c r="R17" s="72">
        <v>500</v>
      </c>
      <c r="S17" s="81">
        <v>0.15</v>
      </c>
      <c r="T17" s="68">
        <f t="shared" si="0"/>
        <v>0</v>
      </c>
      <c r="U17" s="53">
        <f t="shared" si="1"/>
        <v>500</v>
      </c>
      <c r="W17" t="s">
        <v>446</v>
      </c>
      <c r="X17" s="19">
        <v>0.22</v>
      </c>
    </row>
    <row r="18" spans="17:27" x14ac:dyDescent="0.2">
      <c r="R18" s="72">
        <v>1000</v>
      </c>
      <c r="S18" s="81">
        <v>0.3</v>
      </c>
      <c r="T18" s="68">
        <f t="shared" si="0"/>
        <v>500</v>
      </c>
      <c r="U18" s="53">
        <f t="shared" si="1"/>
        <v>500</v>
      </c>
      <c r="W18" t="s">
        <v>447</v>
      </c>
      <c r="X18" s="19">
        <v>0.02</v>
      </c>
    </row>
    <row r="19" spans="17:27" x14ac:dyDescent="0.2">
      <c r="R19" s="72">
        <v>3000</v>
      </c>
      <c r="S19" s="81">
        <v>0.2</v>
      </c>
      <c r="T19" s="68">
        <f t="shared" si="0"/>
        <v>2500</v>
      </c>
      <c r="U19" s="53">
        <f t="shared" si="1"/>
        <v>500</v>
      </c>
      <c r="W19" t="s">
        <v>448</v>
      </c>
      <c r="X19" s="19">
        <v>0.1</v>
      </c>
    </row>
    <row r="20" spans="17:27" ht="17" thickBot="1" x14ac:dyDescent="0.25">
      <c r="Q20" s="84"/>
      <c r="R20" s="197">
        <v>8000</v>
      </c>
      <c r="S20" s="204">
        <v>0.05</v>
      </c>
      <c r="T20" s="198">
        <f t="shared" si="0"/>
        <v>7500</v>
      </c>
      <c r="U20" s="103">
        <f t="shared" si="1"/>
        <v>500</v>
      </c>
    </row>
    <row r="21" spans="17:27" ht="17" thickTop="1" x14ac:dyDescent="0.2">
      <c r="Q21" t="s">
        <v>450</v>
      </c>
      <c r="R21" s="155">
        <f>SUMPRODUCT(R15:R20,$S$15:$S$20)</f>
        <v>1420</v>
      </c>
      <c r="S21" s="205">
        <f>SUM(S15:S20)</f>
        <v>1</v>
      </c>
      <c r="T21" s="155">
        <f>SUMPRODUCT(T15:T20,$S$15:$S$20)</f>
        <v>1025</v>
      </c>
      <c r="U21" s="155">
        <f>SUMPRODUCT(U15:U20,$S$15:$S$20)</f>
        <v>395</v>
      </c>
      <c r="W21" s="36" t="s">
        <v>461</v>
      </c>
    </row>
    <row r="22" spans="17:27" x14ac:dyDescent="0.2">
      <c r="R22" s="36" t="s">
        <v>465</v>
      </c>
      <c r="W22" s="35" t="str">
        <f>"LER("&amp;TEXT($S$24,"$#,###")&amp;") = "</f>
        <v xml:space="preserve">LER($500) = </v>
      </c>
      <c r="X22" s="208">
        <f>U21/R21</f>
        <v>0.27816901408450706</v>
      </c>
      <c r="Y22" s="36" t="s">
        <v>459</v>
      </c>
    </row>
    <row r="23" spans="17:27" x14ac:dyDescent="0.2">
      <c r="R23" s="56" t="s">
        <v>435</v>
      </c>
      <c r="S23" s="180">
        <v>0</v>
      </c>
    </row>
    <row r="24" spans="17:27" x14ac:dyDescent="0.2">
      <c r="R24" s="56" t="s">
        <v>436</v>
      </c>
      <c r="S24" s="180">
        <v>500</v>
      </c>
      <c r="W24" t="s">
        <v>437</v>
      </c>
      <c r="X24" s="43">
        <f>1-X22</f>
        <v>0.721830985915493</v>
      </c>
      <c r="Y24" s="36" t="s">
        <v>460</v>
      </c>
    </row>
    <row r="27" spans="17:27" x14ac:dyDescent="0.2">
      <c r="W27" t="s">
        <v>452</v>
      </c>
      <c r="X27" s="156">
        <f>X14*X15*X24</f>
        <v>153.85827464788733</v>
      </c>
      <c r="Y27" s="36" t="s">
        <v>454</v>
      </c>
    </row>
    <row r="28" spans="17:27" x14ac:dyDescent="0.2">
      <c r="W28" t="s">
        <v>453</v>
      </c>
      <c r="X28" s="156">
        <f>X27+X14*X15*(X19)</f>
        <v>175.17327464788733</v>
      </c>
      <c r="Y28" s="36" t="s">
        <v>455</v>
      </c>
      <c r="Z28" s="156">
        <f>X28-X27</f>
        <v>21.314999999999998</v>
      </c>
      <c r="AA28" s="36" t="s">
        <v>458</v>
      </c>
    </row>
    <row r="29" spans="17:27" x14ac:dyDescent="0.2">
      <c r="W29" t="s">
        <v>449</v>
      </c>
      <c r="X29" s="156">
        <f>X28+X16</f>
        <v>206.87327464788731</v>
      </c>
      <c r="Y29" s="36" t="s">
        <v>456</v>
      </c>
    </row>
    <row r="30" spans="17:27" x14ac:dyDescent="0.2">
      <c r="W30" t="s">
        <v>451</v>
      </c>
      <c r="X30" s="127">
        <f>X29/(1-X17-X18)</f>
        <v>272.20167716827279</v>
      </c>
      <c r="Y30" s="36" t="s">
        <v>457</v>
      </c>
    </row>
    <row r="31" spans="17:27" x14ac:dyDescent="0.2">
      <c r="X31" s="15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46A-71FE-D349-8609-C9D752D82C98}">
  <sheetPr codeName="Sheet12"/>
  <dimension ref="B2:AD62"/>
  <sheetViews>
    <sheetView topLeftCell="W46" workbookViewId="0">
      <selection activeCell="AK66" sqref="AK66"/>
    </sheetView>
  </sheetViews>
  <sheetFormatPr baseColWidth="10" defaultRowHeight="16" x14ac:dyDescent="0.2"/>
  <cols>
    <col min="3" max="3" width="16" bestFit="1" customWidth="1"/>
    <col min="4" max="4" width="24.6640625" bestFit="1" customWidth="1"/>
    <col min="5" max="5" width="11.1640625" bestFit="1" customWidth="1"/>
    <col min="6" max="7" width="14.83203125" bestFit="1" customWidth="1"/>
    <col min="15" max="15" width="11.1640625" bestFit="1" customWidth="1"/>
    <col min="16" max="17" width="11.1640625" customWidth="1"/>
    <col min="22" max="22" width="17" bestFit="1" customWidth="1"/>
    <col min="27" max="27" width="11.1640625" bestFit="1" customWidth="1"/>
    <col min="28" max="28" width="24" bestFit="1" customWidth="1"/>
    <col min="29" max="29" width="21.5" bestFit="1" customWidth="1"/>
  </cols>
  <sheetData>
    <row r="2" spans="2:12" x14ac:dyDescent="0.2">
      <c r="D2" s="56" t="s">
        <v>466</v>
      </c>
      <c r="E2" s="210">
        <v>200000</v>
      </c>
    </row>
    <row r="3" spans="2:12" x14ac:dyDescent="0.2">
      <c r="D3" s="56"/>
    </row>
    <row r="4" spans="2:12" x14ac:dyDescent="0.2">
      <c r="D4" s="56" t="s">
        <v>467</v>
      </c>
      <c r="E4" s="211">
        <v>0.1</v>
      </c>
    </row>
    <row r="5" spans="2:12" x14ac:dyDescent="0.2">
      <c r="D5" s="56"/>
      <c r="E5" s="211"/>
    </row>
    <row r="6" spans="2:12" x14ac:dyDescent="0.2">
      <c r="D6" s="56"/>
      <c r="E6" s="214" t="s">
        <v>483</v>
      </c>
    </row>
    <row r="7" spans="2:12" x14ac:dyDescent="0.2">
      <c r="D7" s="215" t="s">
        <v>484</v>
      </c>
      <c r="E7" s="214" t="s">
        <v>485</v>
      </c>
      <c r="F7" s="36" t="s">
        <v>486</v>
      </c>
    </row>
    <row r="8" spans="2:12" x14ac:dyDescent="0.2">
      <c r="E8" s="15" t="s">
        <v>472</v>
      </c>
      <c r="F8" s="19">
        <v>0.8</v>
      </c>
      <c r="G8" s="19">
        <v>0.7</v>
      </c>
    </row>
    <row r="9" spans="2:12" x14ac:dyDescent="0.2">
      <c r="B9" s="15" t="s">
        <v>468</v>
      </c>
      <c r="C9" s="15" t="s">
        <v>469</v>
      </c>
      <c r="D9" s="15" t="s">
        <v>296</v>
      </c>
      <c r="E9" s="15" t="s">
        <v>442</v>
      </c>
      <c r="F9" s="15" t="s">
        <v>471</v>
      </c>
      <c r="G9" s="15" t="s">
        <v>471</v>
      </c>
    </row>
    <row r="10" spans="2:12" x14ac:dyDescent="0.2">
      <c r="D10" s="210">
        <v>0</v>
      </c>
      <c r="E10" s="94">
        <f>1-E4</f>
        <v>0.9</v>
      </c>
      <c r="F10" s="155">
        <f t="shared" ref="F10:G14" si="0">MIN($D10,F$8*$E$2)</f>
        <v>0</v>
      </c>
      <c r="G10" s="155">
        <f t="shared" si="0"/>
        <v>0</v>
      </c>
      <c r="J10" s="56" t="str">
        <f>"Pure premium (insured @ "&amp;TEXT($F$8,"#%")&amp;" of F) ="</f>
        <v>Pure premium (insured @ 80% of F) =</v>
      </c>
      <c r="K10" s="155">
        <f>SUMPRODUCT($E$10:$E$14,$F$10:$F$14)</f>
        <v>5000</v>
      </c>
      <c r="L10" s="36" t="s">
        <v>487</v>
      </c>
    </row>
    <row r="11" spans="2:12" x14ac:dyDescent="0.2">
      <c r="B11" s="211">
        <v>0.1</v>
      </c>
      <c r="C11" s="211">
        <v>0.7</v>
      </c>
      <c r="D11" s="155">
        <f>B11*$E$2</f>
        <v>20000</v>
      </c>
      <c r="E11" s="94">
        <f>$E$4*C11</f>
        <v>6.9999999999999993E-2</v>
      </c>
      <c r="F11" s="155">
        <f t="shared" si="0"/>
        <v>20000</v>
      </c>
      <c r="G11" s="155">
        <f t="shared" si="0"/>
        <v>20000</v>
      </c>
    </row>
    <row r="12" spans="2:12" x14ac:dyDescent="0.2">
      <c r="B12" s="211">
        <v>0.5</v>
      </c>
      <c r="C12" s="211">
        <v>0.2</v>
      </c>
      <c r="D12" s="155">
        <f t="shared" ref="D12:D13" si="1">B12*$E$2</f>
        <v>100000</v>
      </c>
      <c r="E12" s="94">
        <f t="shared" ref="E12:E14" si="2">$E$4*C12</f>
        <v>2.0000000000000004E-2</v>
      </c>
      <c r="F12" s="155">
        <f t="shared" si="0"/>
        <v>100000</v>
      </c>
      <c r="G12" s="155">
        <f t="shared" si="0"/>
        <v>100000</v>
      </c>
      <c r="J12" s="56" t="s">
        <v>474</v>
      </c>
      <c r="K12" s="127">
        <f>K10/$E$17</f>
        <v>7692.3076923076924</v>
      </c>
      <c r="L12" s="36" t="s">
        <v>488</v>
      </c>
    </row>
    <row r="13" spans="2:12" x14ac:dyDescent="0.2">
      <c r="B13" s="211">
        <v>0.8</v>
      </c>
      <c r="C13" s="211">
        <v>0.08</v>
      </c>
      <c r="D13" s="155">
        <f t="shared" si="1"/>
        <v>160000</v>
      </c>
      <c r="E13" s="94">
        <f t="shared" si="2"/>
        <v>8.0000000000000002E-3</v>
      </c>
      <c r="F13" s="155">
        <f t="shared" si="0"/>
        <v>160000</v>
      </c>
      <c r="G13" s="155">
        <f t="shared" si="0"/>
        <v>140000</v>
      </c>
    </row>
    <row r="14" spans="2:12" x14ac:dyDescent="0.2">
      <c r="B14" s="212">
        <v>0.9</v>
      </c>
      <c r="C14" s="212">
        <v>0.02</v>
      </c>
      <c r="D14" s="158">
        <f>B14*$E$2</f>
        <v>180000</v>
      </c>
      <c r="E14" s="163">
        <f t="shared" si="2"/>
        <v>2E-3</v>
      </c>
      <c r="F14" s="158">
        <f t="shared" si="0"/>
        <v>160000</v>
      </c>
      <c r="G14" s="158">
        <f t="shared" si="0"/>
        <v>140000</v>
      </c>
    </row>
    <row r="15" spans="2:12" x14ac:dyDescent="0.2">
      <c r="D15" s="56" t="s">
        <v>10</v>
      </c>
      <c r="E15" s="211">
        <f>SUM(E10:E14)</f>
        <v>1</v>
      </c>
      <c r="J15" s="56" t="s">
        <v>473</v>
      </c>
      <c r="K15" s="156">
        <f>K12/($E$2*$F$8/100)</f>
        <v>4.8076923076923075</v>
      </c>
      <c r="L15" s="36" t="s">
        <v>489</v>
      </c>
    </row>
    <row r="17" spans="4:12" x14ac:dyDescent="0.2">
      <c r="D17" s="56" t="s">
        <v>470</v>
      </c>
      <c r="E17" s="19">
        <v>0.65</v>
      </c>
      <c r="J17" s="56" t="str">
        <f>"Pure premium (insured @ "&amp;TEXT(G8,"#%")&amp;" of F) ="</f>
        <v>Pure premium (insured @ 70% of F) =</v>
      </c>
      <c r="K17" s="155">
        <f>SUMPRODUCT($E$10:$E$14,$G$10:$G$14)</f>
        <v>4800</v>
      </c>
      <c r="L17" s="36" t="s">
        <v>490</v>
      </c>
    </row>
    <row r="19" spans="4:12" x14ac:dyDescent="0.2">
      <c r="J19" s="56" t="s">
        <v>475</v>
      </c>
      <c r="K19" s="156">
        <f>K15*E2*G8/100</f>
        <v>6730.7692307692305</v>
      </c>
      <c r="L19" s="36" t="s">
        <v>491</v>
      </c>
    </row>
    <row r="21" spans="4:12" x14ac:dyDescent="0.2">
      <c r="J21" s="56" t="s">
        <v>473</v>
      </c>
      <c r="K21" s="156">
        <f>K19/($E$2*$G$8/100)</f>
        <v>4.8076923076923075</v>
      </c>
      <c r="L21" s="36" t="s">
        <v>492</v>
      </c>
    </row>
    <row r="23" spans="4:12" x14ac:dyDescent="0.2">
      <c r="J23" s="56" t="s">
        <v>476</v>
      </c>
      <c r="K23" s="213">
        <f>K17/K19</f>
        <v>0.71314285714285719</v>
      </c>
      <c r="L23" s="36" t="s">
        <v>493</v>
      </c>
    </row>
    <row r="25" spans="4:12" x14ac:dyDescent="0.2">
      <c r="D25" s="56" t="s">
        <v>477</v>
      </c>
      <c r="E25" s="19">
        <v>0.8</v>
      </c>
      <c r="J25" s="56" t="s">
        <v>478</v>
      </c>
      <c r="K25" s="155">
        <f>E25*E2</f>
        <v>160000</v>
      </c>
      <c r="L25" s="36" t="s">
        <v>494</v>
      </c>
    </row>
    <row r="27" spans="4:12" x14ac:dyDescent="0.2">
      <c r="J27" s="56" t="s">
        <v>481</v>
      </c>
      <c r="K27" s="155">
        <f>E2*G8</f>
        <v>140000</v>
      </c>
      <c r="L27" s="36" t="s">
        <v>495</v>
      </c>
    </row>
    <row r="29" spans="4:12" x14ac:dyDescent="0.2">
      <c r="J29" s="56" t="s">
        <v>479</v>
      </c>
      <c r="K29" s="94">
        <f>MIN(K27/K25,1)</f>
        <v>0.875</v>
      </c>
      <c r="L29" s="36" t="s">
        <v>496</v>
      </c>
    </row>
    <row r="31" spans="4:12" x14ac:dyDescent="0.2">
      <c r="J31" s="56" t="str">
        <f>"Pure premium (insured @ "&amp;TEXT($G$8,"#%")&amp;" of F &amp; coinsurance) ="</f>
        <v>Pure premium (insured @ 70% of F &amp; coinsurance) =</v>
      </c>
      <c r="K31" s="156">
        <f>(E10*G10+E11*G11+E12*G12)*K29+E13*G13+E14*G14</f>
        <v>4375</v>
      </c>
      <c r="L31" s="36" t="s">
        <v>497</v>
      </c>
    </row>
    <row r="33" spans="3:30" x14ac:dyDescent="0.2">
      <c r="J33" s="56" t="s">
        <v>498</v>
      </c>
      <c r="K33" s="66">
        <f>K31/K19</f>
        <v>0.65</v>
      </c>
      <c r="L33" s="36" t="s">
        <v>499</v>
      </c>
    </row>
    <row r="35" spans="3:30" x14ac:dyDescent="0.2">
      <c r="C35" s="16" t="s">
        <v>482</v>
      </c>
    </row>
    <row r="40" spans="3:30" x14ac:dyDescent="0.2">
      <c r="N40" s="56" t="s">
        <v>500</v>
      </c>
      <c r="O40" s="210">
        <v>350000</v>
      </c>
      <c r="P40" s="210"/>
      <c r="Q40" s="210"/>
      <c r="S40" s="56" t="s">
        <v>502</v>
      </c>
      <c r="T40" s="213">
        <f>O42/(O40*O41)</f>
        <v>0.9821428571428571</v>
      </c>
      <c r="U40" s="216" t="s">
        <v>507</v>
      </c>
    </row>
    <row r="41" spans="3:30" x14ac:dyDescent="0.2">
      <c r="N41" s="56" t="s">
        <v>501</v>
      </c>
      <c r="O41" s="19">
        <v>0.8</v>
      </c>
      <c r="P41" s="19"/>
      <c r="Q41" s="19"/>
      <c r="S41" s="56" t="s">
        <v>480</v>
      </c>
      <c r="T41" s="155">
        <f>MIN(T40*O44,O42)</f>
        <v>270089.28571428568</v>
      </c>
      <c r="U41" s="217" t="s">
        <v>508</v>
      </c>
    </row>
    <row r="42" spans="3:30" x14ac:dyDescent="0.2">
      <c r="N42" s="56" t="s">
        <v>481</v>
      </c>
      <c r="O42" s="210">
        <v>275000</v>
      </c>
      <c r="P42" s="210"/>
      <c r="Q42" s="210"/>
      <c r="S42" s="56" t="s">
        <v>505</v>
      </c>
      <c r="T42" s="127">
        <f>MIN(O44,O42)-T41</f>
        <v>4910.714285714319</v>
      </c>
      <c r="U42" s="36" t="s">
        <v>509</v>
      </c>
    </row>
    <row r="43" spans="3:30" x14ac:dyDescent="0.2">
      <c r="U43" s="93"/>
    </row>
    <row r="44" spans="3:30" x14ac:dyDescent="0.2">
      <c r="N44" s="56" t="s">
        <v>503</v>
      </c>
      <c r="O44" s="155">
        <f>O42</f>
        <v>275000</v>
      </c>
      <c r="P44" s="36" t="s">
        <v>512</v>
      </c>
      <c r="S44" s="56" t="s">
        <v>480</v>
      </c>
      <c r="T44" s="155">
        <f>MIN(T40*O46,O42)</f>
        <v>275000</v>
      </c>
      <c r="U44" s="36" t="s">
        <v>510</v>
      </c>
    </row>
    <row r="45" spans="3:30" x14ac:dyDescent="0.2">
      <c r="S45" s="56" t="s">
        <v>506</v>
      </c>
      <c r="T45" s="186">
        <f>MIN(O46,O42)-T44</f>
        <v>0</v>
      </c>
      <c r="U45" s="36" t="s">
        <v>511</v>
      </c>
    </row>
    <row r="46" spans="3:30" x14ac:dyDescent="0.2">
      <c r="N46" s="56" t="s">
        <v>504</v>
      </c>
      <c r="O46" s="210">
        <v>300000</v>
      </c>
    </row>
    <row r="48" spans="3:30" x14ac:dyDescent="0.2">
      <c r="X48" s="56" t="s">
        <v>500</v>
      </c>
      <c r="Y48" s="210">
        <v>500000</v>
      </c>
      <c r="AB48" s="56" t="s">
        <v>513</v>
      </c>
      <c r="AC48" s="94">
        <f>MIN(Y50/(Y48*Y49),1)</f>
        <v>0.68181818181818177</v>
      </c>
      <c r="AD48" s="36" t="s">
        <v>517</v>
      </c>
    </row>
    <row r="49" spans="24:29" x14ac:dyDescent="0.2">
      <c r="X49" s="56" t="s">
        <v>501</v>
      </c>
      <c r="Y49" s="19">
        <v>0.88</v>
      </c>
    </row>
    <row r="50" spans="24:29" x14ac:dyDescent="0.2">
      <c r="X50" s="56" t="s">
        <v>481</v>
      </c>
      <c r="Y50" s="210">
        <v>300000</v>
      </c>
      <c r="AA50" s="15" t="s">
        <v>514</v>
      </c>
      <c r="AB50" s="15" t="s">
        <v>515</v>
      </c>
      <c r="AC50" s="15" t="s">
        <v>516</v>
      </c>
    </row>
    <row r="51" spans="24:29" x14ac:dyDescent="0.2">
      <c r="AA51" s="210">
        <v>0</v>
      </c>
      <c r="AB51" s="155">
        <f>MIN($AC$48*AA51,$Y$50)</f>
        <v>0</v>
      </c>
      <c r="AC51" s="155">
        <f>MIN(AA51,$Y$50)-AB51</f>
        <v>0</v>
      </c>
    </row>
    <row r="52" spans="24:29" x14ac:dyDescent="0.2">
      <c r="AA52" s="210">
        <f>AA51+50000</f>
        <v>50000</v>
      </c>
      <c r="AB52" s="155">
        <f t="shared" ref="AB52:AB60" si="3">MIN($AC$48*AA52,$Y$50)</f>
        <v>34090.909090909088</v>
      </c>
      <c r="AC52" s="155">
        <f>MIN(AA52,$Y$50)-AB52</f>
        <v>15909.090909090912</v>
      </c>
    </row>
    <row r="53" spans="24:29" x14ac:dyDescent="0.2">
      <c r="AA53" s="210">
        <f t="shared" ref="AA53:AA61" si="4">AA52+50000</f>
        <v>100000</v>
      </c>
      <c r="AB53" s="155">
        <f t="shared" si="3"/>
        <v>68181.818181818177</v>
      </c>
      <c r="AC53" s="155">
        <f t="shared" ref="AC53:AC60" si="5">MIN(AA53,$Y$50)-AB53</f>
        <v>31818.181818181823</v>
      </c>
    </row>
    <row r="54" spans="24:29" x14ac:dyDescent="0.2">
      <c r="AA54" s="210">
        <f t="shared" si="4"/>
        <v>150000</v>
      </c>
      <c r="AB54" s="155">
        <f t="shared" si="3"/>
        <v>102272.72727272726</v>
      </c>
      <c r="AC54" s="155">
        <f t="shared" si="5"/>
        <v>47727.272727272735</v>
      </c>
    </row>
    <row r="55" spans="24:29" x14ac:dyDescent="0.2">
      <c r="AA55" s="210">
        <f t="shared" si="4"/>
        <v>200000</v>
      </c>
      <c r="AB55" s="155">
        <f t="shared" si="3"/>
        <v>136363.63636363635</v>
      </c>
      <c r="AC55" s="155">
        <f t="shared" si="5"/>
        <v>63636.363636363647</v>
      </c>
    </row>
    <row r="56" spans="24:29" x14ac:dyDescent="0.2">
      <c r="AA56" s="210">
        <f t="shared" si="4"/>
        <v>250000</v>
      </c>
      <c r="AB56" s="155">
        <f t="shared" si="3"/>
        <v>170454.54545454544</v>
      </c>
      <c r="AC56" s="155">
        <f t="shared" si="5"/>
        <v>79545.454545454559</v>
      </c>
    </row>
    <row r="57" spans="24:29" x14ac:dyDescent="0.2">
      <c r="AA57" s="210">
        <f t="shared" si="4"/>
        <v>300000</v>
      </c>
      <c r="AB57" s="155">
        <f t="shared" si="3"/>
        <v>204545.45454545453</v>
      </c>
      <c r="AC57" s="155">
        <f t="shared" si="5"/>
        <v>95454.54545454547</v>
      </c>
    </row>
    <row r="58" spans="24:29" x14ac:dyDescent="0.2">
      <c r="AA58" s="210">
        <f t="shared" si="4"/>
        <v>350000</v>
      </c>
      <c r="AB58" s="155">
        <f t="shared" si="3"/>
        <v>238636.36363636362</v>
      </c>
      <c r="AC58" s="155">
        <f t="shared" si="5"/>
        <v>61363.636363636382</v>
      </c>
    </row>
    <row r="59" spans="24:29" x14ac:dyDescent="0.2">
      <c r="AA59" s="210">
        <f t="shared" si="4"/>
        <v>400000</v>
      </c>
      <c r="AB59" s="155">
        <f t="shared" si="3"/>
        <v>272727.27272727271</v>
      </c>
      <c r="AC59" s="155">
        <f t="shared" si="5"/>
        <v>27272.727272727294</v>
      </c>
    </row>
    <row r="60" spans="24:29" x14ac:dyDescent="0.2">
      <c r="AA60" s="210">
        <f t="shared" si="4"/>
        <v>450000</v>
      </c>
      <c r="AB60" s="155">
        <f t="shared" si="3"/>
        <v>300000</v>
      </c>
      <c r="AC60" s="155">
        <f t="shared" si="5"/>
        <v>0</v>
      </c>
    </row>
    <row r="61" spans="24:29" x14ac:dyDescent="0.2">
      <c r="AA61" s="210">
        <f t="shared" si="4"/>
        <v>500000</v>
      </c>
      <c r="AB61" s="155">
        <f>MIN($AC$48*AA61,$Y$50)</f>
        <v>300000</v>
      </c>
      <c r="AC61" s="155">
        <f>MIN(AA61,$Y$50)-AB61</f>
        <v>0</v>
      </c>
    </row>
    <row r="62" spans="24:29" x14ac:dyDescent="0.2">
      <c r="AB62" s="36" t="s">
        <v>518</v>
      </c>
      <c r="AC62" s="36" t="s">
        <v>519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0296-AEFF-C643-9458-C601DEE81546}">
  <sheetPr codeName="Sheet13"/>
  <dimension ref="B2:AZ64"/>
  <sheetViews>
    <sheetView topLeftCell="AQ43" workbookViewId="0">
      <selection activeCell="AY61" sqref="AY61"/>
    </sheetView>
  </sheetViews>
  <sheetFormatPr baseColWidth="10" defaultRowHeight="16" x14ac:dyDescent="0.2"/>
  <cols>
    <col min="2" max="2" width="32.33203125" bestFit="1" customWidth="1"/>
    <col min="3" max="3" width="12.6640625" bestFit="1" customWidth="1"/>
    <col min="4" max="5" width="12.6640625" customWidth="1"/>
    <col min="30" max="30" width="44" bestFit="1" customWidth="1"/>
    <col min="39" max="39" width="10.83203125" customWidth="1"/>
    <col min="45" max="45" width="17.1640625" bestFit="1" customWidth="1"/>
    <col min="46" max="46" width="22.83203125" bestFit="1" customWidth="1"/>
    <col min="47" max="48" width="22.83203125" customWidth="1"/>
  </cols>
  <sheetData>
    <row r="2" spans="2:25" x14ac:dyDescent="0.2">
      <c r="B2" s="56" t="s">
        <v>520</v>
      </c>
      <c r="C2" s="210">
        <v>1600</v>
      </c>
      <c r="D2" s="210"/>
      <c r="E2" s="210"/>
    </row>
    <row r="3" spans="2:25" x14ac:dyDescent="0.2">
      <c r="B3" s="56" t="s">
        <v>521</v>
      </c>
      <c r="C3" s="210">
        <v>1800</v>
      </c>
      <c r="D3" s="210"/>
      <c r="E3" s="210"/>
      <c r="H3" s="56" t="s">
        <v>530</v>
      </c>
      <c r="I3" s="155">
        <f>C2*(C4/C3)</f>
        <v>1520</v>
      </c>
      <c r="J3" s="36" t="s">
        <v>535</v>
      </c>
    </row>
    <row r="4" spans="2:25" x14ac:dyDescent="0.2">
      <c r="B4" s="56" t="s">
        <v>528</v>
      </c>
      <c r="C4" s="210">
        <v>1710</v>
      </c>
      <c r="D4" s="210"/>
      <c r="E4" s="210"/>
      <c r="J4" s="93"/>
    </row>
    <row r="5" spans="2:25" x14ac:dyDescent="0.2">
      <c r="B5" s="56" t="s">
        <v>522</v>
      </c>
      <c r="C5" s="210">
        <v>1000000</v>
      </c>
      <c r="D5" s="210"/>
      <c r="E5" s="210"/>
      <c r="H5" s="56" t="s">
        <v>532</v>
      </c>
      <c r="I5" s="155">
        <f>C5/C6</f>
        <v>1000</v>
      </c>
      <c r="J5" s="36" t="s">
        <v>536</v>
      </c>
    </row>
    <row r="6" spans="2:25" x14ac:dyDescent="0.2">
      <c r="B6" s="56" t="s">
        <v>523</v>
      </c>
      <c r="C6" s="7">
        <v>1000</v>
      </c>
      <c r="D6" s="7"/>
      <c r="E6" s="7"/>
      <c r="J6" s="93"/>
    </row>
    <row r="7" spans="2:25" x14ac:dyDescent="0.2">
      <c r="B7" s="56" t="s">
        <v>524</v>
      </c>
      <c r="C7" s="210">
        <v>200000</v>
      </c>
      <c r="D7" s="210"/>
      <c r="E7" s="210"/>
      <c r="H7" s="56" t="s">
        <v>531</v>
      </c>
      <c r="I7" s="22">
        <f>SQRT(C6/C10)</f>
        <v>0.25</v>
      </c>
      <c r="J7" s="36" t="s">
        <v>537</v>
      </c>
    </row>
    <row r="8" spans="2:25" x14ac:dyDescent="0.2">
      <c r="B8" s="56" t="s">
        <v>525</v>
      </c>
      <c r="C8" s="19">
        <v>0.25</v>
      </c>
      <c r="D8" s="19"/>
      <c r="E8" s="19"/>
      <c r="J8" s="93"/>
    </row>
    <row r="9" spans="2:25" x14ac:dyDescent="0.2">
      <c r="B9" s="56" t="s">
        <v>526</v>
      </c>
      <c r="C9" s="19">
        <v>0.05</v>
      </c>
      <c r="D9" s="19"/>
      <c r="E9" s="19"/>
      <c r="H9" s="56" t="s">
        <v>533</v>
      </c>
      <c r="I9" s="155">
        <f>I5*I7+I3*(1-I7)</f>
        <v>1390</v>
      </c>
      <c r="J9" s="36" t="s">
        <v>538</v>
      </c>
    </row>
    <row r="10" spans="2:25" x14ac:dyDescent="0.2">
      <c r="B10" s="56" t="s">
        <v>527</v>
      </c>
      <c r="C10" s="7">
        <v>16000</v>
      </c>
      <c r="D10" s="7"/>
      <c r="E10" s="7"/>
      <c r="H10" s="56" t="s">
        <v>529</v>
      </c>
      <c r="J10" s="93"/>
    </row>
    <row r="11" spans="2:25" x14ac:dyDescent="0.2">
      <c r="J11" s="93"/>
    </row>
    <row r="12" spans="2:25" x14ac:dyDescent="0.2">
      <c r="H12" s="56" t="s">
        <v>534</v>
      </c>
      <c r="I12" s="127">
        <f>(I9+C7/C6)/(1-C8-C9)</f>
        <v>2271.4285714285716</v>
      </c>
      <c r="J12" s="36" t="s">
        <v>539</v>
      </c>
    </row>
    <row r="13" spans="2:25" x14ac:dyDescent="0.2">
      <c r="M13" s="15" t="s">
        <v>540</v>
      </c>
      <c r="N13" s="15" t="s">
        <v>541</v>
      </c>
      <c r="O13" s="15" t="s">
        <v>542</v>
      </c>
      <c r="P13" s="15" t="s">
        <v>543</v>
      </c>
      <c r="Q13" s="15" t="s">
        <v>558</v>
      </c>
      <c r="R13" s="15"/>
      <c r="S13" s="15"/>
      <c r="T13" s="15"/>
      <c r="W13" s="15" t="s">
        <v>544</v>
      </c>
    </row>
    <row r="14" spans="2:25" x14ac:dyDescent="0.2">
      <c r="M14" s="219" t="s">
        <v>38</v>
      </c>
      <c r="N14" s="219">
        <v>1</v>
      </c>
      <c r="O14" s="219">
        <v>130</v>
      </c>
      <c r="P14" s="220">
        <v>180</v>
      </c>
      <c r="Q14" s="227">
        <f>P14/O14</f>
        <v>1.3846153846153846</v>
      </c>
      <c r="R14" s="230" t="s">
        <v>561</v>
      </c>
      <c r="S14" s="220"/>
      <c r="T14" s="220"/>
      <c r="W14" s="221" t="s">
        <v>545</v>
      </c>
      <c r="X14" s="223">
        <f>($O$14*Q14+$O$15*Q15)/($O$14+$O$15)</f>
        <v>2.1724137931034484</v>
      </c>
      <c r="Y14" s="228" t="s">
        <v>562</v>
      </c>
    </row>
    <row r="15" spans="2:25" x14ac:dyDescent="0.2">
      <c r="M15" t="s">
        <v>38</v>
      </c>
      <c r="N15">
        <v>2</v>
      </c>
      <c r="O15">
        <v>160</v>
      </c>
      <c r="P15" s="210">
        <v>450</v>
      </c>
      <c r="Q15" s="223">
        <f t="shared" ref="Q15:Q21" si="0">P15/O15</f>
        <v>2.8125</v>
      </c>
      <c r="R15" s="210"/>
      <c r="S15" s="210"/>
      <c r="T15" s="210"/>
      <c r="X15" s="224"/>
      <c r="Y15" s="229"/>
    </row>
    <row r="16" spans="2:25" x14ac:dyDescent="0.2">
      <c r="M16" t="s">
        <v>39</v>
      </c>
      <c r="N16">
        <v>1</v>
      </c>
      <c r="O16">
        <v>150</v>
      </c>
      <c r="P16" s="210">
        <v>330</v>
      </c>
      <c r="Q16" s="223">
        <f t="shared" si="0"/>
        <v>2.2000000000000002</v>
      </c>
      <c r="R16" s="210"/>
      <c r="S16" s="210"/>
      <c r="T16" s="210"/>
      <c r="W16" s="15" t="s">
        <v>546</v>
      </c>
      <c r="X16" s="224"/>
      <c r="Y16" s="229"/>
    </row>
    <row r="17" spans="13:25" x14ac:dyDescent="0.2">
      <c r="M17" t="s">
        <v>39</v>
      </c>
      <c r="N17">
        <v>2</v>
      </c>
      <c r="O17">
        <v>200</v>
      </c>
      <c r="P17" s="210">
        <v>600</v>
      </c>
      <c r="Q17" s="223">
        <f t="shared" si="0"/>
        <v>3</v>
      </c>
      <c r="R17" s="210"/>
      <c r="S17" s="210"/>
      <c r="T17" s="210"/>
      <c r="W17" s="221" t="s">
        <v>547</v>
      </c>
      <c r="X17" s="223">
        <f>($O$14*Q16+$O$15*Q17)/($O$14+$O$15)</f>
        <v>2.6413793103448278</v>
      </c>
      <c r="Y17" s="228" t="s">
        <v>563</v>
      </c>
    </row>
    <row r="18" spans="13:25" x14ac:dyDescent="0.2">
      <c r="M18" t="s">
        <v>336</v>
      </c>
      <c r="N18">
        <v>1</v>
      </c>
      <c r="O18">
        <v>130</v>
      </c>
      <c r="P18" s="210">
        <v>180</v>
      </c>
      <c r="Q18" s="223">
        <f t="shared" si="0"/>
        <v>1.3846153846153846</v>
      </c>
      <c r="R18" s="210"/>
      <c r="S18" s="210"/>
      <c r="T18" s="210"/>
      <c r="W18" s="221" t="s">
        <v>548</v>
      </c>
      <c r="X18" s="223">
        <f>($O$14*Q18+$O$15*Q19)/($O$14+$O$15)</f>
        <v>2.1532567049808429</v>
      </c>
      <c r="Y18" s="228" t="s">
        <v>564</v>
      </c>
    </row>
    <row r="19" spans="13:25" x14ac:dyDescent="0.2">
      <c r="M19" t="s">
        <v>336</v>
      </c>
      <c r="N19">
        <v>2</v>
      </c>
      <c r="O19">
        <v>180</v>
      </c>
      <c r="P19" s="210">
        <v>500</v>
      </c>
      <c r="Q19" s="223">
        <f t="shared" si="0"/>
        <v>2.7777777777777777</v>
      </c>
      <c r="R19" s="210"/>
      <c r="S19" s="210"/>
      <c r="T19" s="210"/>
      <c r="W19" s="221" t="s">
        <v>549</v>
      </c>
      <c r="X19" s="223">
        <f>($O$14*Q20+$O$15*Q21)/($O$14+$O$15)</f>
        <v>2.1280788177339902</v>
      </c>
      <c r="Y19" s="228" t="s">
        <v>565</v>
      </c>
    </row>
    <row r="20" spans="13:25" x14ac:dyDescent="0.2">
      <c r="M20" t="s">
        <v>337</v>
      </c>
      <c r="N20">
        <v>1</v>
      </c>
      <c r="O20">
        <v>140</v>
      </c>
      <c r="P20" s="210">
        <v>320</v>
      </c>
      <c r="Q20" s="223">
        <f t="shared" si="0"/>
        <v>2.2857142857142856</v>
      </c>
      <c r="R20" s="210"/>
      <c r="S20" s="210"/>
      <c r="T20" s="210"/>
      <c r="X20" s="224"/>
      <c r="Y20" s="229"/>
    </row>
    <row r="21" spans="13:25" x14ac:dyDescent="0.2">
      <c r="M21" t="s">
        <v>337</v>
      </c>
      <c r="N21">
        <v>2</v>
      </c>
      <c r="O21">
        <v>250</v>
      </c>
      <c r="P21" s="210">
        <v>500</v>
      </c>
      <c r="Q21" s="223">
        <f t="shared" si="0"/>
        <v>2</v>
      </c>
      <c r="R21" s="210"/>
      <c r="S21" s="210"/>
      <c r="T21" s="210"/>
      <c r="W21" s="222" t="s">
        <v>550</v>
      </c>
      <c r="X21" s="224"/>
      <c r="Y21" s="229"/>
    </row>
    <row r="22" spans="13:25" x14ac:dyDescent="0.2">
      <c r="W22" s="221" t="s">
        <v>551</v>
      </c>
      <c r="X22" s="225">
        <f>$X$14/X17</f>
        <v>0.82245430809399478</v>
      </c>
      <c r="Y22" s="228" t="s">
        <v>566</v>
      </c>
    </row>
    <row r="23" spans="13:25" x14ac:dyDescent="0.2">
      <c r="W23" s="221" t="s">
        <v>552</v>
      </c>
      <c r="X23" s="225">
        <f>$X$14/X18</f>
        <v>1.0088967971530249</v>
      </c>
      <c r="Y23" s="228" t="s">
        <v>567</v>
      </c>
    </row>
    <row r="24" spans="13:25" x14ac:dyDescent="0.2">
      <c r="W24" s="221" t="s">
        <v>553</v>
      </c>
      <c r="X24" s="225">
        <f>$X$14/X19</f>
        <v>1.0208333333333333</v>
      </c>
      <c r="Y24" s="228" t="s">
        <v>568</v>
      </c>
    </row>
    <row r="25" spans="13:25" x14ac:dyDescent="0.2">
      <c r="X25" s="224"/>
      <c r="Y25" s="229"/>
    </row>
    <row r="26" spans="13:25" x14ac:dyDescent="0.2">
      <c r="W26" s="222" t="s">
        <v>554</v>
      </c>
      <c r="X26" s="224"/>
      <c r="Y26" s="229"/>
    </row>
    <row r="27" spans="13:25" x14ac:dyDescent="0.2">
      <c r="W27" s="221" t="s">
        <v>555</v>
      </c>
      <c r="X27" s="223">
        <f>Q16*X22</f>
        <v>1.8093994778067886</v>
      </c>
      <c r="Y27" s="228" t="s">
        <v>569</v>
      </c>
    </row>
    <row r="28" spans="13:25" x14ac:dyDescent="0.2">
      <c r="W28" s="221" t="s">
        <v>557</v>
      </c>
      <c r="X28" s="223">
        <f>Q18*X23</f>
        <v>1.3969340268272652</v>
      </c>
      <c r="Y28" s="228" t="s">
        <v>570</v>
      </c>
    </row>
    <row r="29" spans="13:25" x14ac:dyDescent="0.2">
      <c r="W29" s="221" t="s">
        <v>556</v>
      </c>
      <c r="X29" s="223">
        <f>Q20*X24</f>
        <v>2.333333333333333</v>
      </c>
      <c r="Y29" s="228" t="s">
        <v>571</v>
      </c>
    </row>
    <row r="30" spans="13:25" x14ac:dyDescent="0.2">
      <c r="X30" s="224"/>
      <c r="Y30" s="229"/>
    </row>
    <row r="31" spans="13:25" x14ac:dyDescent="0.2">
      <c r="W31" s="222" t="s">
        <v>559</v>
      </c>
      <c r="X31" s="224"/>
      <c r="Y31" s="229"/>
    </row>
    <row r="32" spans="13:25" x14ac:dyDescent="0.2">
      <c r="W32" s="221" t="s">
        <v>560</v>
      </c>
      <c r="X32" s="226">
        <f>(X27*O16+X28*O18+X29*O20)/(O16+O18+O20)</f>
        <v>1.8563762186314987</v>
      </c>
      <c r="Y32" s="228" t="s">
        <v>572</v>
      </c>
    </row>
    <row r="34" spans="30:52" x14ac:dyDescent="0.2">
      <c r="AE34" s="218">
        <v>2002</v>
      </c>
      <c r="AF34" s="218">
        <v>2003</v>
      </c>
      <c r="AG34" s="218">
        <v>2004</v>
      </c>
      <c r="AH34" s="218"/>
      <c r="AI34" s="218"/>
      <c r="AL34" s="56" t="s">
        <v>588</v>
      </c>
      <c r="AM34" s="95">
        <f>AE35*AE36+AF35*AF36+AG35*AG36</f>
        <v>0.54500000000000004</v>
      </c>
      <c r="AN34" s="36" t="s">
        <v>593</v>
      </c>
    </row>
    <row r="35" spans="30:52" x14ac:dyDescent="0.2">
      <c r="AD35" s="232" t="s">
        <v>573</v>
      </c>
      <c r="AE35" s="81">
        <v>0.45</v>
      </c>
      <c r="AF35" s="81">
        <v>0.65</v>
      </c>
      <c r="AG35" s="81">
        <v>0.52</v>
      </c>
      <c r="AH35" s="81"/>
      <c r="AI35" s="81"/>
    </row>
    <row r="36" spans="30:52" x14ac:dyDescent="0.2">
      <c r="AD36" s="232" t="s">
        <v>574</v>
      </c>
      <c r="AE36" s="81">
        <v>0.2</v>
      </c>
      <c r="AF36" s="81">
        <v>0.3</v>
      </c>
      <c r="AG36" s="81">
        <v>0.5</v>
      </c>
      <c r="AH36" s="81"/>
      <c r="AI36" s="81"/>
      <c r="AL36" s="56" t="s">
        <v>589</v>
      </c>
      <c r="AM36" s="79">
        <f>AM34/(1-SUM(AE46:AE49))-1</f>
        <v>2.8301886792452935E-2</v>
      </c>
      <c r="AN36" s="36" t="s">
        <v>594</v>
      </c>
    </row>
    <row r="37" spans="30:52" x14ac:dyDescent="0.2">
      <c r="AD37" s="232" t="s">
        <v>575</v>
      </c>
      <c r="AE37" s="100">
        <v>1945</v>
      </c>
      <c r="AF37" s="100">
        <v>2370</v>
      </c>
      <c r="AG37" s="100">
        <v>2260</v>
      </c>
      <c r="AH37" s="100"/>
      <c r="AI37" s="100"/>
    </row>
    <row r="39" spans="30:52" x14ac:dyDescent="0.2">
      <c r="AD39" s="232" t="s">
        <v>576</v>
      </c>
      <c r="AE39" s="100">
        <v>10000</v>
      </c>
      <c r="AL39" s="232" t="s">
        <v>590</v>
      </c>
      <c r="AM39" s="82">
        <f>(1+AE52)*(1+AE53)-1</f>
        <v>6.0799999999999965E-2</v>
      </c>
      <c r="AN39" s="36" t="s">
        <v>595</v>
      </c>
    </row>
    <row r="40" spans="30:52" x14ac:dyDescent="0.2">
      <c r="AD40" s="232" t="s">
        <v>577</v>
      </c>
      <c r="AE40" s="231">
        <v>38504</v>
      </c>
      <c r="AF40" t="s">
        <v>591</v>
      </c>
    </row>
    <row r="41" spans="30:52" x14ac:dyDescent="0.2">
      <c r="AD41" s="232" t="s">
        <v>578</v>
      </c>
      <c r="AE41" s="231">
        <v>38961</v>
      </c>
      <c r="AF41">
        <v>1.25</v>
      </c>
      <c r="AL41" s="56" t="s">
        <v>560</v>
      </c>
      <c r="AM41" s="233">
        <f>((1+AM39)/(1+AE54))^AF41*((1+AE42)/(1+AE43))</f>
        <v>1.087882244756992</v>
      </c>
      <c r="AN41" s="36" t="s">
        <v>596</v>
      </c>
    </row>
    <row r="42" spans="30:52" x14ac:dyDescent="0.2">
      <c r="AD42" s="232" t="s">
        <v>579</v>
      </c>
      <c r="AE42" s="81">
        <v>0.08</v>
      </c>
    </row>
    <row r="43" spans="30:52" x14ac:dyDescent="0.2">
      <c r="AD43" s="232" t="s">
        <v>580</v>
      </c>
      <c r="AE43" s="81">
        <v>0.03</v>
      </c>
      <c r="AL43" s="56" t="s">
        <v>531</v>
      </c>
      <c r="AM43" s="94">
        <f>SQRT(SUM(AE37:AG37)/AE39)</f>
        <v>0.81086373701134273</v>
      </c>
      <c r="AN43" s="36" t="s">
        <v>597</v>
      </c>
    </row>
    <row r="44" spans="30:52" x14ac:dyDescent="0.2">
      <c r="AD44" s="71"/>
      <c r="AE44" s="81"/>
    </row>
    <row r="45" spans="30:52" x14ac:dyDescent="0.2">
      <c r="AD45" s="70" t="s">
        <v>586</v>
      </c>
      <c r="AL45" s="56" t="s">
        <v>592</v>
      </c>
      <c r="AM45" s="79">
        <f>AM43*(1+AM36)+(1-AM43)*AM41-1</f>
        <v>3.9570693045392291E-2</v>
      </c>
      <c r="AN45" s="36" t="s">
        <v>598</v>
      </c>
      <c r="AU45" s="36" t="s">
        <v>616</v>
      </c>
      <c r="AV45" s="36" t="s">
        <v>617</v>
      </c>
    </row>
    <row r="46" spans="30:52" x14ac:dyDescent="0.2">
      <c r="AD46" s="232" t="s">
        <v>581</v>
      </c>
      <c r="AE46" s="81">
        <v>0.25</v>
      </c>
      <c r="AS46" s="218" t="s">
        <v>177</v>
      </c>
      <c r="AT46" s="218" t="s">
        <v>599</v>
      </c>
      <c r="AU46" s="218" t="s">
        <v>607</v>
      </c>
      <c r="AV46" s="218" t="s">
        <v>608</v>
      </c>
      <c r="AX46" s="15" t="s">
        <v>604</v>
      </c>
    </row>
    <row r="47" spans="30:52" x14ac:dyDescent="0.2">
      <c r="AD47" s="232" t="s">
        <v>214</v>
      </c>
      <c r="AE47" s="81">
        <v>0.03</v>
      </c>
      <c r="AS47" s="71">
        <v>1</v>
      </c>
      <c r="AT47" s="180">
        <v>50000</v>
      </c>
      <c r="AU47" s="182">
        <f>MIN(AT47,$AT$63)</f>
        <v>50000</v>
      </c>
      <c r="AV47" s="182">
        <f>MIN(AU47,$AT$64)</f>
        <v>50000</v>
      </c>
      <c r="AX47" s="56" t="s">
        <v>606</v>
      </c>
      <c r="AY47" s="199">
        <f>SUM(AU47:AU52)/AT60</f>
        <v>850</v>
      </c>
      <c r="AZ47" s="36" t="s">
        <v>612</v>
      </c>
    </row>
    <row r="48" spans="30:52" x14ac:dyDescent="0.2">
      <c r="AD48" s="232" t="s">
        <v>216</v>
      </c>
      <c r="AE48" s="81">
        <v>0.14000000000000001</v>
      </c>
      <c r="AS48" s="71">
        <v>2</v>
      </c>
      <c r="AT48" s="180">
        <v>500000</v>
      </c>
      <c r="AU48" s="182">
        <f t="shared" ref="AU48:AU52" si="1">MIN(AT48,$AT$63)</f>
        <v>250000</v>
      </c>
      <c r="AV48" s="182">
        <f t="shared" ref="AV48:AV52" si="2">MIN(AU48,$AT$64)</f>
        <v>100000</v>
      </c>
      <c r="AY48" s="9"/>
    </row>
    <row r="49" spans="30:52" x14ac:dyDescent="0.2">
      <c r="AD49" s="232" t="s">
        <v>582</v>
      </c>
      <c r="AE49" s="81">
        <v>0.05</v>
      </c>
      <c r="AS49" s="71">
        <v>3</v>
      </c>
      <c r="AT49" s="180">
        <v>600000</v>
      </c>
      <c r="AU49" s="182">
        <f t="shared" si="1"/>
        <v>250000</v>
      </c>
      <c r="AV49" s="182">
        <f t="shared" si="2"/>
        <v>100000</v>
      </c>
      <c r="AX49" s="56" t="s">
        <v>560</v>
      </c>
      <c r="AY49" s="127">
        <f>AY47*(AT58-AT57)/AT57</f>
        <v>212.5</v>
      </c>
      <c r="AZ49" s="36" t="s">
        <v>613</v>
      </c>
    </row>
    <row r="50" spans="30:52" x14ac:dyDescent="0.2">
      <c r="AD50" s="71"/>
      <c r="AE50" s="81"/>
      <c r="AS50" s="71">
        <v>4</v>
      </c>
      <c r="AT50" s="180">
        <v>200000</v>
      </c>
      <c r="AU50" s="182">
        <f t="shared" si="1"/>
        <v>200000</v>
      </c>
      <c r="AV50" s="182">
        <f t="shared" si="2"/>
        <v>100000</v>
      </c>
      <c r="AX50" s="235"/>
    </row>
    <row r="51" spans="30:52" x14ac:dyDescent="0.2">
      <c r="AD51" s="70" t="s">
        <v>587</v>
      </c>
      <c r="AS51" s="71">
        <v>5</v>
      </c>
      <c r="AT51" s="180">
        <v>10000</v>
      </c>
      <c r="AU51" s="182">
        <f t="shared" si="1"/>
        <v>10000</v>
      </c>
      <c r="AV51" s="182">
        <f t="shared" si="2"/>
        <v>10000</v>
      </c>
      <c r="AX51" s="15" t="s">
        <v>609</v>
      </c>
    </row>
    <row r="52" spans="30:52" x14ac:dyDescent="0.2">
      <c r="AD52" s="232" t="s">
        <v>583</v>
      </c>
      <c r="AE52" s="81">
        <v>0.02</v>
      </c>
      <c r="AS52" s="71">
        <v>6</v>
      </c>
      <c r="AT52" s="180">
        <v>90000</v>
      </c>
      <c r="AU52" s="182">
        <f t="shared" si="1"/>
        <v>90000</v>
      </c>
      <c r="AV52" s="182">
        <f t="shared" si="2"/>
        <v>90000</v>
      </c>
      <c r="AX52" s="56" t="s">
        <v>610</v>
      </c>
      <c r="AY52" s="199">
        <f>SUM(AV47:AV52)/AT60</f>
        <v>450</v>
      </c>
      <c r="AZ52" s="36" t="s">
        <v>614</v>
      </c>
    </row>
    <row r="53" spans="30:52" x14ac:dyDescent="0.2">
      <c r="AD53" s="232" t="s">
        <v>584</v>
      </c>
      <c r="AE53" s="81">
        <v>0.04</v>
      </c>
    </row>
    <row r="54" spans="30:52" x14ac:dyDescent="0.2">
      <c r="AD54" s="232" t="s">
        <v>585</v>
      </c>
      <c r="AE54" s="81">
        <v>0.03</v>
      </c>
      <c r="AS54" s="218" t="s">
        <v>600</v>
      </c>
      <c r="AT54" s="218" t="s">
        <v>601</v>
      </c>
      <c r="AU54" s="218"/>
      <c r="AV54" s="218"/>
      <c r="AX54" s="56" t="s">
        <v>560</v>
      </c>
      <c r="AY54" s="127">
        <f>AY52*(AT58-AT57)/AT56</f>
        <v>150</v>
      </c>
      <c r="AZ54" s="36" t="s">
        <v>615</v>
      </c>
    </row>
    <row r="55" spans="30:52" x14ac:dyDescent="0.2">
      <c r="AS55" s="100">
        <v>10000</v>
      </c>
      <c r="AT55" s="71">
        <v>1</v>
      </c>
      <c r="AU55" s="71"/>
      <c r="AV55" s="71"/>
    </row>
    <row r="56" spans="30:52" x14ac:dyDescent="0.2">
      <c r="AS56" s="100">
        <v>100000</v>
      </c>
      <c r="AT56" s="71">
        <v>1.5</v>
      </c>
      <c r="AU56" s="71"/>
      <c r="AV56" s="71"/>
    </row>
    <row r="57" spans="30:52" x14ac:dyDescent="0.2">
      <c r="AS57" s="100">
        <v>250000</v>
      </c>
      <c r="AT57" s="71">
        <v>2</v>
      </c>
      <c r="AU57" s="71"/>
      <c r="AV57" s="71"/>
    </row>
    <row r="58" spans="30:52" x14ac:dyDescent="0.2">
      <c r="AS58" s="100">
        <v>500000</v>
      </c>
      <c r="AT58" s="71">
        <v>2.5</v>
      </c>
      <c r="AU58" s="71"/>
      <c r="AV58" s="71"/>
    </row>
    <row r="60" spans="30:52" x14ac:dyDescent="0.2">
      <c r="AS60" t="s">
        <v>602</v>
      </c>
      <c r="AT60" s="168">
        <v>1000</v>
      </c>
      <c r="AU60" s="168"/>
      <c r="AV60" s="168"/>
    </row>
    <row r="61" spans="30:52" x14ac:dyDescent="0.2">
      <c r="AS61" t="s">
        <v>603</v>
      </c>
      <c r="AT61" s="168">
        <v>10000</v>
      </c>
      <c r="AU61" s="168"/>
      <c r="AV61" s="168"/>
    </row>
    <row r="63" spans="30:52" x14ac:dyDescent="0.2">
      <c r="AS63" t="s">
        <v>605</v>
      </c>
      <c r="AT63" s="234">
        <v>250000</v>
      </c>
    </row>
    <row r="64" spans="30:52" x14ac:dyDescent="0.2">
      <c r="AS64" t="s">
        <v>611</v>
      </c>
      <c r="AT64" s="210">
        <v>100000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CF04-CDDC-BC4F-8BCA-A0E6C222FF3A}">
  <sheetPr codeName="Sheet14"/>
  <dimension ref="B2:K14"/>
  <sheetViews>
    <sheetView tabSelected="1" workbookViewId="0">
      <selection activeCell="J21" sqref="J21"/>
    </sheetView>
  </sheetViews>
  <sheetFormatPr baseColWidth="10" defaultRowHeight="16" x14ac:dyDescent="0.2"/>
  <cols>
    <col min="2" max="2" width="33.1640625" bestFit="1" customWidth="1"/>
    <col min="3" max="3" width="17.33203125" bestFit="1" customWidth="1"/>
    <col min="4" max="4" width="10.6640625" bestFit="1" customWidth="1"/>
    <col min="7" max="7" width="5.1640625" bestFit="1" customWidth="1"/>
    <col min="9" max="9" width="14.83203125" bestFit="1" customWidth="1"/>
  </cols>
  <sheetData>
    <row r="2" spans="2:11" x14ac:dyDescent="0.2">
      <c r="J2" s="36" t="s">
        <v>630</v>
      </c>
    </row>
    <row r="3" spans="2:11" x14ac:dyDescent="0.2">
      <c r="I3" s="36" t="s">
        <v>629</v>
      </c>
    </row>
    <row r="4" spans="2:11" x14ac:dyDescent="0.2">
      <c r="H4" s="36" t="s">
        <v>628</v>
      </c>
    </row>
    <row r="5" spans="2:11" x14ac:dyDescent="0.2">
      <c r="B5" s="218" t="s">
        <v>50</v>
      </c>
      <c r="C5" s="218" t="s">
        <v>254</v>
      </c>
      <c r="D5" s="218" t="s">
        <v>618</v>
      </c>
      <c r="F5" s="249"/>
      <c r="G5" s="249"/>
      <c r="H5" s="218" t="s">
        <v>49</v>
      </c>
      <c r="I5" s="218" t="s">
        <v>558</v>
      </c>
      <c r="J5" s="218" t="s">
        <v>624</v>
      </c>
    </row>
    <row r="6" spans="2:11" x14ac:dyDescent="0.2">
      <c r="B6" s="71" t="s">
        <v>619</v>
      </c>
      <c r="C6" s="72">
        <v>500</v>
      </c>
      <c r="D6" s="72">
        <v>150</v>
      </c>
      <c r="F6" t="s">
        <v>237</v>
      </c>
      <c r="G6">
        <v>1</v>
      </c>
      <c r="H6" s="271">
        <f>IF(G6=1,$C$6,$C$7)*_xlfn.XLOOKUP(G6-1,$C$12:$C$14,$D$12:$D$14)*(1+$C$11)^-(G6-1)</f>
        <v>500</v>
      </c>
      <c r="I6" s="271">
        <f>IF(G6=1,$C$9,$C$9-(G6-1)*$C$10)*_xlfn.XLOOKUP(G6-1,$C$12:$C$14,$D$12:$D$14)*(1+$C$11)^-(G6-1)</f>
        <v>400</v>
      </c>
      <c r="J6" s="271">
        <f>IF(G6=1,$D$6,$D$7)*_xlfn.XLOOKUP(G6-1,$C$12:$C$14,$D$12:$D$14)*(1+$C$11)^-(G6-1)</f>
        <v>150</v>
      </c>
      <c r="K6" s="87"/>
    </row>
    <row r="7" spans="2:11" x14ac:dyDescent="0.2">
      <c r="B7" s="71" t="s">
        <v>620</v>
      </c>
      <c r="C7" s="72">
        <v>500</v>
      </c>
      <c r="D7" s="72">
        <v>80</v>
      </c>
      <c r="F7" t="s">
        <v>237</v>
      </c>
      <c r="G7">
        <v>2</v>
      </c>
      <c r="H7" s="271">
        <f>IF(G7=1,$C$6,$C$7)*_xlfn.XLOOKUP(G7-1,$C$12:$C$14,$D$12:$D$14)*(1+$C$11)^-(G7-1)</f>
        <v>428.57142857142856</v>
      </c>
      <c r="I7" s="271">
        <f t="shared" ref="I7:I8" si="0">IF(G7=1,$C$9,$C$9-(G7-1)*$C$10)*_xlfn.XLOOKUP(G7-1,$C$12:$C$14,$D$12:$D$14)*(1+$C$11)^-(G7-1)</f>
        <v>334.28571428571428</v>
      </c>
      <c r="J7" s="271">
        <f>IF(G7=1,$D$6,$D$7)*_xlfn.XLOOKUP(G7-1,$C$12:$C$14,$D$12:$D$14)*(1+$C$11)^-(G7-1)</f>
        <v>68.571428571428569</v>
      </c>
      <c r="K7" s="87"/>
    </row>
    <row r="8" spans="2:11" x14ac:dyDescent="0.2">
      <c r="F8" s="1" t="s">
        <v>237</v>
      </c>
      <c r="G8" s="1">
        <v>3</v>
      </c>
      <c r="H8" s="175">
        <f>IF(G8=1,$C$6,$C$7)*_xlfn.XLOOKUP(G8-1,$C$12:$C$14,$D$12:$D$14)*(1+$C$11)^-(G8-1)</f>
        <v>346.93877551020404</v>
      </c>
      <c r="I8" s="175">
        <f t="shared" si="0"/>
        <v>263.67346938775506</v>
      </c>
      <c r="J8" s="175">
        <f>IF(G8=1,$D$6,$D$7)*_xlfn.XLOOKUP(G8-1,$C$12:$C$14,$D$12:$D$14)*(1+$C$11)^-(G8-1)</f>
        <v>55.510204081632651</v>
      </c>
      <c r="K8" s="87"/>
    </row>
    <row r="9" spans="2:11" x14ac:dyDescent="0.2">
      <c r="B9" t="s">
        <v>621</v>
      </c>
      <c r="C9">
        <v>400</v>
      </c>
      <c r="G9" t="s">
        <v>10</v>
      </c>
      <c r="H9" s="53">
        <f>SUM(H6:H8)</f>
        <v>1275.5102040816325</v>
      </c>
      <c r="I9" s="53">
        <f>SUM(I6:I8)</f>
        <v>997.95918367346928</v>
      </c>
      <c r="J9" s="53">
        <f>SUM(J6:J8)</f>
        <v>274.08163265306121</v>
      </c>
    </row>
    <row r="10" spans="2:11" x14ac:dyDescent="0.2">
      <c r="B10" t="s">
        <v>622</v>
      </c>
      <c r="C10">
        <v>10</v>
      </c>
      <c r="H10" s="36" t="s">
        <v>631</v>
      </c>
    </row>
    <row r="11" spans="2:11" x14ac:dyDescent="0.2">
      <c r="B11" t="s">
        <v>623</v>
      </c>
      <c r="C11">
        <v>0.05</v>
      </c>
    </row>
    <row r="12" spans="2:11" x14ac:dyDescent="0.2">
      <c r="B12" t="s">
        <v>626</v>
      </c>
      <c r="C12">
        <v>0</v>
      </c>
      <c r="D12">
        <v>1</v>
      </c>
      <c r="G12" s="235"/>
      <c r="H12" s="56"/>
    </row>
    <row r="13" spans="2:11" x14ac:dyDescent="0.2">
      <c r="B13" t="s">
        <v>625</v>
      </c>
      <c r="C13">
        <v>1</v>
      </c>
      <c r="D13" s="22">
        <f>D12*E13</f>
        <v>0.9</v>
      </c>
      <c r="E13">
        <v>0.9</v>
      </c>
    </row>
    <row r="14" spans="2:11" x14ac:dyDescent="0.2">
      <c r="B14" t="s">
        <v>625</v>
      </c>
      <c r="C14">
        <v>2</v>
      </c>
      <c r="D14" s="22">
        <f>D13*E14</f>
        <v>0.76500000000000001</v>
      </c>
      <c r="E14">
        <v>0.85</v>
      </c>
      <c r="F14" s="36" t="s">
        <v>633</v>
      </c>
      <c r="I14" s="56" t="s">
        <v>627</v>
      </c>
      <c r="J14" s="58">
        <f>H9-SUM(I9:J9)</f>
        <v>3.4693877551019341</v>
      </c>
      <c r="K14" s="36" t="s">
        <v>632</v>
      </c>
    </row>
  </sheetData>
  <mergeCells count="1">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2.2.1</vt:lpstr>
      <vt:lpstr>2.2.2</vt:lpstr>
      <vt:lpstr>2.3.1</vt:lpstr>
      <vt:lpstr>2.3.3</vt:lpstr>
      <vt:lpstr>2.4.3</vt:lpstr>
      <vt:lpstr>2.5.3</vt:lpstr>
      <vt:lpstr>2.6.1</vt:lpstr>
      <vt:lpstr>3.1.3</vt:lpstr>
      <vt:lpstr>3.1.4</vt:lpstr>
      <vt:lpstr>3.3.2</vt:lpstr>
      <vt:lpstr>3.3.3</vt:lpstr>
      <vt:lpstr>3.3.5</vt:lpstr>
      <vt:lpstr>3.4.2</vt:lpstr>
      <vt:lpstr>4.1.2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Gearhart, Colton</dc:creator>
  <cp:lastModifiedBy>Gearhart, Colton</cp:lastModifiedBy>
  <dcterms:created xsi:type="dcterms:W3CDTF">2025-01-24T19:52:59Z</dcterms:created>
  <dcterms:modified xsi:type="dcterms:W3CDTF">2025-07-15T14:20:03Z</dcterms:modified>
</cp:coreProperties>
</file>