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ltongearhart/Desktop/exam5/files/"/>
    </mc:Choice>
  </mc:AlternateContent>
  <xr:revisionPtr revIDLastSave="0" documentId="13_ncr:1_{6D5AABBF-483B-B440-875D-2B21C872C685}" xr6:coauthVersionLast="47" xr6:coauthVersionMax="47" xr10:uidLastSave="{00000000-0000-0000-0000-000000000000}"/>
  <bookViews>
    <workbookView xWindow="0" yWindow="760" windowWidth="30240" windowHeight="17620" activeTab="13" xr2:uid="{BB8505BC-BCB7-B340-A120-C046C43AD7BD}"/>
  </bookViews>
  <sheets>
    <sheet name="6.1.1" sheetId="19" r:id="rId1"/>
    <sheet name="6.2.1" sheetId="20" r:id="rId2"/>
    <sheet name="6.3.1" sheetId="21" r:id="rId3"/>
    <sheet name="6.4.1" sheetId="23" r:id="rId4"/>
    <sheet name="6.4.2" sheetId="24" r:id="rId5"/>
    <sheet name="6.5.1" sheetId="25" r:id="rId6"/>
    <sheet name="6.6.1" sheetId="26" r:id="rId7"/>
    <sheet name="6.6.2" sheetId="27" r:id="rId8"/>
    <sheet name="6.6.3" sheetId="28" r:id="rId9"/>
    <sheet name="6.7.1" sheetId="29" r:id="rId10"/>
    <sheet name="6.7.2" sheetId="30" r:id="rId11"/>
    <sheet name="7.1.1" sheetId="31" r:id="rId12"/>
    <sheet name="7.1.2" sheetId="32" r:id="rId13"/>
    <sheet name="7.2.1" sheetId="33" r:id="rId14"/>
  </sheets>
  <definedNames>
    <definedName name="_xlnm._FilterDatabase" localSheetId="1" hidden="1">'6.2.1'!$B$2:$E$2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33" l="1"/>
  <c r="S32" i="33"/>
  <c r="S28" i="33"/>
  <c r="T24" i="33"/>
  <c r="T23" i="33"/>
  <c r="S25" i="33"/>
  <c r="S23" i="33"/>
  <c r="R29" i="33" s="1"/>
  <c r="S24" i="33"/>
  <c r="S18" i="33"/>
  <c r="R18" i="33"/>
  <c r="F4" i="33"/>
  <c r="E4" i="33"/>
  <c r="T25" i="33"/>
  <c r="H6" i="33"/>
  <c r="I6" i="33" s="1"/>
  <c r="K6" i="33" s="1"/>
  <c r="G4" i="33"/>
  <c r="J4" i="33"/>
  <c r="E5" i="33"/>
  <c r="J5" i="33" s="1"/>
  <c r="E6" i="33"/>
  <c r="J6" i="33" s="1"/>
  <c r="F5" i="33"/>
  <c r="G5" i="33" s="1"/>
  <c r="H5" i="33"/>
  <c r="I5" i="33" s="1"/>
  <c r="F6" i="33"/>
  <c r="G6" i="33" s="1"/>
  <c r="H4" i="33"/>
  <c r="I4" i="33" s="1"/>
  <c r="R32" i="33" l="1"/>
  <c r="K4" i="33"/>
  <c r="K5" i="33"/>
  <c r="K10" i="33"/>
  <c r="H38" i="32"/>
  <c r="J18" i="32"/>
  <c r="H6" i="32"/>
  <c r="H18" i="32" s="1"/>
  <c r="H25" i="32" s="1"/>
  <c r="J25" i="32"/>
  <c r="I5" i="32"/>
  <c r="I18" i="32" s="1"/>
  <c r="I25" i="32" s="1"/>
  <c r="H32" i="32" s="1"/>
  <c r="H5" i="32"/>
  <c r="H11" i="32" s="1"/>
  <c r="I4" i="32"/>
  <c r="J4" i="32"/>
  <c r="H4" i="32"/>
  <c r="Z48" i="31"/>
  <c r="Y48" i="31"/>
  <c r="AA48" i="31"/>
  <c r="Z49" i="31"/>
  <c r="Y50" i="31"/>
  <c r="Y49" i="31"/>
  <c r="Y40" i="31"/>
  <c r="AA40" i="31"/>
  <c r="Z41" i="31"/>
  <c r="Y42" i="31"/>
  <c r="X35" i="31"/>
  <c r="Y41" i="31"/>
  <c r="X41" i="31"/>
  <c r="X42" i="31"/>
  <c r="Z40" i="31"/>
  <c r="X40" i="31"/>
  <c r="AA35" i="31"/>
  <c r="Z35" i="31"/>
  <c r="Y35" i="31"/>
  <c r="X34" i="31" a="1"/>
  <c r="X34" i="31" s="1"/>
  <c r="K28" i="31"/>
  <c r="M11" i="31"/>
  <c r="L5" i="31"/>
  <c r="M4" i="31"/>
  <c r="M12" i="31" s="1"/>
  <c r="J28" i="31"/>
  <c r="J11" i="31"/>
  <c r="K11" i="31"/>
  <c r="J5" i="31"/>
  <c r="J6" i="31"/>
  <c r="J4" i="31"/>
  <c r="L11" i="31"/>
  <c r="K5" i="31"/>
  <c r="K6" i="31"/>
  <c r="L4" i="31"/>
  <c r="K4" i="31"/>
  <c r="H8" i="30"/>
  <c r="H4" i="30"/>
  <c r="G4" i="30"/>
  <c r="E4" i="30" a="1"/>
  <c r="E4" i="30"/>
  <c r="D4" i="30"/>
  <c r="A12" i="30"/>
  <c r="A10" i="30"/>
  <c r="A11" i="30"/>
  <c r="D5" i="30"/>
  <c r="F5" i="30" s="1" a="1"/>
  <c r="F5" i="30" s="1"/>
  <c r="D6" i="30"/>
  <c r="E6" i="30" s="1" a="1"/>
  <c r="E6" i="30" s="1"/>
  <c r="N47" i="29"/>
  <c r="N43" i="29"/>
  <c r="J43" i="29"/>
  <c r="L34" i="29"/>
  <c r="K34" i="29"/>
  <c r="L32" i="29"/>
  <c r="K32" i="29"/>
  <c r="L41" i="29" s="1"/>
  <c r="K27" i="29"/>
  <c r="L19" i="29"/>
  <c r="K5" i="29"/>
  <c r="J6" i="29"/>
  <c r="I7" i="29"/>
  <c r="K11" i="29"/>
  <c r="K12" i="29"/>
  <c r="K10" i="29"/>
  <c r="M40" i="29"/>
  <c r="N40" i="29" s="1"/>
  <c r="K42" i="29"/>
  <c r="I27" i="29"/>
  <c r="J32" i="29"/>
  <c r="I32" i="29"/>
  <c r="I34" i="29"/>
  <c r="J28" i="29"/>
  <c r="I28" i="29"/>
  <c r="I29" i="29"/>
  <c r="J27" i="29"/>
  <c r="J34" i="29"/>
  <c r="I33" i="29"/>
  <c r="K33" i="29"/>
  <c r="J33" i="29"/>
  <c r="J11" i="29"/>
  <c r="J10" i="29" s="1"/>
  <c r="I11" i="29"/>
  <c r="I10" i="29" s="1"/>
  <c r="I6" i="29"/>
  <c r="J5" i="29"/>
  <c r="I5" i="29"/>
  <c r="T23" i="28"/>
  <c r="R21" i="28"/>
  <c r="R12" i="28"/>
  <c r="Q15" i="28"/>
  <c r="T12" i="28"/>
  <c r="R11" i="28"/>
  <c r="S11" i="28"/>
  <c r="T11" i="28"/>
  <c r="Q11" i="28"/>
  <c r="S6" i="28"/>
  <c r="R5" i="28"/>
  <c r="K29" i="28"/>
  <c r="L29" i="28"/>
  <c r="M29" i="28"/>
  <c r="J29" i="28"/>
  <c r="L23" i="28"/>
  <c r="J8" i="28"/>
  <c r="K7" i="28"/>
  <c r="R7" i="28" s="1"/>
  <c r="K6" i="28"/>
  <c r="R6" i="28" s="1"/>
  <c r="L6" i="28"/>
  <c r="J6" i="28"/>
  <c r="J7" i="28"/>
  <c r="K5" i="28"/>
  <c r="L5" i="28"/>
  <c r="S5" i="28" s="1"/>
  <c r="S12" i="28" s="1"/>
  <c r="M5" i="28"/>
  <c r="T5" i="28" s="1"/>
  <c r="J5" i="28"/>
  <c r="K16" i="28"/>
  <c r="K25" i="28" s="1"/>
  <c r="K15" i="28"/>
  <c r="K24" i="28" s="1"/>
  <c r="L15" i="28"/>
  <c r="L24" i="28" s="1"/>
  <c r="J15" i="28"/>
  <c r="J24" i="28" s="1"/>
  <c r="J16" i="28"/>
  <c r="J25" i="28" s="1"/>
  <c r="J17" i="28"/>
  <c r="J26" i="28" s="1"/>
  <c r="K14" i="28"/>
  <c r="K23" i="28" s="1"/>
  <c r="L14" i="28"/>
  <c r="M14" i="28"/>
  <c r="M23" i="28" s="1"/>
  <c r="M30" i="28" s="1"/>
  <c r="J14" i="28"/>
  <c r="J23" i="28" s="1"/>
  <c r="L16" i="27"/>
  <c r="L14" i="27"/>
  <c r="L12" i="27"/>
  <c r="M9" i="27"/>
  <c r="K9" i="27"/>
  <c r="M4" i="27"/>
  <c r="L4" i="27"/>
  <c r="K4" i="27"/>
  <c r="J4" i="27"/>
  <c r="I4" i="27"/>
  <c r="H4" i="27"/>
  <c r="K6" i="27"/>
  <c r="K5" i="27"/>
  <c r="J5" i="27"/>
  <c r="J6" i="27"/>
  <c r="H6" i="27"/>
  <c r="L5" i="27"/>
  <c r="M5" i="27" s="1"/>
  <c r="L6" i="27"/>
  <c r="M6" i="27"/>
  <c r="I6" i="27"/>
  <c r="H5" i="27"/>
  <c r="I5" i="27" s="1"/>
  <c r="H31" i="26"/>
  <c r="C28" i="26"/>
  <c r="C23" i="26"/>
  <c r="B23" i="26"/>
  <c r="C17" i="26"/>
  <c r="B17" i="26"/>
  <c r="C11" i="26"/>
  <c r="M5" i="26"/>
  <c r="N5" i="26"/>
  <c r="M6" i="26"/>
  <c r="N4" i="26"/>
  <c r="O4" i="26"/>
  <c r="N11" i="26" s="1"/>
  <c r="M4" i="26"/>
  <c r="L19" i="26"/>
  <c r="M19" i="26" s="1"/>
  <c r="M25" i="26" s="1"/>
  <c r="L18" i="26"/>
  <c r="L17" i="26"/>
  <c r="B19" i="26"/>
  <c r="B25" i="26" s="1"/>
  <c r="D11" i="26"/>
  <c r="B18" i="26"/>
  <c r="B24" i="26" s="1"/>
  <c r="M12" i="26"/>
  <c r="M11" i="26"/>
  <c r="C12" i="26"/>
  <c r="AC42" i="25"/>
  <c r="AC32" i="25"/>
  <c r="AB32" i="25"/>
  <c r="AA32" i="25"/>
  <c r="AA40" i="25"/>
  <c r="AB33" i="25"/>
  <c r="AB34" i="25"/>
  <c r="AB35" i="25"/>
  <c r="AB36" i="25"/>
  <c r="AB37" i="25"/>
  <c r="AA33" i="25"/>
  <c r="AA34" i="25"/>
  <c r="AA35" i="25"/>
  <c r="AA36" i="25"/>
  <c r="AA37" i="25"/>
  <c r="X38" i="25"/>
  <c r="Y38" i="25"/>
  <c r="W38" i="25"/>
  <c r="O13" i="25"/>
  <c r="O14" i="25"/>
  <c r="O15" i="25"/>
  <c r="O16" i="25"/>
  <c r="O17" i="25"/>
  <c r="G4" i="25"/>
  <c r="G5" i="25"/>
  <c r="G6" i="25"/>
  <c r="G7" i="25"/>
  <c r="H4" i="24"/>
  <c r="G4" i="24"/>
  <c r="H5" i="24"/>
  <c r="G5" i="24"/>
  <c r="W44" i="23"/>
  <c r="AB26" i="23"/>
  <c r="AA26" i="23"/>
  <c r="Z26" i="23"/>
  <c r="Y26" i="23"/>
  <c r="X26" i="23"/>
  <c r="W26" i="23"/>
  <c r="U26" i="23"/>
  <c r="Q36" i="23"/>
  <c r="O41" i="23"/>
  <c r="O50" i="23"/>
  <c r="N50" i="23"/>
  <c r="M50" i="23" s="1"/>
  <c r="M47" i="23"/>
  <c r="X29" i="23"/>
  <c r="Y27" i="23"/>
  <c r="Z27" i="23" s="1"/>
  <c r="AA27" i="23" s="1"/>
  <c r="AB27" i="23" s="1"/>
  <c r="Y28" i="23"/>
  <c r="Z28" i="23" s="1"/>
  <c r="AA28" i="23" s="1"/>
  <c r="AB28" i="23" s="1"/>
  <c r="X27" i="23"/>
  <c r="X28" i="23"/>
  <c r="U28" i="23"/>
  <c r="U27" i="23"/>
  <c r="W27" i="23"/>
  <c r="W28" i="23"/>
  <c r="W29" i="23"/>
  <c r="N48" i="23"/>
  <c r="M48" i="23" s="1"/>
  <c r="N49" i="23"/>
  <c r="M49" i="23" s="1"/>
  <c r="N47" i="23"/>
  <c r="O44" i="23"/>
  <c r="O43" i="23"/>
  <c r="O49" i="23" s="1"/>
  <c r="P37" i="23"/>
  <c r="P36" i="23"/>
  <c r="O42" i="23" s="1"/>
  <c r="O48" i="23" s="1"/>
  <c r="O37" i="23"/>
  <c r="O38" i="23"/>
  <c r="O36" i="23"/>
  <c r="D16" i="23"/>
  <c r="G4" i="23"/>
  <c r="B20" i="23"/>
  <c r="B16" i="23"/>
  <c r="B17" i="23"/>
  <c r="B18" i="23"/>
  <c r="B19" i="23"/>
  <c r="C6" i="23"/>
  <c r="G5" i="23"/>
  <c r="G6" i="23"/>
  <c r="G7" i="23"/>
  <c r="D19" i="23"/>
  <c r="D17" i="23"/>
  <c r="D18" i="23"/>
  <c r="AG54" i="21"/>
  <c r="AG49" i="21"/>
  <c r="AF49" i="21"/>
  <c r="AE49" i="21"/>
  <c r="AD49" i="21"/>
  <c r="AC49" i="21"/>
  <c r="AF50" i="21"/>
  <c r="AF51" i="21"/>
  <c r="AD50" i="21"/>
  <c r="AD51" i="21"/>
  <c r="AG50" i="21"/>
  <c r="AG51" i="21"/>
  <c r="AG52" i="21"/>
  <c r="AC50" i="21"/>
  <c r="AC51" i="21"/>
  <c r="AE50" i="21"/>
  <c r="AE51" i="21"/>
  <c r="R37" i="21"/>
  <c r="P37" i="21"/>
  <c r="P24" i="21"/>
  <c r="P25" i="21"/>
  <c r="P30" i="21" s="1"/>
  <c r="P31" i="21"/>
  <c r="P40" i="21"/>
  <c r="R38" i="21"/>
  <c r="R39" i="21"/>
  <c r="P38" i="21"/>
  <c r="P39" i="21"/>
  <c r="L7" i="21"/>
  <c r="J7" i="21"/>
  <c r="K7" i="21" s="1"/>
  <c r="L8" i="21"/>
  <c r="L9" i="21"/>
  <c r="L10" i="21"/>
  <c r="J8" i="21"/>
  <c r="K8" i="21" s="1"/>
  <c r="J9" i="21"/>
  <c r="K9" i="21" s="1"/>
  <c r="J10" i="21"/>
  <c r="K10" i="21" s="1"/>
  <c r="S59" i="20"/>
  <c r="S55" i="20"/>
  <c r="P45" i="20"/>
  <c r="T52" i="20"/>
  <c r="Q44" i="20"/>
  <c r="P44" i="20"/>
  <c r="R43" i="20"/>
  <c r="Q43" i="20"/>
  <c r="P43" i="20"/>
  <c r="Q42" i="20"/>
  <c r="R42" i="20"/>
  <c r="S42" i="20"/>
  <c r="S48" i="20" s="1"/>
  <c r="S52" i="20" s="1"/>
  <c r="P42" i="20"/>
  <c r="D19" i="20"/>
  <c r="I19" i="20" s="1"/>
  <c r="E28" i="20"/>
  <c r="D28" i="20"/>
  <c r="C24" i="20"/>
  <c r="C28" i="20" s="1"/>
  <c r="K28" i="20" s="1"/>
  <c r="K30" i="20" s="1"/>
  <c r="K17" i="20"/>
  <c r="J18" i="20"/>
  <c r="F28" i="20"/>
  <c r="I18" i="20"/>
  <c r="J17" i="20"/>
  <c r="I17" i="20"/>
  <c r="E4" i="20"/>
  <c r="E6" i="20"/>
  <c r="E9" i="20"/>
  <c r="E5" i="20"/>
  <c r="E7" i="20"/>
  <c r="E10" i="20"/>
  <c r="E8" i="20"/>
  <c r="E11" i="20"/>
  <c r="E12" i="20"/>
  <c r="E3" i="20"/>
  <c r="K12" i="19"/>
  <c r="K11" i="19"/>
  <c r="K10" i="19"/>
  <c r="J14" i="19" s="1"/>
  <c r="J16" i="19" s="1"/>
  <c r="J18" i="19" s="1"/>
  <c r="J8" i="19"/>
  <c r="S29" i="33" l="1"/>
  <c r="I11" i="32"/>
  <c r="H12" i="32"/>
  <c r="H20" i="32"/>
  <c r="H27" i="32" s="1"/>
  <c r="I19" i="32"/>
  <c r="I26" i="32" s="1"/>
  <c r="H19" i="32"/>
  <c r="H26" i="32" s="1"/>
  <c r="I32" i="32"/>
  <c r="I35" i="32" s="1"/>
  <c r="L17" i="31"/>
  <c r="J12" i="31"/>
  <c r="K12" i="31"/>
  <c r="J19" i="31" s="1"/>
  <c r="L12" i="31"/>
  <c r="K18" i="31" s="1"/>
  <c r="F4" i="30" a="1"/>
  <c r="F4" i="30" s="1"/>
  <c r="E5" i="30" a="1"/>
  <c r="E5" i="30" s="1"/>
  <c r="G5" i="30" s="1"/>
  <c r="H5" i="30" s="1"/>
  <c r="F6" i="30" a="1"/>
  <c r="F6" i="30" s="1"/>
  <c r="G6" i="30" s="1"/>
  <c r="H6" i="30" s="1"/>
  <c r="M41" i="29"/>
  <c r="N41" i="29" s="1"/>
  <c r="J12" i="29"/>
  <c r="K20" i="29" s="1"/>
  <c r="I12" i="29"/>
  <c r="J21" i="29" s="1"/>
  <c r="K30" i="28"/>
  <c r="J30" i="28"/>
  <c r="R18" i="28" s="1"/>
  <c r="L30" i="28"/>
  <c r="M18" i="26"/>
  <c r="C18" i="26"/>
  <c r="M17" i="26"/>
  <c r="M23" i="26" s="1"/>
  <c r="L23" i="26"/>
  <c r="L24" i="26"/>
  <c r="L25" i="26"/>
  <c r="C19" i="26"/>
  <c r="C25" i="26" s="1"/>
  <c r="M24" i="26"/>
  <c r="AC36" i="25"/>
  <c r="AC33" i="25"/>
  <c r="AC34" i="25"/>
  <c r="AC35" i="25"/>
  <c r="AC37" i="25"/>
  <c r="O20" i="25"/>
  <c r="P13" i="25" s="1"/>
  <c r="G10" i="25"/>
  <c r="P14" i="25"/>
  <c r="O47" i="23"/>
  <c r="Y29" i="23" s="1"/>
  <c r="Z29" i="23" s="1"/>
  <c r="AA29" i="23" s="1"/>
  <c r="AB29" i="23" s="1"/>
  <c r="H6" i="23"/>
  <c r="I6" i="23" s="1"/>
  <c r="J6" i="23" s="1"/>
  <c r="H7" i="23"/>
  <c r="I7" i="23" s="1"/>
  <c r="J7" i="23" s="1"/>
  <c r="C5" i="23"/>
  <c r="C4" i="23" s="1"/>
  <c r="Q37" i="21"/>
  <c r="S37" i="21" s="1"/>
  <c r="Q38" i="21"/>
  <c r="P29" i="21"/>
  <c r="Q39" i="21" s="1"/>
  <c r="S39" i="21"/>
  <c r="S38" i="21"/>
  <c r="T41" i="21" s="1"/>
  <c r="T44" i="21" s="1"/>
  <c r="T46" i="21" s="1"/>
  <c r="M7" i="21"/>
  <c r="M10" i="21"/>
  <c r="M9" i="21"/>
  <c r="M8" i="21"/>
  <c r="M11" i="21" s="1"/>
  <c r="P48" i="20"/>
  <c r="R48" i="20"/>
  <c r="Q48" i="20"/>
  <c r="P52" i="20" s="1"/>
  <c r="R52" i="20"/>
  <c r="Q52" i="20"/>
  <c r="H33" i="32" l="1"/>
  <c r="H35" i="32" s="1"/>
  <c r="K17" i="31"/>
  <c r="K24" i="31" s="1"/>
  <c r="K29" i="31" s="1"/>
  <c r="J18" i="31"/>
  <c r="J17" i="31"/>
  <c r="K21" i="29"/>
  <c r="K43" i="29"/>
  <c r="L20" i="29"/>
  <c r="M42" i="29" s="1"/>
  <c r="L42" i="29"/>
  <c r="T18" i="28"/>
  <c r="T21" i="28" s="1"/>
  <c r="S18" i="28"/>
  <c r="S21" i="28" s="1"/>
  <c r="C24" i="26"/>
  <c r="M28" i="26"/>
  <c r="P15" i="25"/>
  <c r="P17" i="25"/>
  <c r="P16" i="25"/>
  <c r="P18" i="25"/>
  <c r="H4" i="23"/>
  <c r="I4" i="23" s="1"/>
  <c r="J4" i="23" s="1"/>
  <c r="H5" i="23"/>
  <c r="I5" i="23" s="1"/>
  <c r="J5" i="23" s="1"/>
  <c r="J24" i="31" l="1"/>
  <c r="J25" i="31"/>
  <c r="N42" i="29"/>
  <c r="L21" i="29"/>
  <c r="M43" i="29" s="1"/>
  <c r="L43" i="29"/>
  <c r="J9" i="23"/>
  <c r="J29" i="31" l="1"/>
  <c r="J32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<sst xmlns="http://schemas.openxmlformats.org/spreadsheetml/2006/main" count="662" uniqueCount="396">
  <si>
    <t>Total</t>
  </si>
  <si>
    <t>EP</t>
  </si>
  <si>
    <t>AY</t>
  </si>
  <si>
    <t>Accident Year</t>
  </si>
  <si>
    <t>12 Months</t>
  </si>
  <si>
    <t>24 Months</t>
  </si>
  <si>
    <t>36 Months</t>
  </si>
  <si>
    <t>48 Months</t>
  </si>
  <si>
    <t>60 Months</t>
  </si>
  <si>
    <t>12-24</t>
  </si>
  <si>
    <t>24-36</t>
  </si>
  <si>
    <t>36-48</t>
  </si>
  <si>
    <t>48-60</t>
  </si>
  <si>
    <t>Factor</t>
  </si>
  <si>
    <t>Age-to-age</t>
  </si>
  <si>
    <t>12-Ult</t>
  </si>
  <si>
    <t>24-Ult</t>
  </si>
  <si>
    <t>36-Ult</t>
  </si>
  <si>
    <t>48-Ult</t>
  </si>
  <si>
    <t>60-Ult</t>
  </si>
  <si>
    <t>Age of Development (Months)</t>
  </si>
  <si>
    <t>Age-to-ult</t>
  </si>
  <si>
    <t>12-ult</t>
  </si>
  <si>
    <t>24-ult</t>
  </si>
  <si>
    <t>36-ult</t>
  </si>
  <si>
    <t>CDF</t>
  </si>
  <si>
    <t>Average</t>
  </si>
  <si>
    <t>Earned Premium</t>
  </si>
  <si>
    <t>Calendar / Accident Year</t>
  </si>
  <si>
    <t>Loss ratio</t>
  </si>
  <si>
    <t>=D4/C4</t>
  </si>
  <si>
    <t>Reported Claim Counts</t>
  </si>
  <si>
    <t>Claim number</t>
  </si>
  <si>
    <t>Policy effective date</t>
  </si>
  <si>
    <t>Accident date</t>
  </si>
  <si>
    <t>Transaction date</t>
  </si>
  <si>
    <t>Incremental paid claims</t>
  </si>
  <si>
    <t>Case outstanding</t>
  </si>
  <si>
    <t>Provision for claims reported but not recorded = (% of pure IBNR)</t>
  </si>
  <si>
    <t>Provision  for claims incurred but not reported = (% of AY paid claims)</t>
  </si>
  <si>
    <t>Provision for reopened claims = (% of total claims closed for that AY)</t>
  </si>
  <si>
    <t xml:space="preserve">Estimate ultimate claims as of  = </t>
  </si>
  <si>
    <t>Ultimate claims = Unpaid claims + Paid claims</t>
  </si>
  <si>
    <t xml:space="preserve">Unpaid claims = </t>
  </si>
  <si>
    <t>Broad IBNR = Pure IBNR + Unrecorded claims + IBNER + Reopened claims</t>
  </si>
  <si>
    <t>--&gt; Unpaid claims = Case outstanding + Broad IBNR</t>
  </si>
  <si>
    <t xml:space="preserve">Broad IBNR = </t>
  </si>
  <si>
    <t xml:space="preserve">AY paid claims = </t>
  </si>
  <si>
    <t>==&gt;</t>
  </si>
  <si>
    <t xml:space="preserve">AY case outstanding = </t>
  </si>
  <si>
    <t>Provision for development on known claims = (% of AY case outstanding)</t>
  </si>
  <si>
    <t>Accounting date = Valuation date</t>
  </si>
  <si>
    <t xml:space="preserve">AY closed claims = </t>
  </si>
  <si>
    <t xml:space="preserve">==&gt; Broad IBRN = </t>
  </si>
  <si>
    <t xml:space="preserve">==&gt; Unpaid claims = </t>
  </si>
  <si>
    <t xml:space="preserve">==&gt; Ultimate claims = </t>
  </si>
  <si>
    <t>=SUMIF(E3:E12,"&lt;"&amp;F19,F3:F12)</t>
  </si>
  <si>
    <t>=SUMIFS(G3:G5,E3:E5,MAX(E3:E5))+ SUMIFS(G6:G9,E6:E9,MAX(E6:E9))+SUMIFS(G10:G12,E10:E12,MAX(E10:E12))</t>
  </si>
  <si>
    <t>=IF(XLOOKUP(MAX(E6:E9),E6:E9,G6:G9)=0,SUM(F6:F9),0)+IF(XLOOKUP(MAX(E10:E12),E10:E12,G10:G12)=0,SUM(F10:F12),0)</t>
  </si>
  <si>
    <t>=(F14*K10)+(F15*(F14*K10))+(F16*K11)+(F17*K12)</t>
  </si>
  <si>
    <t>=K11+J14</t>
  </si>
  <si>
    <t>=SUM(J16,K10)</t>
  </si>
  <si>
    <t>Valuation Date</t>
  </si>
  <si>
    <t>Incremental Paid Loss</t>
  </si>
  <si>
    <t>Cumulative Paid Loss</t>
  </si>
  <si>
    <t>12-24 Mos.</t>
  </si>
  <si>
    <t>24-36 Mos.</t>
  </si>
  <si>
    <t>36-48 Mos.</t>
  </si>
  <si>
    <t>48-Ultimate</t>
  </si>
  <si>
    <t>Age-to-age factors</t>
  </si>
  <si>
    <t>Age</t>
  </si>
  <si>
    <t>CDFs</t>
  </si>
  <si>
    <t xml:space="preserve">Est ultimate AY 2018 losses as of 12/31/2018 = </t>
  </si>
  <si>
    <t xml:space="preserve">Unpaid claim liability = </t>
  </si>
  <si>
    <t>=K28-C20</t>
  </si>
  <si>
    <t>=C20*C28</t>
  </si>
  <si>
    <t>=D19/C19</t>
  </si>
  <si>
    <t>=E18/D18</t>
  </si>
  <si>
    <t>=F17/E17</t>
  </si>
  <si>
    <t>=PRODUCT(C24:F24)</t>
  </si>
  <si>
    <t>=PRODUCT(D24:F24)</t>
  </si>
  <si>
    <t>=PRODUCT(E24:F24)</t>
  </si>
  <si>
    <t>=SUM(D17:D19)/SUM(C17:C19)</t>
  </si>
  <si>
    <t>=SUM(D4:D5)</t>
  </si>
  <si>
    <t>Cumulative Reported Claims (000s)</t>
  </si>
  <si>
    <t xml:space="preserve">Accident year 2019 paid claims as of December 31, 2020 = </t>
  </si>
  <si>
    <t>Selected age-to-age factors (simple average)</t>
  </si>
  <si>
    <t xml:space="preserve">AY 2019 est ult reported claims as of 12/31/2020 = </t>
  </si>
  <si>
    <t>=Q37/P37</t>
  </si>
  <si>
    <t>=AVERAGE(P42:P45)</t>
  </si>
  <si>
    <t>=PRODUCT(P48:$T$48)</t>
  </si>
  <si>
    <t>=(Q37*Q52)*1000</t>
  </si>
  <si>
    <t>=S55-S57</t>
  </si>
  <si>
    <t>Cumulative Reported Claims as of (months)</t>
  </si>
  <si>
    <t xml:space="preserve">Expected loss ratio = </t>
  </si>
  <si>
    <t xml:space="preserve">AY </t>
  </si>
  <si>
    <t>Aggregate claims</t>
  </si>
  <si>
    <t>Est ult claims</t>
  </si>
  <si>
    <t>Est unpaid claims</t>
  </si>
  <si>
    <t xml:space="preserve">Total IBNR = </t>
  </si>
  <si>
    <t xml:space="preserve">Est total IBNR = </t>
  </si>
  <si>
    <t>=XLOOKUP(I7,$B$7:$B$10,$C$7:$C$10)</t>
  </si>
  <si>
    <t>=$D$12*J7</t>
  </si>
  <si>
    <t>=MAX(XLOOKUP(I7,$B$7:$B$10,$D$7:$G$10))</t>
  </si>
  <si>
    <t>=K7-L7</t>
  </si>
  <si>
    <t>=SUM(M7:M10)</t>
  </si>
  <si>
    <t>Volume-weighted age-to-age dev factors</t>
  </si>
  <si>
    <t>Agg claims</t>
  </si>
  <si>
    <t xml:space="preserve">Selected ECR = </t>
  </si>
  <si>
    <t xml:space="preserve">AY 2002 est ult claims = </t>
  </si>
  <si>
    <t xml:space="preserve">Est IBNR = </t>
  </si>
  <si>
    <t>--&gt; Not needed because won't be developing 2002 data with EC method</t>
  </si>
  <si>
    <t>--&gt; No trend, so straight average</t>
  </si>
  <si>
    <t>=SUM(S16:S17)/SUM(R16:R17)</t>
  </si>
  <si>
    <t>=PRODUCT(P24:P26)</t>
  </si>
  <si>
    <t>=MAX(XLOOKUP(O37,$O$16:$O$19,$Q$16:$T$19))</t>
  </si>
  <si>
    <t>=P37*P31</t>
  </si>
  <si>
    <t>=XLOOKUP(O37,$O$16:$O$19,$P$16:$P$19)</t>
  </si>
  <si>
    <t>=Q37/R37</t>
  </si>
  <si>
    <t>=AVERAGE(S37:S39)</t>
  </si>
  <si>
    <t>=T41*R40</t>
  </si>
  <si>
    <t>=T44-P40</t>
  </si>
  <si>
    <t>Premium On-Level Factor</t>
  </si>
  <si>
    <t>Cumulative Reported Claims</t>
  </si>
  <si>
    <t>Reported CDF</t>
  </si>
  <si>
    <t xml:space="preserve">Loss trend = </t>
  </si>
  <si>
    <t>Premium trend =</t>
  </si>
  <si>
    <t xml:space="preserve">CY 2002 on-level EP trended to present date = </t>
  </si>
  <si>
    <t>Trended losses</t>
  </si>
  <si>
    <t>On-level EP</t>
  </si>
  <si>
    <t>Trended on-level premium</t>
  </si>
  <si>
    <t>Ult losses</t>
  </si>
  <si>
    <t>Loss ratios</t>
  </si>
  <si>
    <t>=AA49*AB49</t>
  </si>
  <si>
    <t>=AC49*(1+$Y$53)^(2002-X49)</t>
  </si>
  <si>
    <t>=Y49*Z49</t>
  </si>
  <si>
    <t>=AE49*(1+$Y$54)^(2002-X49+0.5)</t>
  </si>
  <si>
    <t>=AD49/AF49</t>
  </si>
  <si>
    <t>=AG52*Y55</t>
  </si>
  <si>
    <t>Earned Premium ($000)</t>
  </si>
  <si>
    <t>Expected
Loss Ratio</t>
  </si>
  <si>
    <t>Case Incurred Losses ($000), Valued as of December 31, 2001</t>
  </si>
  <si>
    <t>12 - 24 months</t>
  </si>
  <si>
    <t>24 - 36 months</t>
  </si>
  <si>
    <t>36 - 48 months</t>
  </si>
  <si>
    <t>48 - 60 months</t>
  </si>
  <si>
    <t>Dev factor</t>
  </si>
  <si>
    <t>Dev Factor</t>
  </si>
  <si>
    <t>48-ult</t>
  </si>
  <si>
    <t>60-ult</t>
  </si>
  <si>
    <t>Est ult losses (EC method)</t>
  </si>
  <si>
    <t>Dev ult claims</t>
  </si>
  <si>
    <t>Age (as of 12/31/2001)</t>
  </si>
  <si>
    <t>Est ult losses (BF)</t>
  </si>
  <si>
    <t>Lookup</t>
  </si>
  <si>
    <t xml:space="preserve">Total est losses = </t>
  </si>
  <si>
    <t>Est IBNR</t>
  </si>
  <si>
    <t>=C5+12</t>
  </si>
  <si>
    <t>=VALUE(LEFT(C20,2))</t>
  </si>
  <si>
    <t>=D4*F4</t>
  </si>
  <si>
    <t>=E4*XLOOKUP(C4,$B$16:$B$20,$D$16:$D$20)</t>
  </si>
  <si>
    <t>=LET(z,XLOOKUP(C4,$B$16:$B$20,$D$16:$D$20),H4*1/z+G4*(1-1/z))</t>
  </si>
  <si>
    <t>=I4-E4</t>
  </si>
  <si>
    <t>=PRODUCT(C10:$C$13)</t>
  </si>
  <si>
    <t>=SUM(J4:J7)*1000</t>
  </si>
  <si>
    <t>Case Incurred Losses</t>
  </si>
  <si>
    <t>(Age of Development in Months)</t>
  </si>
  <si>
    <t>Age-to-age development factors</t>
  </si>
  <si>
    <t>Selected factor</t>
  </si>
  <si>
    <t>Agg losses</t>
  </si>
  <si>
    <t>Dev losses</t>
  </si>
  <si>
    <t>Est ult loss (BF)</t>
  </si>
  <si>
    <t>=VALUE(LEFT(N47,2))</t>
  </si>
  <si>
    <t>=LEFT(N44,2)&amp;"-ult"</t>
  </si>
  <si>
    <t>=PRODUCT(O44:$O$44)</t>
  </si>
  <si>
    <t>=AVERAGE(O36:O38)</t>
  </si>
  <si>
    <t>=R26/Q26</t>
  </si>
  <si>
    <t>=U27+12</t>
  </si>
  <si>
    <t>=V26*$N$31</t>
  </si>
  <si>
    <t>=SUM(XLOOKUP(T26,$M$26:$M$29,$O$26:$R$29))</t>
  </si>
  <si>
    <t>=XLOOKUP(U26,$M$47:$M$50,$O$47:$O$50)</t>
  </si>
  <si>
    <t>=X26*Y26</t>
  </si>
  <si>
    <t>=Z26*1/Y26+W26*(1-1/Y26)</t>
  </si>
  <si>
    <t>=AA26-X26</t>
  </si>
  <si>
    <t>Expected Loss Ratio</t>
  </si>
  <si>
    <t>Paid Age to Ultimate Factor</t>
  </si>
  <si>
    <t>Paid Losses as of 12/31/2003</t>
  </si>
  <si>
    <t>Benktander ult losses</t>
  </si>
  <si>
    <t>BF ult losses</t>
  </si>
  <si>
    <t>=$F4+(C4*D4)*(1-1/$E4)</t>
  </si>
  <si>
    <t>=$F4+(G4)*(1-1/$E4)</t>
  </si>
  <si>
    <t>Earned Premium (in $000)</t>
  </si>
  <si>
    <t>On-Level Premium ($000)</t>
  </si>
  <si>
    <t>Cumulative Reported Loss (in $000)</t>
  </si>
  <si>
    <t>Cumulative Percent Reported</t>
  </si>
  <si>
    <t xml:space="preserve">Cape cod ECR = </t>
  </si>
  <si>
    <t>Used-up premium</t>
  </si>
  <si>
    <t>=SUM(E4:E7)/SUM(G4:G7)</t>
  </si>
  <si>
    <t>Calendar Accident Year</t>
  </si>
  <si>
    <t>On-Level Earned Premium</t>
  </si>
  <si>
    <t>Cumulative Reported Loss</t>
  </si>
  <si>
    <t>Used-up Premium</t>
  </si>
  <si>
    <t>Cape code IBNR</t>
  </si>
  <si>
    <t>=L13*N13</t>
  </si>
  <si>
    <t>=L13*$O$20*(1-N13)</t>
  </si>
  <si>
    <t>=SUM(P13:P17)</t>
  </si>
  <si>
    <t>=SUM(M13:M17)/SUM(O13:O17)</t>
  </si>
  <si>
    <t>Actual Earned Premium</t>
  </si>
  <si>
    <t>Rate Level Adjusted Premium</t>
  </si>
  <si>
    <t>Aggregate Reported Losses</t>
  </si>
  <si>
    <t>Loss Development Factor to Ultimate</t>
  </si>
  <si>
    <t>Ultimate losses</t>
  </si>
  <si>
    <t>Percent reported</t>
  </si>
  <si>
    <t>Cape cod IBNR</t>
  </si>
  <si>
    <t xml:space="preserve">AY2002 est ult loss ratio = </t>
  </si>
  <si>
    <t>=SUM(Y32:Y37)/SUMPRODUCT(X32:X37,AB32:AB37)</t>
  </si>
  <si>
    <t>=Y32*Z32</t>
  </si>
  <si>
    <t>=1/Z32</t>
  </si>
  <si>
    <t>=X32*$AA$40*(1-AB32)</t>
  </si>
  <si>
    <t>=(Y36+AC36)/W36</t>
  </si>
  <si>
    <t>Cumulative Reported Claim Counts</t>
  </si>
  <si>
    <t>Claim Count Age-to-Age Factors</t>
  </si>
  <si>
    <t xml:space="preserve">Est ult reported claim counts = </t>
  </si>
  <si>
    <t xml:space="preserve">Est ult reported claims = </t>
  </si>
  <si>
    <t>Claims Age-to-Age Factors</t>
  </si>
  <si>
    <t xml:space="preserve">Est ult reported claims amount = </t>
  </si>
  <si>
    <t>Severity (000s)</t>
  </si>
  <si>
    <t>=C10</t>
  </si>
  <si>
    <t>=AVERAGE(XLOOKUP(B17,$C$10:$E$10,$C$11:$E$13))</t>
  </si>
  <si>
    <t>=LEFT(B17,2)&amp;"-ult"</t>
  </si>
  <si>
    <t>=PRODUCT(C17:$C$19)</t>
  </si>
  <si>
    <t>=C6*C23</t>
  </si>
  <si>
    <t>=C28*M28*1000</t>
  </si>
  <si>
    <t>Count CDF</t>
  </si>
  <si>
    <t>Reported Claim Severity</t>
  </si>
  <si>
    <t>Severity CDF</t>
  </si>
  <si>
    <t>Earned Car-Years</t>
  </si>
  <si>
    <t xml:space="preserve">Severity trend = </t>
  </si>
  <si>
    <t xml:space="preserve">Claim counts trend = </t>
  </si>
  <si>
    <t xml:space="preserve">Exposures trend = </t>
  </si>
  <si>
    <t>Ultimate claim counts</t>
  </si>
  <si>
    <t>Trended ultimate claim counts</t>
  </si>
  <si>
    <t>Ultimate claim severity</t>
  </si>
  <si>
    <t>Trended ultimate severity</t>
  </si>
  <si>
    <t>Trended exposures</t>
  </si>
  <si>
    <t>Trended frequency</t>
  </si>
  <si>
    <t xml:space="preserve">Selected frequency = </t>
  </si>
  <si>
    <t xml:space="preserve">Selected severity = </t>
  </si>
  <si>
    <t xml:space="preserve">AY2023 est ult claims = </t>
  </si>
  <si>
    <t xml:space="preserve">IBNR est = </t>
  </si>
  <si>
    <t xml:space="preserve">AY 2023 reported claims = </t>
  </si>
  <si>
    <t>=C4*D4</t>
  </si>
  <si>
    <t>=H4*(1+$C$11)^($B$7-B4)</t>
  </si>
  <si>
    <t>=G4*(1+$C$12)^($B$7-B4)</t>
  </si>
  <si>
    <t>=I4/J4</t>
  </si>
  <si>
    <t>=E4*F4</t>
  </si>
  <si>
    <t>=L4*(1+$C$10)^($B$7-B4)</t>
  </si>
  <si>
    <t>=AVERAGE(K4:K6)</t>
  </si>
  <si>
    <t>=AVERAGE(M4:M6)</t>
  </si>
  <si>
    <t>=G7*K9*M9</t>
  </si>
  <si>
    <t>=C7*E7</t>
  </si>
  <si>
    <t>=L12-L14</t>
  </si>
  <si>
    <t>Age of Development in Months</t>
  </si>
  <si>
    <t>Incremental Loss and ALAE Payments on Closed Claims ($000s)</t>
  </si>
  <si>
    <t>Ultimate Counts</t>
  </si>
  <si>
    <t>Incremental Number of Claims Closed</t>
  </si>
  <si>
    <t xml:space="preserve">Annual severity trend = </t>
  </si>
  <si>
    <t>Cumulative Number of Claims Closed</t>
  </si>
  <si>
    <t>Incremental Severities on Closed Claims ($000s)</t>
  </si>
  <si>
    <t>Disposal Rate</t>
  </si>
  <si>
    <t>Disposal Rate Selects</t>
  </si>
  <si>
    <t>Maturity</t>
  </si>
  <si>
    <t>Trended Incremental Severities on Closed Claims ($000s)</t>
  </si>
  <si>
    <t>Selected Severity</t>
  </si>
  <si>
    <t xml:space="preserve">Open claim counts 2007 = </t>
  </si>
  <si>
    <t>Interpolated claim counts</t>
  </si>
  <si>
    <t>AY2007 est unpaid claims =</t>
  </si>
  <si>
    <t xml:space="preserve">Total = </t>
  </si>
  <si>
    <t>Case Reserve by Report Year</t>
  </si>
  <si>
    <t xml:space="preserve">48-to-Ult paid on reserve factor = </t>
  </si>
  <si>
    <t>Remaining-in-case ratios</t>
  </si>
  <si>
    <t>Projected case outstanding</t>
  </si>
  <si>
    <t>Paid-on-case ratios</t>
  </si>
  <si>
    <t>Projected incremental paid loss</t>
  </si>
  <si>
    <t>ult</t>
  </si>
  <si>
    <t>AY Total</t>
  </si>
  <si>
    <t xml:space="preserve">Total ult loss = </t>
  </si>
  <si>
    <t>=VALUE(RIGHT(K11,2))</t>
  </si>
  <si>
    <t>=AVERAGE(K5:K8)</t>
  </si>
  <si>
    <t>=K4</t>
  </si>
  <si>
    <t>=F5/E5</t>
  </si>
  <si>
    <t>=K19*XLOOKUP(L$17,$I$10:$K$10,$I$12:$K$12)</t>
  </si>
  <si>
    <t>=F15/E5</t>
  </si>
  <si>
    <t>=VALUE(RIGHT(K33,2))</t>
  </si>
  <si>
    <t>=RIGHT(L33,3)</t>
  </si>
  <si>
    <t>=AVERAGE(K27:K30)</t>
  </si>
  <si>
    <t>=D21</t>
  </si>
  <si>
    <t>=I21*XLOOKUP(J$39,$I$32:$L$32,$I$34:$L$34)</t>
  </si>
  <si>
    <t>=SUM(I43:M43)</t>
  </si>
  <si>
    <t>=SUM(N40:N43)</t>
  </si>
  <si>
    <t>Case Outstanding</t>
  </si>
  <si>
    <t>Paid CDF</t>
  </si>
  <si>
    <t>Case outstanding development factor</t>
  </si>
  <si>
    <t xml:space="preserve">Total est unpaid claims = </t>
  </si>
  <si>
    <t>=VALUE(LEFT(B12,2))</t>
  </si>
  <si>
    <t>=($B$6-B4+1)*12</t>
  </si>
  <si>
    <t>=XLOOKUP($D4,$A$10:$A$12,XLOOKUP(E$3,$C$9:$D$9,$C$10:$D$12))</t>
  </si>
  <si>
    <t>=1+(F4-1)*E4/(E4-F4)</t>
  </si>
  <si>
    <t>=G4*C4</t>
  </si>
  <si>
    <t>=SUM(H4:H6)</t>
  </si>
  <si>
    <t>Closed Claim Counts</t>
  </si>
  <si>
    <t>Projected Ultimate Claim Counts</t>
  </si>
  <si>
    <t>Cumulative Paid Claims (000s)</t>
  </si>
  <si>
    <t>Cumulative Paid Claims ($000s)</t>
  </si>
  <si>
    <t>Disposal rates</t>
  </si>
  <si>
    <t>Selected DR</t>
  </si>
  <si>
    <t>Adjusted cumulative Paid Claims ($000s)</t>
  </si>
  <si>
    <t>-&gt; Decreasing claim settlement rates; when interpolating, always use downward adjustment</t>
  </si>
  <si>
    <t>0 Months</t>
  </si>
  <si>
    <t>Development factors</t>
  </si>
  <si>
    <t>12-24 Months</t>
  </si>
  <si>
    <t>24-36 Months</t>
  </si>
  <si>
    <t xml:space="preserve">AY 2011 est ult claims = </t>
  </si>
  <si>
    <t>=E5/$G5</t>
  </si>
  <si>
    <t>=M3</t>
  </si>
  <si>
    <t>=MIN(M4:M6)</t>
  </si>
  <si>
    <t>=FORECAST($K$12,C13:D13,$J6:$K6)</t>
  </si>
  <si>
    <t>=FORECAST($L$12,D12:E12,$K5:$L5)</t>
  </si>
  <si>
    <t>=FORECAST($M$12,E11:F11,$L4:$M4)</t>
  </si>
  <si>
    <t>=L17/K17</t>
  </si>
  <si>
    <t>=K23</t>
  </si>
  <si>
    <t>=AVERAGE(K24:K25)</t>
  </si>
  <si>
    <t>=D13*PRODUCT(J29:K29)*1000</t>
  </si>
  <si>
    <t>Parameter ("a";"b") for Two-Point Exponential Fit</t>
  </si>
  <si>
    <t>a</t>
  </si>
  <si>
    <t>b</t>
  </si>
  <si>
    <t>Adjusted closed claim counts</t>
  </si>
  <si>
    <t>Adjusted cumulative paid claims</t>
  </si>
  <si>
    <t>=Q52</t>
  </si>
  <si>
    <t>=R38</t>
  </si>
  <si>
    <t>=S37</t>
  </si>
  <si>
    <t>=T36</t>
  </si>
  <si>
    <t>=Y$35*$U36</t>
  </si>
  <si>
    <t>=R45</t>
  </si>
  <si>
    <t>=S44</t>
  </si>
  <si>
    <t>=T43</t>
  </si>
  <si>
    <t>=S59*EXP(T59*Y41)</t>
  </si>
  <si>
    <t>=S59*EXP(T59*Z41)</t>
  </si>
  <si>
    <t>Open Claim Counts</t>
  </si>
  <si>
    <t>Average Case Outstading (000s)</t>
  </si>
  <si>
    <t>2009-10</t>
  </si>
  <si>
    <t>2010-11</t>
  </si>
  <si>
    <t>-&gt; Does not trend with severity ==&gt; Need adjustment</t>
  </si>
  <si>
    <t>Adjusted Average Case Outstading (000s)</t>
  </si>
  <si>
    <t>Adjusted Cumulative Reported Claims (000s)</t>
  </si>
  <si>
    <t>-&gt; Most recent diagonal should equal the original cumulative reported claims (unadjusted)</t>
  </si>
  <si>
    <t>Development Factors</t>
  </si>
  <si>
    <t>=(C6-C13)/C20</t>
  </si>
  <si>
    <t>=H6/H5-1</t>
  </si>
  <si>
    <t>=H$6*(1+$C$23)^($G20+(VALUE(LEFT(H$17,2))/12-1)-$G$20)</t>
  </si>
  <si>
    <t>=I$5*(1+$C$23)^($G19+(VALUE(LEFT(I$17,2))/12-1)-$G$20)</t>
  </si>
  <si>
    <t>=J$4*(1+$C$23)^($G18+(VALUE(LEFT(J$17,2))/12-1)-$G$20)</t>
  </si>
  <si>
    <t>=H20*C20+C13</t>
  </si>
  <si>
    <t>=I26/H26</t>
  </si>
  <si>
    <t>=AVERAGE(H32:H33)</t>
  </si>
  <si>
    <t>=H27*PRODUCT(H35:I35)*1000</t>
  </si>
  <si>
    <t>Selected Ultimate Loss</t>
  </si>
  <si>
    <t>Age in Months</t>
  </si>
  <si>
    <t>t1</t>
  </si>
  <si>
    <t>t2</t>
  </si>
  <si>
    <t xml:space="preserve">Expected loss CY = </t>
  </si>
  <si>
    <t xml:space="preserve">Valuation date (EOY) = </t>
  </si>
  <si>
    <t>Latest CDF</t>
  </si>
  <si>
    <t>=($C$16-B4+1)*12</t>
  </si>
  <si>
    <t>=($C$18-B4)*12</t>
  </si>
  <si>
    <t>=XLOOKUP(F4,$B$10:$B$14,$C$10:$C$14)</t>
  </si>
  <si>
    <t>=($C$18-B6+1)*12</t>
  </si>
  <si>
    <t>=XLOOKUP(H4,$B$10:$B$14,$C$10:$C$14)</t>
  </si>
  <si>
    <t>=XLOOKUP(E6,$B$10:$B$14,$C$10:$C$14)</t>
  </si>
  <si>
    <t>=(C4-D4)*(1/I4-1/G4)/(1-1/J4)</t>
  </si>
  <si>
    <t>=SUM(K4:K6)</t>
  </si>
  <si>
    <t xml:space="preserve">Expected loss date = </t>
  </si>
  <si>
    <t xml:space="preserve">t1 = </t>
  </si>
  <si>
    <t xml:space="preserve">t2 = </t>
  </si>
  <si>
    <t xml:space="preserve">t0 = </t>
  </si>
  <si>
    <t>t</t>
  </si>
  <si>
    <t>Expected Reported Claims to Emerge</t>
  </si>
  <si>
    <t>=(O31-N19+1)*12</t>
  </si>
  <si>
    <t>=XLOOKUP(R18,$N$24:$N$28,$O$24:$O$28)</t>
  </si>
  <si>
    <t>=(YEAR($O$34)-$N$19)*12</t>
  </si>
  <si>
    <t>=(YEAR($O$34)-$N$19-1)*12</t>
  </si>
  <si>
    <t>=(YEAR($O$34)-$N$19+1)*12</t>
  </si>
  <si>
    <t>=XLOOKUP(S24,$N$24:$N$28,$O$24:$O$28)</t>
  </si>
  <si>
    <t>=$P$19+($O$19-$P$19)*(1/T24-1/$T$23)/(1-1/$S$18)</t>
  </si>
  <si>
    <t>=LET(m,(MONTH(O34)-1)/12,S28*(1-m)+S29*m)</t>
  </si>
  <si>
    <t>="AY 2021 Exp Paid Claims between "&amp;$S$23&amp;" - "&amp;S24&amp;" months =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</si>
</sst>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&quot;$&quot;#,##0.00"/>
    <numFmt numFmtId="168" formatCode="&quot;$&quot;#,##0"/>
    <numFmt numFmtId="169" formatCode="0.0000"/>
    <numFmt numFmtId="178" formatCode="0.0000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0070C0"/>
      <name val="Arial"/>
      <family val="2"/>
    </font>
    <font>
      <sz val="12"/>
      <color rgb="FFFFC000"/>
      <name val="Aptos Narrow"/>
      <family val="2"/>
      <scheme val="minor"/>
    </font>
    <font>
      <sz val="12"/>
      <color rgb="FF202834"/>
      <name val="Arial"/>
      <family val="2"/>
    </font>
    <font>
      <sz val="12"/>
      <color rgb="FFFFC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ptos Narrow"/>
      <scheme val="minor"/>
    </font>
    <font>
      <sz val="12"/>
      <color rgb="FFFFC000"/>
      <name val="Aptos Narrow"/>
      <scheme val="minor"/>
    </font>
    <font>
      <sz val="12"/>
      <color rgb="FF202834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164" fontId="5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6" fontId="4" fillId="0" borderId="0" xfId="0" applyNumberFormat="1" applyFont="1"/>
    <xf numFmtId="0" fontId="0" fillId="0" borderId="0" xfId="0" applyAlignment="1">
      <alignment horizontal="right"/>
    </xf>
    <xf numFmtId="2" fontId="5" fillId="0" borderId="0" xfId="0" applyNumberFormat="1" applyFont="1"/>
    <xf numFmtId="1" fontId="4" fillId="0" borderId="0" xfId="0" applyNumberFormat="1" applyFont="1"/>
    <xf numFmtId="0" fontId="7" fillId="0" borderId="0" xfId="0" applyFont="1"/>
    <xf numFmtId="6" fontId="7" fillId="0" borderId="0" xfId="0" applyNumberFormat="1" applyFont="1"/>
    <xf numFmtId="9" fontId="7" fillId="0" borderId="0" xfId="0" applyNumberFormat="1" applyFont="1"/>
    <xf numFmtId="8" fontId="4" fillId="0" borderId="0" xfId="0" applyNumberFormat="1" applyFont="1"/>
    <xf numFmtId="0" fontId="6" fillId="0" borderId="0" xfId="0" applyFont="1"/>
    <xf numFmtId="166" fontId="4" fillId="0" borderId="0" xfId="2" applyNumberFormat="1" applyFont="1"/>
    <xf numFmtId="166" fontId="4" fillId="0" borderId="0" xfId="0" applyNumberFormat="1" applyFont="1"/>
    <xf numFmtId="3" fontId="7" fillId="0" borderId="0" xfId="0" applyNumberFormat="1" applyFont="1"/>
    <xf numFmtId="9" fontId="7" fillId="0" borderId="0" xfId="2" applyFont="1"/>
    <xf numFmtId="3" fontId="5" fillId="0" borderId="0" xfId="0" applyNumberFormat="1" applyFont="1"/>
    <xf numFmtId="167" fontId="4" fillId="2" borderId="0" xfId="0" applyNumberFormat="1" applyFont="1" applyFill="1"/>
    <xf numFmtId="0" fontId="7" fillId="0" borderId="1" xfId="0" applyFont="1" applyBorder="1"/>
    <xf numFmtId="0" fontId="8" fillId="0" borderId="0" xfId="0" quotePrefix="1" applyFont="1"/>
    <xf numFmtId="168" fontId="4" fillId="0" borderId="0" xfId="0" applyNumberFormat="1" applyFont="1"/>
    <xf numFmtId="167" fontId="4" fillId="0" borderId="0" xfId="0" applyNumberFormat="1" applyFont="1"/>
    <xf numFmtId="168" fontId="4" fillId="0" borderId="1" xfId="0" applyNumberFormat="1" applyFont="1" applyBorder="1"/>
    <xf numFmtId="167" fontId="4" fillId="0" borderId="1" xfId="0" applyNumberFormat="1" applyFont="1" applyBorder="1"/>
    <xf numFmtId="2" fontId="7" fillId="0" borderId="0" xfId="0" applyNumberFormat="1" applyFont="1"/>
    <xf numFmtId="168" fontId="7" fillId="0" borderId="0" xfId="0" applyNumberFormat="1" applyFont="1"/>
    <xf numFmtId="168" fontId="4" fillId="2" borderId="0" xfId="0" applyNumberFormat="1" applyFont="1" applyFill="1"/>
    <xf numFmtId="10" fontId="4" fillId="2" borderId="0" xfId="2" applyNumberFormat="1" applyFont="1" applyFill="1" applyAlignment="1">
      <alignment horizontal="left"/>
    </xf>
    <xf numFmtId="9" fontId="4" fillId="0" borderId="0" xfId="0" applyNumberFormat="1" applyFont="1"/>
    <xf numFmtId="166" fontId="4" fillId="2" borderId="0" xfId="2" applyNumberFormat="1" applyFont="1" applyFill="1"/>
    <xf numFmtId="168" fontId="0" fillId="0" borderId="0" xfId="0" applyNumberForma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14" fontId="7" fillId="0" borderId="0" xfId="0" applyNumberFormat="1" applyFont="1"/>
    <xf numFmtId="169" fontId="4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0" fillId="0" borderId="0" xfId="2" applyFont="1" applyAlignment="1">
      <alignment horizontal="left"/>
    </xf>
    <xf numFmtId="167" fontId="4" fillId="2" borderId="0" xfId="0" applyNumberFormat="1" applyFont="1" applyFill="1" applyAlignment="1">
      <alignment horizontal="left"/>
    </xf>
    <xf numFmtId="0" fontId="13" fillId="0" borderId="0" xfId="0" applyFont="1"/>
    <xf numFmtId="14" fontId="14" fillId="0" borderId="0" xfId="0" applyNumberFormat="1" applyFont="1"/>
    <xf numFmtId="14" fontId="12" fillId="0" borderId="0" xfId="0" applyNumberFormat="1" applyFont="1"/>
    <xf numFmtId="6" fontId="12" fillId="0" borderId="0" xfId="0" applyNumberFormat="1" applyFont="1"/>
    <xf numFmtId="14" fontId="3" fillId="0" borderId="0" xfId="0" applyNumberFormat="1" applyFont="1"/>
    <xf numFmtId="168" fontId="14" fillId="0" borderId="0" xfId="3" applyNumberFormat="1" applyFont="1"/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9" fontId="3" fillId="0" borderId="0" xfId="2" applyFont="1" applyAlignment="1">
      <alignment horizontal="left"/>
    </xf>
    <xf numFmtId="0" fontId="3" fillId="0" borderId="0" xfId="0" quotePrefix="1" applyFont="1"/>
    <xf numFmtId="0" fontId="3" fillId="0" borderId="0" xfId="0" quotePrefix="1" applyFont="1" applyAlignment="1">
      <alignment horizontal="right"/>
    </xf>
    <xf numFmtId="168" fontId="3" fillId="0" borderId="0" xfId="0" applyNumberFormat="1" applyFont="1" applyAlignment="1">
      <alignment horizontal="left"/>
    </xf>
    <xf numFmtId="168" fontId="10" fillId="0" borderId="0" xfId="0" applyNumberFormat="1" applyFont="1" applyAlignment="1">
      <alignment horizontal="left"/>
    </xf>
    <xf numFmtId="167" fontId="10" fillId="0" borderId="0" xfId="3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167" fontId="10" fillId="2" borderId="0" xfId="0" applyNumberFormat="1" applyFont="1" applyFill="1" applyAlignment="1">
      <alignment horizontal="left"/>
    </xf>
    <xf numFmtId="167" fontId="7" fillId="0" borderId="0" xfId="0" applyNumberFormat="1" applyFont="1"/>
    <xf numFmtId="1" fontId="0" fillId="0" borderId="0" xfId="0" applyNumberFormat="1"/>
    <xf numFmtId="168" fontId="5" fillId="2" borderId="0" xfId="0" applyNumberFormat="1" applyFont="1" applyFill="1"/>
    <xf numFmtId="164" fontId="7" fillId="0" borderId="0" xfId="0" applyNumberFormat="1" applyFont="1"/>
    <xf numFmtId="0" fontId="9" fillId="0" borderId="0" xfId="0" quotePrefix="1" applyFont="1"/>
    <xf numFmtId="2" fontId="5" fillId="2" borderId="0" xfId="0" applyNumberFormat="1" applyFont="1" applyFill="1"/>
    <xf numFmtId="164" fontId="8" fillId="0" borderId="0" xfId="0" quotePrefix="1" applyNumberFormat="1" applyFont="1"/>
    <xf numFmtId="0" fontId="7" fillId="0" borderId="0" xfId="0" quotePrefix="1" applyFont="1"/>
    <xf numFmtId="164" fontId="6" fillId="0" borderId="0" xfId="0" quotePrefix="1" applyNumberFormat="1" applyFont="1"/>
    <xf numFmtId="9" fontId="7" fillId="0" borderId="0" xfId="2" applyFont="1" applyAlignment="1">
      <alignment horizontal="left"/>
    </xf>
    <xf numFmtId="168" fontId="0" fillId="0" borderId="0" xfId="0" applyNumberFormat="1" applyAlignment="1">
      <alignment horizontal="right"/>
    </xf>
    <xf numFmtId="0" fontId="2" fillId="0" borderId="0" xfId="0" quotePrefix="1" applyFont="1"/>
    <xf numFmtId="0" fontId="0" fillId="0" borderId="0" xfId="0" quotePrefix="1" applyAlignment="1">
      <alignment horizontal="right"/>
    </xf>
    <xf numFmtId="166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15" fillId="0" borderId="0" xfId="0" applyNumberFormat="1" applyFont="1"/>
    <xf numFmtId="44" fontId="4" fillId="2" borderId="0" xfId="3" applyFont="1" applyFill="1"/>
    <xf numFmtId="15" fontId="9" fillId="0" borderId="0" xfId="0" applyNumberFormat="1" applyFont="1" applyAlignment="1">
      <alignment wrapText="1"/>
    </xf>
    <xf numFmtId="43" fontId="4" fillId="2" borderId="0" xfId="1" applyFont="1" applyFill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2" fontId="8" fillId="0" borderId="0" xfId="0" quotePrefix="1" applyNumberFormat="1" applyFont="1"/>
    <xf numFmtId="43" fontId="0" fillId="0" borderId="0" xfId="1" applyFont="1"/>
    <xf numFmtId="165" fontId="7" fillId="0" borderId="0" xfId="0" applyNumberFormat="1" applyFont="1"/>
    <xf numFmtId="10" fontId="4" fillId="0" borderId="0" xfId="2" applyNumberFormat="1" applyFont="1" applyFill="1" applyAlignment="1">
      <alignment horizontal="left"/>
    </xf>
    <xf numFmtId="168" fontId="7" fillId="0" borderId="1" xfId="0" applyNumberFormat="1" applyFont="1" applyBorder="1"/>
    <xf numFmtId="164" fontId="7" fillId="0" borderId="1" xfId="0" applyNumberFormat="1" applyFont="1" applyBorder="1"/>
    <xf numFmtId="166" fontId="4" fillId="0" borderId="0" xfId="2" applyNumberFormat="1" applyFont="1" applyAlignment="1">
      <alignment horizontal="left"/>
    </xf>
    <xf numFmtId="9" fontId="4" fillId="0" borderId="0" xfId="2" applyFont="1"/>
    <xf numFmtId="9" fontId="4" fillId="0" borderId="1" xfId="2" applyFont="1" applyBorder="1"/>
    <xf numFmtId="168" fontId="4" fillId="2" borderId="0" xfId="3" applyNumberFormat="1" applyFont="1" applyFill="1"/>
    <xf numFmtId="165" fontId="4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/>
    </xf>
    <xf numFmtId="167" fontId="4" fillId="0" borderId="0" xfId="3" applyNumberFormat="1" applyFont="1" applyAlignment="1">
      <alignment horizontal="left"/>
    </xf>
    <xf numFmtId="6" fontId="4" fillId="0" borderId="0" xfId="0" applyNumberFormat="1" applyFont="1" applyAlignment="1">
      <alignment horizontal="left"/>
    </xf>
    <xf numFmtId="165" fontId="5" fillId="0" borderId="0" xfId="0" applyNumberFormat="1" applyFont="1"/>
    <xf numFmtId="9" fontId="5" fillId="0" borderId="0" xfId="2" applyFont="1"/>
    <xf numFmtId="3" fontId="4" fillId="0" borderId="0" xfId="0" applyNumberFormat="1" applyFont="1" applyAlignment="1">
      <alignment horizontal="left"/>
    </xf>
    <xf numFmtId="168" fontId="4" fillId="2" borderId="0" xfId="1" applyNumberFormat="1" applyFont="1" applyFill="1"/>
    <xf numFmtId="1" fontId="15" fillId="0" borderId="0" xfId="0" applyNumberFormat="1" applyFont="1"/>
    <xf numFmtId="2" fontId="4" fillId="2" borderId="0" xfId="0" applyNumberFormat="1" applyFont="1" applyFill="1" applyAlignment="1">
      <alignment horizontal="left"/>
    </xf>
    <xf numFmtId="0" fontId="5" fillId="0" borderId="0" xfId="0" quotePrefix="1" applyFont="1"/>
    <xf numFmtId="6" fontId="4" fillId="2" borderId="0" xfId="0" applyNumberFormat="1" applyFont="1" applyFill="1" applyAlignment="1">
      <alignment horizontal="left"/>
    </xf>
    <xf numFmtId="0" fontId="14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/>
    <xf numFmtId="4" fontId="5" fillId="0" borderId="0" xfId="0" applyNumberFormat="1" applyFont="1"/>
    <xf numFmtId="4" fontId="4" fillId="0" borderId="0" xfId="0" applyNumberFormat="1" applyFont="1"/>
    <xf numFmtId="164" fontId="5" fillId="0" borderId="0" xfId="0" quotePrefix="1" applyNumberFormat="1" applyFont="1"/>
    <xf numFmtId="4" fontId="5" fillId="0" borderId="0" xfId="0" quotePrefix="1" applyNumberFormat="1" applyFont="1"/>
    <xf numFmtId="3" fontId="8" fillId="0" borderId="0" xfId="0" quotePrefix="1" applyNumberFormat="1" applyFont="1"/>
    <xf numFmtId="178" fontId="0" fillId="0" borderId="0" xfId="0" applyNumberFormat="1"/>
    <xf numFmtId="0" fontId="2" fillId="0" borderId="0" xfId="0" applyFont="1" applyAlignment="1">
      <alignment wrapText="1"/>
    </xf>
    <xf numFmtId="0" fontId="11" fillId="0" borderId="0" xfId="0" quotePrefix="1" applyFont="1" applyAlignment="1"/>
    <xf numFmtId="0" fontId="7" fillId="0" borderId="0" xfId="0" applyFont="1" applyAlignment="1">
      <alignment horizontal="left"/>
    </xf>
    <xf numFmtId="168" fontId="5" fillId="0" borderId="0" xfId="0" applyNumberFormat="1" applyFont="1"/>
    <xf numFmtId="167" fontId="5" fillId="0" borderId="0" xfId="0" applyNumberFormat="1" applyFont="1"/>
    <xf numFmtId="166" fontId="5" fillId="2" borderId="0" xfId="2" applyNumberFormat="1" applyFont="1" applyFill="1"/>
    <xf numFmtId="168" fontId="8" fillId="0" borderId="0" xfId="0" quotePrefix="1" applyNumberFormat="1" applyFont="1"/>
    <xf numFmtId="167" fontId="8" fillId="0" borderId="0" xfId="0" quotePrefix="1" applyNumberFormat="1" applyFont="1"/>
    <xf numFmtId="1" fontId="5" fillId="0" borderId="0" xfId="0" applyNumberFormat="1" applyFont="1"/>
    <xf numFmtId="14" fontId="7" fillId="0" borderId="0" xfId="0" applyNumberFormat="1" applyFont="1" applyAlignment="1">
      <alignment horizontal="left"/>
    </xf>
    <xf numFmtId="8" fontId="4" fillId="2" borderId="0" xfId="0" applyNumberFormat="1" applyFont="1" applyFill="1" applyAlignment="1">
      <alignment horizontal="left"/>
    </xf>
    <xf numFmtId="0" fontId="6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quotePrefix="1" applyFont="1" applyAlignment="1">
      <alignment horizontal="left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215900</xdr:colOff>
      <xdr:row>56</xdr:row>
      <xdr:rowOff>63500</xdr:rowOff>
    </xdr:from>
    <xdr:to>
      <xdr:col>33</xdr:col>
      <xdr:colOff>317500</xdr:colOff>
      <xdr:row>61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2D22B-A251-6621-3DCB-5725B5E9EE7B}"/>
            </a:ext>
          </a:extLst>
        </xdr:cNvPr>
        <xdr:cNvSpPr txBox="1"/>
      </xdr:nvSpPr>
      <xdr:spPr>
        <a:xfrm>
          <a:off x="29933900" y="11442700"/>
          <a:ext cx="5067300" cy="977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We're given CY2002 on-level earned premium trended to the present day, i.e., 12/31/2002. Thus, we'll want to trend on-level the earned premiums from 7/1 of each historical CY to the present day, i.e., 12/31/2002.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this is not the same as trending to CY2002 levels, as CY2002 has an average earned date of 7/1/2002.)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4D6-6DC9-544A-9BD9-9BA87F3FFD54}">
  <dimension ref="B2:L20"/>
  <sheetViews>
    <sheetView zoomScale="83" workbookViewId="0">
      <selection activeCell="D21" sqref="D21"/>
    </sheetView>
  </sheetViews>
  <sheetFormatPr baseColWidth="10" defaultRowHeight="16" x14ac:dyDescent="0.2"/>
  <cols>
    <col min="1" max="1" width="10.83203125" style="3"/>
    <col min="2" max="2" width="12.83203125" style="3" bestFit="1" customWidth="1"/>
    <col min="3" max="3" width="18" style="3" bestFit="1" customWidth="1"/>
    <col min="4" max="4" width="12.5" style="3" bestFit="1" customWidth="1"/>
    <col min="5" max="5" width="14.83203125" style="3" bestFit="1" customWidth="1"/>
    <col min="6" max="6" width="21.1640625" style="3" bestFit="1" customWidth="1"/>
    <col min="7" max="7" width="15.6640625" style="3" bestFit="1" customWidth="1"/>
    <col min="8" max="8" width="10.83203125" style="3"/>
    <col min="9" max="9" width="25.83203125" style="3" customWidth="1"/>
    <col min="10" max="11" width="10.83203125" style="3"/>
    <col min="12" max="12" width="12.1640625" style="3" bestFit="1" customWidth="1"/>
    <col min="13" max="16384" width="10.83203125" style="3"/>
  </cols>
  <sheetData>
    <row r="2" spans="2:12" x14ac:dyDescent="0.2">
      <c r="B2" s="51" t="s">
        <v>32</v>
      </c>
      <c r="C2" s="51" t="s">
        <v>33</v>
      </c>
      <c r="D2" s="51" t="s">
        <v>34</v>
      </c>
      <c r="E2" s="51" t="s">
        <v>35</v>
      </c>
      <c r="F2" s="51" t="s">
        <v>36</v>
      </c>
      <c r="G2" s="51" t="s">
        <v>37</v>
      </c>
    </row>
    <row r="3" spans="2:12" x14ac:dyDescent="0.2">
      <c r="B3" s="111">
        <v>1</v>
      </c>
      <c r="C3" s="113">
        <v>44927</v>
      </c>
      <c r="D3" s="113">
        <v>45056</v>
      </c>
      <c r="E3" s="52">
        <v>45088</v>
      </c>
      <c r="F3" s="56">
        <v>50</v>
      </c>
      <c r="G3" s="56">
        <v>300</v>
      </c>
      <c r="I3" s="3" t="s">
        <v>42</v>
      </c>
    </row>
    <row r="4" spans="2:12" x14ac:dyDescent="0.2">
      <c r="B4" s="111"/>
      <c r="C4" s="113"/>
      <c r="D4" s="113"/>
      <c r="E4" s="53">
        <v>45275</v>
      </c>
      <c r="F4" s="56">
        <v>120</v>
      </c>
      <c r="G4" s="56">
        <v>400</v>
      </c>
      <c r="I4" s="61" t="s">
        <v>45</v>
      </c>
    </row>
    <row r="5" spans="2:12" x14ac:dyDescent="0.2">
      <c r="B5" s="111"/>
      <c r="C5" s="113"/>
      <c r="D5" s="113"/>
      <c r="E5" s="55">
        <v>45289</v>
      </c>
      <c r="F5" s="56">
        <v>0</v>
      </c>
      <c r="G5" s="56">
        <v>500</v>
      </c>
    </row>
    <row r="6" spans="2:12" x14ac:dyDescent="0.2">
      <c r="B6" s="114">
        <v>2</v>
      </c>
      <c r="C6" s="112">
        <v>45000</v>
      </c>
      <c r="D6" s="112">
        <v>45038</v>
      </c>
      <c r="E6" s="55">
        <v>45063</v>
      </c>
      <c r="F6" s="56">
        <v>0</v>
      </c>
      <c r="G6" s="56">
        <v>350</v>
      </c>
      <c r="I6" s="3" t="s">
        <v>44</v>
      </c>
    </row>
    <row r="7" spans="2:12" x14ac:dyDescent="0.2">
      <c r="B7" s="114"/>
      <c r="C7" s="112"/>
      <c r="D7" s="112"/>
      <c r="E7" s="53">
        <v>45148</v>
      </c>
      <c r="F7" s="56">
        <v>110</v>
      </c>
      <c r="G7" s="56">
        <v>250</v>
      </c>
    </row>
    <row r="8" spans="2:12" x14ac:dyDescent="0.2">
      <c r="B8" s="114"/>
      <c r="C8" s="112"/>
      <c r="D8" s="112"/>
      <c r="E8" s="55">
        <v>45184</v>
      </c>
      <c r="F8" s="56">
        <v>0</v>
      </c>
      <c r="G8" s="56">
        <v>300</v>
      </c>
      <c r="I8" s="40" t="s">
        <v>46</v>
      </c>
      <c r="J8" s="41" t="str">
        <f>F14&amp;" * AY paid claims + "&amp;F15&amp;" * Pure IBNR + "&amp;F16&amp;" * AY case outstanding + "&amp;F17&amp;" * AY closed claims"</f>
        <v>0.25 * AY paid claims + 0.05 * Pure IBNR + 0.2 * AY case outstanding + 0.1 * AY closed claims</v>
      </c>
    </row>
    <row r="9" spans="2:12" x14ac:dyDescent="0.2">
      <c r="B9" s="114"/>
      <c r="C9" s="112"/>
      <c r="D9" s="112"/>
      <c r="E9" s="55">
        <v>45234</v>
      </c>
      <c r="F9" s="56">
        <v>510</v>
      </c>
      <c r="G9" s="56">
        <v>0</v>
      </c>
    </row>
    <row r="10" spans="2:12" x14ac:dyDescent="0.2">
      <c r="B10" s="111">
        <v>3</v>
      </c>
      <c r="C10" s="112">
        <v>45048</v>
      </c>
      <c r="D10" s="112">
        <v>45152</v>
      </c>
      <c r="E10" s="55">
        <v>45171</v>
      </c>
      <c r="F10" s="56">
        <v>300</v>
      </c>
      <c r="G10" s="56">
        <v>440</v>
      </c>
      <c r="J10" s="40" t="s">
        <v>47</v>
      </c>
      <c r="K10" s="64">
        <f>SUMIF(E3:E12,"&lt;"&amp;F19,F3:F12)</f>
        <v>1300</v>
      </c>
      <c r="L10" s="42" t="s">
        <v>56</v>
      </c>
    </row>
    <row r="11" spans="2:12" x14ac:dyDescent="0.2">
      <c r="B11" s="111"/>
      <c r="C11" s="112"/>
      <c r="D11" s="112"/>
      <c r="E11" s="53">
        <v>45206</v>
      </c>
      <c r="F11" s="56">
        <v>100</v>
      </c>
      <c r="G11" s="56">
        <v>300</v>
      </c>
      <c r="J11" s="40" t="s">
        <v>49</v>
      </c>
      <c r="K11" s="64">
        <f>SUMIFS(G3:G5,E3:E5,MAX(E3:E5))+ SUMIFS(G6:G9,E6:E9,MAX(E6:E9))+SUMIFS(G10:G12,E10:E12,MAX(E10:E12))</f>
        <v>500</v>
      </c>
      <c r="L11" s="42" t="s">
        <v>57</v>
      </c>
    </row>
    <row r="12" spans="2:12" x14ac:dyDescent="0.2">
      <c r="B12" s="111"/>
      <c r="C12" s="112"/>
      <c r="D12" s="112"/>
      <c r="E12" s="55">
        <v>45281</v>
      </c>
      <c r="F12" s="56">
        <v>110</v>
      </c>
      <c r="G12" s="56">
        <v>0</v>
      </c>
      <c r="J12" s="40" t="s">
        <v>52</v>
      </c>
      <c r="K12" s="64">
        <f>IF(_xlfn.XLOOKUP(MAX(E6:E9),E6:E9,G6:G9)=0,SUM(F6:F9),0)+IF(_xlfn.XLOOKUP(MAX(E10:E12),E10:E12,G10:G12)=0,SUM(F10:F12),0)</f>
        <v>1130</v>
      </c>
      <c r="L12" s="42" t="s">
        <v>58</v>
      </c>
    </row>
    <row r="13" spans="2:12" x14ac:dyDescent="0.2">
      <c r="B13" s="57"/>
      <c r="C13" s="54"/>
      <c r="D13" s="54"/>
    </row>
    <row r="14" spans="2:12" x14ac:dyDescent="0.2">
      <c r="E14" s="40" t="s">
        <v>39</v>
      </c>
      <c r="F14" s="60">
        <v>0.25</v>
      </c>
      <c r="I14" s="62" t="s">
        <v>53</v>
      </c>
      <c r="J14" s="65">
        <f>(F14*K10)+(F15*(F14*K10))+(F16*K11)+(F17*K12)</f>
        <v>554.25</v>
      </c>
      <c r="K14" s="42" t="s">
        <v>59</v>
      </c>
    </row>
    <row r="15" spans="2:12" x14ac:dyDescent="0.2">
      <c r="E15" s="40" t="s">
        <v>38</v>
      </c>
      <c r="F15" s="60">
        <v>0.05</v>
      </c>
      <c r="J15" s="63"/>
      <c r="K15" s="43"/>
    </row>
    <row r="16" spans="2:12" x14ac:dyDescent="0.2">
      <c r="E16" s="40" t="s">
        <v>50</v>
      </c>
      <c r="F16" s="60">
        <v>0.2</v>
      </c>
      <c r="I16" s="62" t="s">
        <v>54</v>
      </c>
      <c r="J16" s="66">
        <f>K11+J14</f>
        <v>1054.25</v>
      </c>
      <c r="K16" s="42" t="s">
        <v>60</v>
      </c>
    </row>
    <row r="17" spans="4:11" x14ac:dyDescent="0.2">
      <c r="E17" s="40" t="s">
        <v>40</v>
      </c>
      <c r="F17" s="60">
        <v>0.1</v>
      </c>
      <c r="J17" s="58"/>
      <c r="K17" s="43"/>
    </row>
    <row r="18" spans="4:11" x14ac:dyDescent="0.2">
      <c r="E18" s="40"/>
      <c r="F18" s="58"/>
      <c r="I18" s="62" t="s">
        <v>55</v>
      </c>
      <c r="J18" s="67">
        <f>SUM(J16,K10)</f>
        <v>2354.25</v>
      </c>
      <c r="K18" s="42" t="s">
        <v>61</v>
      </c>
    </row>
    <row r="19" spans="4:11" x14ac:dyDescent="0.2">
      <c r="E19" s="40" t="s">
        <v>41</v>
      </c>
      <c r="F19" s="59">
        <v>45291</v>
      </c>
    </row>
    <row r="20" spans="4:11" x14ac:dyDescent="0.2">
      <c r="D20" s="62" t="s">
        <v>48</v>
      </c>
      <c r="E20" s="58" t="s">
        <v>51</v>
      </c>
    </row>
  </sheetData>
  <mergeCells count="9">
    <mergeCell ref="B10:B12"/>
    <mergeCell ref="D10:D12"/>
    <mergeCell ref="C10:C12"/>
    <mergeCell ref="D3:D5"/>
    <mergeCell ref="C3:C5"/>
    <mergeCell ref="B3:B5"/>
    <mergeCell ref="D6:D9"/>
    <mergeCell ref="C6:C9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DF34-F445-DC49-A078-01F6B220EF43}">
  <dimension ref="B2:T59"/>
  <sheetViews>
    <sheetView topLeftCell="M31" workbookViewId="0">
      <selection activeCell="X66" sqref="X66"/>
    </sheetView>
  </sheetViews>
  <sheetFormatPr baseColWidth="10" defaultRowHeight="16" x14ac:dyDescent="0.2"/>
  <cols>
    <col min="2" max="2" width="18" bestFit="1" customWidth="1"/>
    <col min="3" max="3" width="22" customWidth="1"/>
    <col min="4" max="4" width="25.1640625" bestFit="1" customWidth="1"/>
    <col min="8" max="8" width="14.6640625" bestFit="1" customWidth="1"/>
    <col min="9" max="9" width="15.1640625" customWidth="1"/>
    <col min="10" max="10" width="14" customWidth="1"/>
    <col min="11" max="12" width="13.33203125" customWidth="1"/>
    <col min="16" max="16" width="13.33203125" bestFit="1" customWidth="1"/>
    <col min="18" max="18" width="13.33203125" bestFit="1" customWidth="1"/>
    <col min="20" max="20" width="11.1640625" bestFit="1" customWidth="1"/>
  </cols>
  <sheetData>
    <row r="2" spans="2:12" x14ac:dyDescent="0.2">
      <c r="B2" s="39" t="s">
        <v>62</v>
      </c>
      <c r="C2" s="39" t="s">
        <v>3</v>
      </c>
      <c r="D2" s="39" t="s">
        <v>63</v>
      </c>
      <c r="E2" s="39" t="s">
        <v>70</v>
      </c>
    </row>
    <row r="3" spans="2:12" x14ac:dyDescent="0.2">
      <c r="B3" s="44">
        <v>43465</v>
      </c>
      <c r="C3" s="15">
        <v>2018</v>
      </c>
      <c r="D3" s="33">
        <v>1200</v>
      </c>
      <c r="E3" s="69">
        <f t="shared" ref="E3:E12" si="0">(YEAR(B3)-C3)*12+12</f>
        <v>12</v>
      </c>
    </row>
    <row r="4" spans="2:12" x14ac:dyDescent="0.2">
      <c r="B4" s="44">
        <v>43465</v>
      </c>
      <c r="C4" s="15">
        <v>2017</v>
      </c>
      <c r="D4" s="33">
        <v>600</v>
      </c>
      <c r="E4" s="69">
        <f t="shared" si="0"/>
        <v>24</v>
      </c>
    </row>
    <row r="5" spans="2:12" x14ac:dyDescent="0.2">
      <c r="B5" s="44">
        <v>43100</v>
      </c>
      <c r="C5" s="15">
        <v>2017</v>
      </c>
      <c r="D5" s="33">
        <v>2000</v>
      </c>
      <c r="E5" s="69">
        <f t="shared" si="0"/>
        <v>12</v>
      </c>
    </row>
    <row r="6" spans="2:12" x14ac:dyDescent="0.2">
      <c r="B6" s="44">
        <v>43465</v>
      </c>
      <c r="C6" s="15">
        <v>2016</v>
      </c>
      <c r="D6" s="33">
        <v>150</v>
      </c>
      <c r="E6" s="69">
        <f t="shared" si="0"/>
        <v>36</v>
      </c>
    </row>
    <row r="7" spans="2:12" x14ac:dyDescent="0.2">
      <c r="B7" s="44">
        <v>43100</v>
      </c>
      <c r="C7" s="15">
        <v>2016</v>
      </c>
      <c r="D7" s="33">
        <v>700</v>
      </c>
      <c r="E7" s="69">
        <f t="shared" si="0"/>
        <v>24</v>
      </c>
    </row>
    <row r="8" spans="2:12" x14ac:dyDescent="0.2">
      <c r="B8" s="44">
        <v>42735</v>
      </c>
      <c r="C8" s="15">
        <v>2016</v>
      </c>
      <c r="D8" s="33">
        <v>1800</v>
      </c>
      <c r="E8" s="69">
        <f t="shared" si="0"/>
        <v>12</v>
      </c>
    </row>
    <row r="9" spans="2:12" x14ac:dyDescent="0.2">
      <c r="B9" s="44">
        <v>43465</v>
      </c>
      <c r="C9" s="15">
        <v>2015</v>
      </c>
      <c r="D9" s="33">
        <v>75</v>
      </c>
      <c r="E9" s="69">
        <f t="shared" si="0"/>
        <v>48</v>
      </c>
    </row>
    <row r="10" spans="2:12" x14ac:dyDescent="0.2">
      <c r="B10" s="44">
        <v>43100</v>
      </c>
      <c r="C10" s="15">
        <v>2015</v>
      </c>
      <c r="D10" s="33">
        <v>250</v>
      </c>
      <c r="E10" s="69">
        <f t="shared" si="0"/>
        <v>36</v>
      </c>
    </row>
    <row r="11" spans="2:12" x14ac:dyDescent="0.2">
      <c r="B11" s="44">
        <v>42735</v>
      </c>
      <c r="C11" s="15">
        <v>2015</v>
      </c>
      <c r="D11" s="33">
        <v>600</v>
      </c>
      <c r="E11" s="69">
        <f t="shared" si="0"/>
        <v>24</v>
      </c>
    </row>
    <row r="12" spans="2:12" x14ac:dyDescent="0.2">
      <c r="B12" s="44">
        <v>42369</v>
      </c>
      <c r="C12" s="15">
        <v>2015</v>
      </c>
      <c r="D12" s="33">
        <v>1300</v>
      </c>
      <c r="E12" s="69">
        <f t="shared" si="0"/>
        <v>12</v>
      </c>
    </row>
    <row r="13" spans="2:12" x14ac:dyDescent="0.2">
      <c r="B13" s="15"/>
      <c r="C13" s="15"/>
      <c r="D13" s="16"/>
    </row>
    <row r="15" spans="2:12" ht="16" customHeight="1" x14ac:dyDescent="0.2">
      <c r="B15" s="117" t="s">
        <v>3</v>
      </c>
      <c r="C15" s="116" t="s">
        <v>64</v>
      </c>
      <c r="D15" s="116"/>
      <c r="E15" s="116"/>
      <c r="F15" s="116"/>
      <c r="H15" s="117" t="s">
        <v>3</v>
      </c>
      <c r="I15" s="116" t="s">
        <v>69</v>
      </c>
      <c r="J15" s="116"/>
      <c r="K15" s="116"/>
      <c r="L15" s="116"/>
    </row>
    <row r="16" spans="2:12" ht="18" customHeight="1" x14ac:dyDescent="0.2">
      <c r="B16" s="117"/>
      <c r="C16" s="39" t="s">
        <v>4</v>
      </c>
      <c r="D16" s="39" t="s">
        <v>5</v>
      </c>
      <c r="E16" s="39" t="s">
        <v>6</v>
      </c>
      <c r="F16" s="39" t="s">
        <v>7</v>
      </c>
      <c r="H16" s="117"/>
      <c r="I16" s="72" t="s">
        <v>9</v>
      </c>
      <c r="J16" s="72" t="s">
        <v>10</v>
      </c>
      <c r="K16" s="72" t="s">
        <v>11</v>
      </c>
      <c r="L16" s="72" t="s">
        <v>18</v>
      </c>
    </row>
    <row r="17" spans="2:20" x14ac:dyDescent="0.2">
      <c r="B17" s="15">
        <v>2015</v>
      </c>
      <c r="C17" s="33">
        <v>1300</v>
      </c>
      <c r="D17" s="33">
        <v>1900</v>
      </c>
      <c r="E17" s="33">
        <v>2150</v>
      </c>
      <c r="F17" s="33">
        <v>2225</v>
      </c>
      <c r="H17" s="15">
        <v>2015</v>
      </c>
      <c r="I17" s="8">
        <f>D17/C17</f>
        <v>1.4615384615384615</v>
      </c>
      <c r="J17" s="8">
        <f t="shared" ref="J17" si="1">E17/D17</f>
        <v>1.131578947368421</v>
      </c>
      <c r="K17" s="8">
        <f>F17/E17</f>
        <v>1.0348837209302326</v>
      </c>
      <c r="L17" s="74" t="s">
        <v>78</v>
      </c>
    </row>
    <row r="18" spans="2:20" x14ac:dyDescent="0.2">
      <c r="B18" s="15">
        <v>2016</v>
      </c>
      <c r="C18" s="33">
        <v>1800</v>
      </c>
      <c r="D18" s="33">
        <v>2500</v>
      </c>
      <c r="E18" s="33">
        <v>2650</v>
      </c>
      <c r="F18" s="33"/>
      <c r="H18" s="15">
        <v>2016</v>
      </c>
      <c r="I18" s="8">
        <f t="shared" ref="I18" si="2">D18/C18</f>
        <v>1.3888888888888888</v>
      </c>
      <c r="J18" s="8">
        <f>E18/D18</f>
        <v>1.06</v>
      </c>
      <c r="K18" s="74" t="s">
        <v>77</v>
      </c>
      <c r="L18" s="33"/>
    </row>
    <row r="19" spans="2:20" x14ac:dyDescent="0.2">
      <c r="B19" s="15">
        <v>2017</v>
      </c>
      <c r="C19" s="33">
        <v>2000</v>
      </c>
      <c r="D19" s="70">
        <f>SUM(D4:D5)</f>
        <v>2600</v>
      </c>
      <c r="E19" s="27" t="s">
        <v>83</v>
      </c>
      <c r="F19" s="15"/>
      <c r="H19" s="15">
        <v>2017</v>
      </c>
      <c r="I19" s="8">
        <f>D19/C19</f>
        <v>1.3</v>
      </c>
      <c r="J19" s="74" t="s">
        <v>76</v>
      </c>
      <c r="K19" s="15"/>
      <c r="L19" s="15"/>
    </row>
    <row r="20" spans="2:20" x14ac:dyDescent="0.2">
      <c r="B20" s="15">
        <v>2018</v>
      </c>
      <c r="C20" s="33">
        <v>1200</v>
      </c>
      <c r="D20" s="15"/>
      <c r="E20" s="15"/>
      <c r="F20" s="15"/>
      <c r="H20" s="15">
        <v>2018</v>
      </c>
      <c r="I20" s="8"/>
      <c r="J20" s="15"/>
      <c r="K20" s="15"/>
      <c r="L20" s="15"/>
    </row>
    <row r="21" spans="2:20" x14ac:dyDescent="0.2">
      <c r="B21" s="15"/>
      <c r="C21" s="22"/>
      <c r="D21" s="15"/>
      <c r="E21" s="15"/>
      <c r="F21" s="15"/>
    </row>
    <row r="23" spans="2:20" x14ac:dyDescent="0.2">
      <c r="C23" s="39" t="s">
        <v>65</v>
      </c>
      <c r="D23" s="39" t="s">
        <v>66</v>
      </c>
      <c r="E23" s="39" t="s">
        <v>67</v>
      </c>
      <c r="F23" s="39" t="s">
        <v>68</v>
      </c>
    </row>
    <row r="24" spans="2:20" x14ac:dyDescent="0.2">
      <c r="B24" s="15" t="s">
        <v>69</v>
      </c>
      <c r="C24" s="73">
        <f>SUM(D17:D19)/SUM(C17:C19)</f>
        <v>1.3725490196078431</v>
      </c>
      <c r="D24" s="15">
        <v>1.08</v>
      </c>
      <c r="E24" s="15">
        <v>1.04</v>
      </c>
      <c r="F24" s="15">
        <v>1</v>
      </c>
    </row>
    <row r="25" spans="2:20" x14ac:dyDescent="0.2">
      <c r="C25" s="7" t="s">
        <v>82</v>
      </c>
    </row>
    <row r="27" spans="2:20" x14ac:dyDescent="0.2">
      <c r="C27" s="39" t="s">
        <v>15</v>
      </c>
      <c r="D27" s="39" t="s">
        <v>16</v>
      </c>
      <c r="E27" s="39" t="s">
        <v>17</v>
      </c>
      <c r="F27" s="39" t="s">
        <v>18</v>
      </c>
    </row>
    <row r="28" spans="2:20" x14ac:dyDescent="0.2">
      <c r="B28" t="s">
        <v>71</v>
      </c>
      <c r="C28" s="4">
        <f>PRODUCT(C24:F24)</f>
        <v>1.5416470588235296</v>
      </c>
      <c r="D28" s="4">
        <f>PRODUCT(D24:F24)</f>
        <v>1.1232000000000002</v>
      </c>
      <c r="E28" s="5">
        <f>PRODUCT(E24:F24)</f>
        <v>1.04</v>
      </c>
      <c r="F28" s="5">
        <f>PRODUCT(F24)</f>
        <v>1</v>
      </c>
      <c r="J28" s="12" t="s">
        <v>72</v>
      </c>
      <c r="K28" s="29">
        <f>C20*C28</f>
        <v>1849.9764705882355</v>
      </c>
      <c r="L28" s="7" t="s">
        <v>75</v>
      </c>
    </row>
    <row r="29" spans="2:20" x14ac:dyDescent="0.2">
      <c r="C29" s="7" t="s">
        <v>79</v>
      </c>
      <c r="D29" s="7" t="s">
        <v>80</v>
      </c>
      <c r="E29" s="7" t="s">
        <v>81</v>
      </c>
      <c r="F29" s="19"/>
    </row>
    <row r="30" spans="2:20" x14ac:dyDescent="0.2">
      <c r="J30" s="12" t="s">
        <v>73</v>
      </c>
      <c r="K30" s="25">
        <f>K28-C20</f>
        <v>649.97647058823554</v>
      </c>
      <c r="L30" s="7" t="s">
        <v>74</v>
      </c>
    </row>
    <row r="32" spans="2:20" x14ac:dyDescent="0.2">
      <c r="O32" s="115" t="s">
        <v>3</v>
      </c>
      <c r="P32" s="116" t="s">
        <v>84</v>
      </c>
      <c r="Q32" s="116"/>
      <c r="R32" s="116"/>
      <c r="S32" s="116"/>
      <c r="T32" s="116"/>
    </row>
    <row r="33" spans="15:20" x14ac:dyDescent="0.2">
      <c r="O33" s="115"/>
      <c r="P33" s="39" t="s">
        <v>4</v>
      </c>
      <c r="Q33" s="39" t="s">
        <v>5</v>
      </c>
      <c r="R33" s="39" t="s">
        <v>6</v>
      </c>
      <c r="S33" s="39" t="s">
        <v>7</v>
      </c>
      <c r="T33" s="39" t="s">
        <v>8</v>
      </c>
    </row>
    <row r="34" spans="15:20" x14ac:dyDescent="0.2">
      <c r="O34" s="15">
        <v>2016</v>
      </c>
      <c r="P34" s="16">
        <v>605</v>
      </c>
      <c r="Q34" s="16">
        <v>765</v>
      </c>
      <c r="R34" s="16">
        <v>840</v>
      </c>
      <c r="S34" s="16">
        <v>875</v>
      </c>
      <c r="T34" s="16">
        <v>880</v>
      </c>
    </row>
    <row r="35" spans="15:20" x14ac:dyDescent="0.2">
      <c r="O35" s="15">
        <v>2017</v>
      </c>
      <c r="P35" s="16">
        <v>600</v>
      </c>
      <c r="Q35" s="16">
        <v>775</v>
      </c>
      <c r="R35" s="16">
        <v>860</v>
      </c>
      <c r="S35" s="16">
        <v>890</v>
      </c>
      <c r="T35" s="15"/>
    </row>
    <row r="36" spans="15:20" x14ac:dyDescent="0.2">
      <c r="O36" s="15">
        <v>2018</v>
      </c>
      <c r="P36" s="16">
        <v>616</v>
      </c>
      <c r="Q36" s="16">
        <v>785</v>
      </c>
      <c r="R36" s="16">
        <v>875</v>
      </c>
      <c r="S36" s="15"/>
      <c r="T36" s="15"/>
    </row>
    <row r="37" spans="15:20" x14ac:dyDescent="0.2">
      <c r="O37" s="15">
        <v>2019</v>
      </c>
      <c r="P37" s="16">
        <v>622</v>
      </c>
      <c r="Q37" s="16">
        <v>810</v>
      </c>
      <c r="R37" s="15"/>
      <c r="S37" s="15"/>
      <c r="T37" s="15"/>
    </row>
    <row r="38" spans="15:20" x14ac:dyDescent="0.2">
      <c r="O38" s="15">
        <v>2020</v>
      </c>
      <c r="P38" s="16">
        <v>628</v>
      </c>
      <c r="Q38" s="15"/>
      <c r="R38" s="15"/>
      <c r="S38" s="15"/>
    </row>
    <row r="40" spans="15:20" x14ac:dyDescent="0.2">
      <c r="O40" s="115" t="s">
        <v>3</v>
      </c>
      <c r="P40" s="116" t="s">
        <v>69</v>
      </c>
      <c r="Q40" s="116"/>
      <c r="R40" s="116"/>
      <c r="S40" s="116"/>
      <c r="T40" s="116"/>
    </row>
    <row r="41" spans="15:20" x14ac:dyDescent="0.2">
      <c r="O41" s="115"/>
      <c r="P41" s="72" t="s">
        <v>9</v>
      </c>
      <c r="Q41" s="72" t="s">
        <v>10</v>
      </c>
      <c r="R41" s="72" t="s">
        <v>11</v>
      </c>
      <c r="S41" s="72" t="s">
        <v>12</v>
      </c>
      <c r="T41" s="39" t="s">
        <v>19</v>
      </c>
    </row>
    <row r="42" spans="15:20" x14ac:dyDescent="0.2">
      <c r="O42" s="15">
        <v>2016</v>
      </c>
      <c r="P42" s="8">
        <f>Q34/P34</f>
        <v>1.2644628099173554</v>
      </c>
      <c r="Q42" s="8">
        <f t="shared" ref="Q42:S44" si="3">R34/Q34</f>
        <v>1.0980392156862746</v>
      </c>
      <c r="R42" s="8">
        <f t="shared" si="3"/>
        <v>1.0416666666666667</v>
      </c>
      <c r="S42" s="8">
        <f t="shared" si="3"/>
        <v>1.0057142857142858</v>
      </c>
      <c r="T42" s="71"/>
    </row>
    <row r="43" spans="15:20" x14ac:dyDescent="0.2">
      <c r="O43" s="15">
        <v>2017</v>
      </c>
      <c r="P43" s="8">
        <f>Q35/P35</f>
        <v>1.2916666666666667</v>
      </c>
      <c r="Q43" s="8">
        <f t="shared" si="3"/>
        <v>1.1096774193548387</v>
      </c>
      <c r="R43" s="8">
        <f t="shared" si="3"/>
        <v>1.0348837209302326</v>
      </c>
      <c r="S43" s="8"/>
      <c r="T43" s="15"/>
    </row>
    <row r="44" spans="15:20" x14ac:dyDescent="0.2">
      <c r="O44" s="15">
        <v>2018</v>
      </c>
      <c r="P44" s="8">
        <f>Q36/P36</f>
        <v>1.2743506493506493</v>
      </c>
      <c r="Q44" s="8">
        <f t="shared" si="3"/>
        <v>1.1146496815286624</v>
      </c>
      <c r="R44" s="8"/>
      <c r="S44" s="8"/>
      <c r="T44" s="15"/>
    </row>
    <row r="45" spans="15:20" x14ac:dyDescent="0.2">
      <c r="O45" s="15">
        <v>2019</v>
      </c>
      <c r="P45" s="8">
        <f>Q37/P37</f>
        <v>1.302250803858521</v>
      </c>
      <c r="Q45" s="74" t="s">
        <v>88</v>
      </c>
      <c r="R45" s="8"/>
      <c r="S45" s="8"/>
      <c r="T45" s="15"/>
    </row>
    <row r="46" spans="15:20" x14ac:dyDescent="0.2">
      <c r="O46" s="15"/>
      <c r="P46" s="71"/>
      <c r="Q46" s="71"/>
      <c r="R46" s="71"/>
      <c r="S46" s="71"/>
    </row>
    <row r="47" spans="15:20" x14ac:dyDescent="0.2">
      <c r="P47" s="72" t="s">
        <v>9</v>
      </c>
      <c r="Q47" s="72" t="s">
        <v>10</v>
      </c>
      <c r="R47" s="72" t="s">
        <v>11</v>
      </c>
      <c r="S47" s="72" t="s">
        <v>12</v>
      </c>
      <c r="T47" s="39" t="s">
        <v>19</v>
      </c>
    </row>
    <row r="48" spans="15:20" x14ac:dyDescent="0.2">
      <c r="O48" t="s">
        <v>86</v>
      </c>
      <c r="P48" s="9">
        <f>AVERAGE(P42:P45)</f>
        <v>1.2831827324482981</v>
      </c>
      <c r="Q48" s="9">
        <f>AVERAGE(Q42:Q44)</f>
        <v>1.107455438856592</v>
      </c>
      <c r="R48" s="9">
        <f>AVERAGE(R42:R43)</f>
        <v>1.0382751937984498</v>
      </c>
      <c r="S48" s="9">
        <f>AVERAGE(S42)</f>
        <v>1.0057142857142858</v>
      </c>
      <c r="T48" s="9">
        <v>1</v>
      </c>
    </row>
    <row r="49" spans="15:20" x14ac:dyDescent="0.2">
      <c r="P49" s="76" t="s">
        <v>89</v>
      </c>
      <c r="Q49" s="9"/>
      <c r="R49" s="9"/>
      <c r="S49" s="9"/>
      <c r="T49" s="9"/>
    </row>
    <row r="51" spans="15:20" x14ac:dyDescent="0.2">
      <c r="P51" s="72" t="s">
        <v>15</v>
      </c>
      <c r="Q51" s="72" t="s">
        <v>16</v>
      </c>
      <c r="R51" s="72" t="s">
        <v>17</v>
      </c>
      <c r="S51" s="72" t="s">
        <v>18</v>
      </c>
      <c r="T51" s="39" t="s">
        <v>19</v>
      </c>
    </row>
    <row r="52" spans="15:20" x14ac:dyDescent="0.2">
      <c r="O52" t="s">
        <v>71</v>
      </c>
      <c r="P52" s="9">
        <f>PRODUCT(P48:$T$48)</f>
        <v>1.4838905337802102</v>
      </c>
      <c r="Q52" s="45">
        <f>PRODUCT(Q48:$T$48)</f>
        <v>1.1564140447471296</v>
      </c>
      <c r="R52" s="9">
        <f>PRODUCT(R48:$T$48)</f>
        <v>1.0442081949058695</v>
      </c>
      <c r="S52" s="9">
        <f>PRODUCT(S48:$T$48)</f>
        <v>1.0057142857142858</v>
      </c>
      <c r="T52" s="9">
        <f>PRODUCT(T48:$T$48)</f>
        <v>1</v>
      </c>
    </row>
    <row r="53" spans="15:20" x14ac:dyDescent="0.2">
      <c r="P53" s="76" t="s">
        <v>90</v>
      </c>
      <c r="Q53" s="45"/>
      <c r="R53" s="9"/>
      <c r="S53" s="9"/>
      <c r="T53" s="9"/>
    </row>
    <row r="55" spans="15:20" x14ac:dyDescent="0.2">
      <c r="R55" s="12" t="s">
        <v>87</v>
      </c>
      <c r="S55" s="11">
        <f>(Q37*Q52)*1000</f>
        <v>936695.37624517502</v>
      </c>
      <c r="T55" s="7" t="s">
        <v>91</v>
      </c>
    </row>
    <row r="57" spans="15:20" x14ac:dyDescent="0.2">
      <c r="R57" s="12" t="s">
        <v>85</v>
      </c>
      <c r="S57" s="38">
        <v>750000</v>
      </c>
    </row>
    <row r="59" spans="15:20" x14ac:dyDescent="0.2">
      <c r="R59" s="12" t="s">
        <v>43</v>
      </c>
      <c r="S59" s="11">
        <f>S55-S57</f>
        <v>186695.37624517502</v>
      </c>
      <c r="T59" s="7" t="s">
        <v>92</v>
      </c>
    </row>
  </sheetData>
  <autoFilter ref="B2:E2" xr:uid="{9019DF34-F445-DC49-A078-01F6B220EF43}"/>
  <sortState xmlns:xlrd2="http://schemas.microsoft.com/office/spreadsheetml/2017/richdata2" ref="B3:E12">
    <sortCondition descending="1" ref="C3:C12"/>
    <sortCondition descending="1" ref="E3:E12"/>
  </sortState>
  <mergeCells count="8">
    <mergeCell ref="O40:O41"/>
    <mergeCell ref="P40:T40"/>
    <mergeCell ref="C15:F15"/>
    <mergeCell ref="B15:B16"/>
    <mergeCell ref="H15:H16"/>
    <mergeCell ref="I15:L15"/>
    <mergeCell ref="P32:T32"/>
    <mergeCell ref="O32:O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238-2976-1940-AED4-3CA5F2F53B28}">
  <dimension ref="B2:AH55"/>
  <sheetViews>
    <sheetView topLeftCell="W46" workbookViewId="0">
      <selection activeCell="AB62" sqref="AB62"/>
    </sheetView>
  </sheetViews>
  <sheetFormatPr baseColWidth="10" defaultRowHeight="16" x14ac:dyDescent="0.2"/>
  <cols>
    <col min="11" max="11" width="12.33203125" bestFit="1" customWidth="1"/>
    <col min="12" max="13" width="15.6640625" bestFit="1" customWidth="1"/>
    <col min="16" max="16" width="12.6640625" bestFit="1" customWidth="1"/>
    <col min="24" max="24" width="25.1640625" bestFit="1" customWidth="1"/>
    <col min="25" max="25" width="17.33203125" bestFit="1" customWidth="1"/>
    <col min="26" max="26" width="25.83203125" bestFit="1" customWidth="1"/>
    <col min="27" max="27" width="29" bestFit="1" customWidth="1"/>
    <col min="28" max="28" width="14.6640625" bestFit="1" customWidth="1"/>
    <col min="29" max="29" width="11.33203125" bestFit="1" customWidth="1"/>
    <col min="30" max="30" width="26.1640625" bestFit="1" customWidth="1"/>
    <col min="31" max="31" width="12.1640625" bestFit="1" customWidth="1"/>
    <col min="32" max="32" width="29.5" bestFit="1" customWidth="1"/>
    <col min="33" max="33" width="11.83203125" bestFit="1" customWidth="1"/>
  </cols>
  <sheetData>
    <row r="2" spans="2:20" x14ac:dyDescent="0.2">
      <c r="M2" s="7" t="s">
        <v>104</v>
      </c>
    </row>
    <row r="3" spans="2:20" x14ac:dyDescent="0.2">
      <c r="L3" s="7" t="s">
        <v>103</v>
      </c>
    </row>
    <row r="4" spans="2:20" x14ac:dyDescent="0.2">
      <c r="K4" s="7" t="s">
        <v>102</v>
      </c>
    </row>
    <row r="5" spans="2:20" x14ac:dyDescent="0.2">
      <c r="B5" s="118" t="s">
        <v>28</v>
      </c>
      <c r="C5" s="118" t="s">
        <v>27</v>
      </c>
      <c r="D5" s="119" t="s">
        <v>93</v>
      </c>
      <c r="E5" s="119"/>
      <c r="F5" s="119"/>
      <c r="G5" s="119"/>
      <c r="J5" s="7" t="s">
        <v>101</v>
      </c>
    </row>
    <row r="6" spans="2:20" x14ac:dyDescent="0.2">
      <c r="B6" s="118"/>
      <c r="C6" s="118"/>
      <c r="D6" s="2">
        <v>12</v>
      </c>
      <c r="E6" s="2">
        <v>24</v>
      </c>
      <c r="F6" s="2">
        <v>36</v>
      </c>
      <c r="G6" s="2">
        <v>48</v>
      </c>
      <c r="I6" s="2" t="s">
        <v>95</v>
      </c>
      <c r="J6" s="2" t="s">
        <v>1</v>
      </c>
      <c r="K6" s="2" t="s">
        <v>97</v>
      </c>
      <c r="L6" s="2" t="s">
        <v>96</v>
      </c>
      <c r="M6" s="2" t="s">
        <v>98</v>
      </c>
    </row>
    <row r="7" spans="2:20" x14ac:dyDescent="0.2">
      <c r="B7" s="15">
        <v>1999</v>
      </c>
      <c r="C7" s="33">
        <v>1800</v>
      </c>
      <c r="D7" s="15">
        <v>300</v>
      </c>
      <c r="E7" s="15">
        <v>600</v>
      </c>
      <c r="F7" s="15">
        <v>900</v>
      </c>
      <c r="G7" s="15">
        <v>990</v>
      </c>
      <c r="I7" s="15">
        <v>1999</v>
      </c>
      <c r="J7" s="28">
        <f>_xlfn.XLOOKUP(I7,$B$7:$B$10,$C$7:$C$10)</f>
        <v>1800</v>
      </c>
      <c r="K7" s="28">
        <f>$D$12*J7</f>
        <v>1080</v>
      </c>
      <c r="L7" s="28">
        <f>MAX(_xlfn.XLOOKUP(I7,$B$7:$B$10,$D$7:$G$10))</f>
        <v>990</v>
      </c>
      <c r="M7" s="28">
        <f>K7-L7</f>
        <v>90</v>
      </c>
    </row>
    <row r="8" spans="2:20" x14ac:dyDescent="0.2">
      <c r="B8" s="15">
        <v>2000</v>
      </c>
      <c r="C8" s="33">
        <v>2000</v>
      </c>
      <c r="D8" s="15">
        <v>315</v>
      </c>
      <c r="E8" s="15">
        <v>640</v>
      </c>
      <c r="F8" s="15">
        <v>925</v>
      </c>
      <c r="G8" s="15"/>
      <c r="I8" s="15">
        <v>2000</v>
      </c>
      <c r="J8" s="28">
        <f t="shared" ref="J8:J10" si="0">_xlfn.XLOOKUP(I8,$B$7:$B$10,$C$7:$C$10)</f>
        <v>2000</v>
      </c>
      <c r="K8" s="28">
        <f t="shared" ref="K8:K10" si="1">$D$12*J8</f>
        <v>1200</v>
      </c>
      <c r="L8" s="28">
        <f t="shared" ref="L8:L10" si="2">MAX(_xlfn.XLOOKUP(I8,$B$7:$B$10,$D$7:$G$10))</f>
        <v>925</v>
      </c>
      <c r="M8" s="28">
        <f t="shared" ref="M8:M9" si="3">K8-L8</f>
        <v>275</v>
      </c>
    </row>
    <row r="9" spans="2:20" x14ac:dyDescent="0.2">
      <c r="B9" s="15">
        <v>2001</v>
      </c>
      <c r="C9" s="33">
        <v>2010</v>
      </c>
      <c r="D9" s="15">
        <v>350</v>
      </c>
      <c r="E9" s="15">
        <v>645</v>
      </c>
      <c r="F9" s="15"/>
      <c r="G9" s="15"/>
      <c r="I9" s="15">
        <v>2001</v>
      </c>
      <c r="J9" s="28">
        <f t="shared" si="0"/>
        <v>2010</v>
      </c>
      <c r="K9" s="28">
        <f t="shared" si="1"/>
        <v>1206</v>
      </c>
      <c r="L9" s="28">
        <f t="shared" si="2"/>
        <v>645</v>
      </c>
      <c r="M9" s="28">
        <f t="shared" si="3"/>
        <v>561</v>
      </c>
    </row>
    <row r="10" spans="2:20" x14ac:dyDescent="0.2">
      <c r="B10" s="15">
        <v>2002</v>
      </c>
      <c r="C10" s="33">
        <v>2185</v>
      </c>
      <c r="D10" s="15">
        <v>480</v>
      </c>
      <c r="E10" s="15"/>
      <c r="F10" s="15"/>
      <c r="G10" s="15"/>
      <c r="I10" s="15">
        <v>2002</v>
      </c>
      <c r="J10" s="28">
        <f t="shared" si="0"/>
        <v>2185</v>
      </c>
      <c r="K10" s="28">
        <f t="shared" si="1"/>
        <v>1311</v>
      </c>
      <c r="L10" s="28">
        <f t="shared" si="2"/>
        <v>480</v>
      </c>
      <c r="M10" s="28">
        <f>K10-L10</f>
        <v>831</v>
      </c>
    </row>
    <row r="11" spans="2:20" x14ac:dyDescent="0.2">
      <c r="L11" s="78" t="s">
        <v>100</v>
      </c>
      <c r="M11" s="34">
        <f>SUM(M7:M10)</f>
        <v>1757</v>
      </c>
      <c r="N11" s="7" t="s">
        <v>105</v>
      </c>
    </row>
    <row r="12" spans="2:20" x14ac:dyDescent="0.2">
      <c r="C12" s="12" t="s">
        <v>94</v>
      </c>
      <c r="D12" s="77">
        <v>0.6</v>
      </c>
    </row>
    <row r="14" spans="2:20" x14ac:dyDescent="0.2">
      <c r="O14" s="118" t="s">
        <v>28</v>
      </c>
      <c r="P14" s="118" t="s">
        <v>27</v>
      </c>
      <c r="Q14" s="119" t="s">
        <v>93</v>
      </c>
      <c r="R14" s="119"/>
      <c r="S14" s="119"/>
      <c r="T14" s="119"/>
    </row>
    <row r="15" spans="2:20" x14ac:dyDescent="0.2">
      <c r="O15" s="118"/>
      <c r="P15" s="118"/>
      <c r="Q15" s="2">
        <v>12</v>
      </c>
      <c r="R15" s="2">
        <v>24</v>
      </c>
      <c r="S15" s="2">
        <v>36</v>
      </c>
      <c r="T15" s="2">
        <v>48</v>
      </c>
    </row>
    <row r="16" spans="2:20" x14ac:dyDescent="0.2">
      <c r="O16" s="15">
        <v>1999</v>
      </c>
      <c r="P16" s="33">
        <v>1800</v>
      </c>
      <c r="Q16" s="15">
        <v>300</v>
      </c>
      <c r="R16" s="15">
        <v>600</v>
      </c>
      <c r="S16" s="15">
        <v>900</v>
      </c>
      <c r="T16" s="15">
        <v>990</v>
      </c>
    </row>
    <row r="17" spans="15:20" x14ac:dyDescent="0.2">
      <c r="O17" s="15">
        <v>2000</v>
      </c>
      <c r="P17" s="33">
        <v>2000</v>
      </c>
      <c r="Q17" s="15">
        <v>315</v>
      </c>
      <c r="R17" s="15">
        <v>640</v>
      </c>
      <c r="S17" s="15">
        <v>925</v>
      </c>
      <c r="T17" s="15"/>
    </row>
    <row r="18" spans="15:20" x14ac:dyDescent="0.2">
      <c r="O18" s="15">
        <v>2001</v>
      </c>
      <c r="P18" s="33">
        <v>2010</v>
      </c>
      <c r="Q18" s="15">
        <v>350</v>
      </c>
      <c r="R18" s="15">
        <v>645</v>
      </c>
      <c r="S18" s="15"/>
      <c r="T18" s="15"/>
    </row>
    <row r="19" spans="15:20" x14ac:dyDescent="0.2">
      <c r="O19" s="15">
        <v>2002</v>
      </c>
      <c r="P19" s="33">
        <v>2185</v>
      </c>
      <c r="Q19" s="15">
        <v>480</v>
      </c>
      <c r="R19" s="15"/>
      <c r="S19" s="15"/>
      <c r="T19" s="15"/>
    </row>
    <row r="22" spans="15:20" x14ac:dyDescent="0.2">
      <c r="O22" s="2" t="s">
        <v>14</v>
      </c>
      <c r="P22" s="2" t="s">
        <v>106</v>
      </c>
    </row>
    <row r="23" spans="15:20" x14ac:dyDescent="0.2">
      <c r="O23" s="61" t="s">
        <v>9</v>
      </c>
      <c r="P23" s="9"/>
      <c r="Q23" s="1" t="s">
        <v>111</v>
      </c>
    </row>
    <row r="24" spans="15:20" x14ac:dyDescent="0.2">
      <c r="O24" s="61" t="s">
        <v>10</v>
      </c>
      <c r="P24" s="9">
        <f>SUM(S16:S17)/SUM(R16:R17)</f>
        <v>1.471774193548387</v>
      </c>
      <c r="Q24" s="7" t="s">
        <v>113</v>
      </c>
    </row>
    <row r="25" spans="15:20" x14ac:dyDescent="0.2">
      <c r="O25" s="61" t="s">
        <v>11</v>
      </c>
      <c r="P25" s="9">
        <f>SUM(T16)/SUM(S16)</f>
        <v>1.1000000000000001</v>
      </c>
    </row>
    <row r="26" spans="15:20" x14ac:dyDescent="0.2">
      <c r="O26" s="61" t="s">
        <v>18</v>
      </c>
      <c r="P26" s="83">
        <v>1</v>
      </c>
    </row>
    <row r="27" spans="15:20" x14ac:dyDescent="0.2">
      <c r="O27" s="61"/>
      <c r="P27" s="9"/>
    </row>
    <row r="28" spans="15:20" x14ac:dyDescent="0.2">
      <c r="O28" s="2" t="s">
        <v>21</v>
      </c>
      <c r="P28" s="2" t="s">
        <v>25</v>
      </c>
    </row>
    <row r="29" spans="15:20" x14ac:dyDescent="0.2">
      <c r="O29" s="61" t="s">
        <v>16</v>
      </c>
      <c r="P29" s="9">
        <f>PRODUCT(P24:P26)</f>
        <v>1.6189516129032258</v>
      </c>
      <c r="Q29" s="7" t="s">
        <v>114</v>
      </c>
    </row>
    <row r="30" spans="15:20" x14ac:dyDescent="0.2">
      <c r="O30" s="61" t="s">
        <v>17</v>
      </c>
      <c r="P30" s="9">
        <f>PRODUCT(P25:P26)</f>
        <v>1.1000000000000001</v>
      </c>
    </row>
    <row r="31" spans="15:20" x14ac:dyDescent="0.2">
      <c r="O31" s="61" t="s">
        <v>18</v>
      </c>
      <c r="P31" s="9">
        <f>PRODUCT(P26)</f>
        <v>1</v>
      </c>
    </row>
    <row r="32" spans="15:20" x14ac:dyDescent="0.2">
      <c r="O32" s="61"/>
      <c r="P32" s="9"/>
      <c r="S32" s="7" t="s">
        <v>118</v>
      </c>
    </row>
    <row r="33" spans="15:33" x14ac:dyDescent="0.2">
      <c r="O33" s="61"/>
      <c r="P33" s="9"/>
      <c r="R33" s="7" t="s">
        <v>117</v>
      </c>
    </row>
    <row r="34" spans="15:33" x14ac:dyDescent="0.2">
      <c r="O34" s="61"/>
      <c r="P34" s="9"/>
      <c r="Q34" s="7" t="s">
        <v>116</v>
      </c>
    </row>
    <row r="35" spans="15:33" x14ac:dyDescent="0.2">
      <c r="P35" s="7" t="s">
        <v>115</v>
      </c>
    </row>
    <row r="36" spans="15:33" x14ac:dyDescent="0.2">
      <c r="O36" s="2" t="s">
        <v>2</v>
      </c>
      <c r="P36" s="2" t="s">
        <v>107</v>
      </c>
      <c r="Q36" s="2" t="s">
        <v>97</v>
      </c>
      <c r="R36" s="2" t="s">
        <v>1</v>
      </c>
      <c r="S36" s="2" t="s">
        <v>29</v>
      </c>
    </row>
    <row r="37" spans="15:33" x14ac:dyDescent="0.2">
      <c r="O37" s="15">
        <v>1999</v>
      </c>
      <c r="P37" s="5">
        <f>MAX(_xlfn.XLOOKUP(O37,$O$16:$O$19,$Q$16:$T$19))</f>
        <v>990</v>
      </c>
      <c r="Q37" s="4">
        <f>P37*P31</f>
        <v>990</v>
      </c>
      <c r="R37" s="5">
        <f>_xlfn.XLOOKUP(O37,$O$16:$O$19,$P$16:$P$19)</f>
        <v>1800</v>
      </c>
      <c r="S37" s="20">
        <f>Q37/R37</f>
        <v>0.55000000000000004</v>
      </c>
    </row>
    <row r="38" spans="15:33" x14ac:dyDescent="0.2">
      <c r="O38" s="15">
        <v>2000</v>
      </c>
      <c r="P38" s="5">
        <f t="shared" ref="P38:P40" si="4">MAX(_xlfn.XLOOKUP(O38,$O$16:$O$19,$Q$16:$T$19))</f>
        <v>925</v>
      </c>
      <c r="Q38" s="4">
        <f>P38*P30</f>
        <v>1017.5000000000001</v>
      </c>
      <c r="R38" s="5">
        <f t="shared" ref="R38:R39" si="5">_xlfn.XLOOKUP(O38,$O$16:$O$19,$P$16:$P$19)</f>
        <v>2000</v>
      </c>
      <c r="S38" s="20">
        <f t="shared" ref="S38:S39" si="6">Q38/R38</f>
        <v>0.50875000000000004</v>
      </c>
    </row>
    <row r="39" spans="15:33" x14ac:dyDescent="0.2">
      <c r="O39" s="15">
        <v>2001</v>
      </c>
      <c r="P39" s="5">
        <f t="shared" si="4"/>
        <v>645</v>
      </c>
      <c r="Q39" s="4">
        <f>P39*P29</f>
        <v>1044.2237903225807</v>
      </c>
      <c r="R39" s="5">
        <f t="shared" si="5"/>
        <v>2010</v>
      </c>
      <c r="S39" s="20">
        <f t="shared" si="6"/>
        <v>0.51951432354357252</v>
      </c>
    </row>
    <row r="40" spans="15:33" x14ac:dyDescent="0.2">
      <c r="O40" s="15">
        <v>2002</v>
      </c>
      <c r="P40" s="5">
        <f t="shared" si="4"/>
        <v>480</v>
      </c>
      <c r="Q40" s="4"/>
      <c r="R40" s="5">
        <v>2185</v>
      </c>
      <c r="S40" s="20"/>
    </row>
    <row r="41" spans="15:33" x14ac:dyDescent="0.2">
      <c r="S41" s="80" t="s">
        <v>108</v>
      </c>
      <c r="T41" s="81">
        <f>AVERAGE(S37:S39)</f>
        <v>0.52608810784785753</v>
      </c>
      <c r="U41" s="7" t="s">
        <v>119</v>
      </c>
    </row>
    <row r="42" spans="15:33" x14ac:dyDescent="0.2">
      <c r="S42" s="1" t="s">
        <v>112</v>
      </c>
      <c r="T42" s="46"/>
    </row>
    <row r="43" spans="15:33" x14ac:dyDescent="0.2">
      <c r="T43" s="46"/>
    </row>
    <row r="44" spans="15:33" x14ac:dyDescent="0.2">
      <c r="S44" s="12" t="s">
        <v>109</v>
      </c>
      <c r="T44" s="82">
        <f>T41*R40</f>
        <v>1149.5025156475688</v>
      </c>
      <c r="U44" s="7" t="s">
        <v>120</v>
      </c>
    </row>
    <row r="45" spans="15:33" x14ac:dyDescent="0.2">
      <c r="T45" s="46"/>
    </row>
    <row r="46" spans="15:33" x14ac:dyDescent="0.2">
      <c r="S46" s="12" t="s">
        <v>110</v>
      </c>
      <c r="T46" s="50">
        <f>T44-P40</f>
        <v>669.50251564756877</v>
      </c>
      <c r="U46" s="7" t="s">
        <v>121</v>
      </c>
    </row>
    <row r="47" spans="15:33" x14ac:dyDescent="0.2">
      <c r="AC47" s="7" t="s">
        <v>133</v>
      </c>
      <c r="AD47" s="7" t="s">
        <v>134</v>
      </c>
      <c r="AE47" s="7" t="s">
        <v>135</v>
      </c>
      <c r="AF47" s="7" t="s">
        <v>136</v>
      </c>
      <c r="AG47" s="7" t="s">
        <v>137</v>
      </c>
    </row>
    <row r="48" spans="15:33" x14ac:dyDescent="0.2">
      <c r="X48" s="39" t="s">
        <v>28</v>
      </c>
      <c r="Y48" s="39" t="s">
        <v>27</v>
      </c>
      <c r="Z48" s="39" t="s">
        <v>122</v>
      </c>
      <c r="AA48" s="39" t="s">
        <v>123</v>
      </c>
      <c r="AB48" s="39" t="s">
        <v>124</v>
      </c>
      <c r="AC48" s="39" t="s">
        <v>131</v>
      </c>
      <c r="AD48" s="39" t="s">
        <v>128</v>
      </c>
      <c r="AE48" s="39" t="s">
        <v>129</v>
      </c>
      <c r="AF48" s="39" t="s">
        <v>130</v>
      </c>
      <c r="AG48" s="39" t="s">
        <v>132</v>
      </c>
    </row>
    <row r="49" spans="24:34" x14ac:dyDescent="0.2">
      <c r="X49" s="15">
        <v>1999</v>
      </c>
      <c r="Y49" s="22">
        <v>1800</v>
      </c>
      <c r="Z49" s="15">
        <v>1.1499999999999999</v>
      </c>
      <c r="AA49" s="15">
        <v>990</v>
      </c>
      <c r="AB49" s="15">
        <v>1</v>
      </c>
      <c r="AC49" s="5">
        <f>AA49*AB49</f>
        <v>990</v>
      </c>
      <c r="AD49" s="4">
        <f>AC49*(1+$Y$53)^(2002-X49)</f>
        <v>1113.61536</v>
      </c>
      <c r="AE49" s="4">
        <f>Y49*Z49</f>
        <v>2070</v>
      </c>
      <c r="AF49" s="4">
        <f>AE49*(1+$Y$54)^(2002-X49+0.5)</f>
        <v>2218.5588153822741</v>
      </c>
      <c r="AG49" s="20">
        <f>AD49/AF49</f>
        <v>0.5019544004327493</v>
      </c>
    </row>
    <row r="50" spans="24:34" x14ac:dyDescent="0.2">
      <c r="X50" s="15">
        <v>2000</v>
      </c>
      <c r="Y50" s="22">
        <v>2000</v>
      </c>
      <c r="Z50" s="15">
        <v>0.95</v>
      </c>
      <c r="AA50" s="15">
        <v>800</v>
      </c>
      <c r="AB50" s="15">
        <v>1.2</v>
      </c>
      <c r="AC50" s="5">
        <f t="shared" ref="AC50:AC51" si="7">AA50*AB50</f>
        <v>960</v>
      </c>
      <c r="AD50" s="4">
        <f t="shared" ref="AD50:AD51" si="8">AC50*(1+$Y$53)^(2002-X50)</f>
        <v>1038.336</v>
      </c>
      <c r="AE50" s="4">
        <f t="shared" ref="AE50:AE51" si="9">Y50*Z50</f>
        <v>1900</v>
      </c>
      <c r="AF50" s="4">
        <f t="shared" ref="AF50:AF51" si="10">AE50*(1+$Y$54)^(2002-X50+0.5)</f>
        <v>1996.4297381956621</v>
      </c>
      <c r="AG50" s="20">
        <f t="shared" ref="AG50:AG51" si="11">AD50/AF50</f>
        <v>0.5200964402275583</v>
      </c>
    </row>
    <row r="51" spans="24:34" x14ac:dyDescent="0.2">
      <c r="X51" s="15">
        <v>2001</v>
      </c>
      <c r="Y51" s="22">
        <v>2010</v>
      </c>
      <c r="Z51" s="15">
        <v>1.05</v>
      </c>
      <c r="AA51" s="15">
        <v>675</v>
      </c>
      <c r="AB51" s="15">
        <v>1.55</v>
      </c>
      <c r="AC51" s="5">
        <f t="shared" si="7"/>
        <v>1046.25</v>
      </c>
      <c r="AD51" s="4">
        <f t="shared" si="8"/>
        <v>1088.1000000000001</v>
      </c>
      <c r="AE51" s="4">
        <f t="shared" si="9"/>
        <v>2110.5</v>
      </c>
      <c r="AF51" s="4">
        <f t="shared" si="10"/>
        <v>2174.1305275861432</v>
      </c>
      <c r="AG51" s="20">
        <f t="shared" si="11"/>
        <v>0.50047593104176558</v>
      </c>
    </row>
    <row r="52" spans="24:34" x14ac:dyDescent="0.2">
      <c r="AF52" s="12" t="s">
        <v>108</v>
      </c>
      <c r="AG52" s="21">
        <f>AVERAGE(AG49:AG51)</f>
        <v>0.50750892390069113</v>
      </c>
    </row>
    <row r="53" spans="24:34" x14ac:dyDescent="0.2">
      <c r="X53" t="s">
        <v>125</v>
      </c>
      <c r="Y53" s="23">
        <v>0.04</v>
      </c>
      <c r="AG53" s="5"/>
    </row>
    <row r="54" spans="24:34" x14ac:dyDescent="0.2">
      <c r="X54" t="s">
        <v>126</v>
      </c>
      <c r="Y54" s="23">
        <v>0.02</v>
      </c>
      <c r="AF54" t="s">
        <v>109</v>
      </c>
      <c r="AG54" s="84">
        <f>AG52*Y55</f>
        <v>1108.90699872301</v>
      </c>
      <c r="AH54" s="7" t="s">
        <v>138</v>
      </c>
    </row>
    <row r="55" spans="24:34" x14ac:dyDescent="0.2">
      <c r="X55" t="s">
        <v>127</v>
      </c>
      <c r="Y55">
        <v>2185</v>
      </c>
    </row>
  </sheetData>
  <mergeCells count="6">
    <mergeCell ref="Q14:T14"/>
    <mergeCell ref="C5:C6"/>
    <mergeCell ref="B5:B6"/>
    <mergeCell ref="D5:G5"/>
    <mergeCell ref="O14:O15"/>
    <mergeCell ref="P14:P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90F-B77E-9040-98C4-DD78E1A3F582}">
  <dimension ref="B2:AB52"/>
  <sheetViews>
    <sheetView topLeftCell="K19" zoomScale="97" workbookViewId="0">
      <selection activeCell="M47" sqref="M47"/>
    </sheetView>
  </sheetViews>
  <sheetFormatPr baseColWidth="10" defaultRowHeight="16" x14ac:dyDescent="0.2"/>
  <cols>
    <col min="2" max="2" width="14.6640625" bestFit="1" customWidth="1"/>
    <col min="3" max="3" width="22.6640625" bestFit="1" customWidth="1"/>
    <col min="4" max="4" width="24" bestFit="1" customWidth="1"/>
    <col min="5" max="5" width="32.33203125" customWidth="1"/>
    <col min="6" max="6" width="21" bestFit="1" customWidth="1"/>
    <col min="7" max="7" width="26.83203125" bestFit="1" customWidth="1"/>
    <col min="8" max="8" width="40.33203125" bestFit="1" customWidth="1"/>
    <col min="9" max="9" width="18.6640625" bestFit="1" customWidth="1"/>
    <col min="10" max="10" width="12.6640625" customWidth="1"/>
    <col min="13" max="13" width="18.6640625" bestFit="1" customWidth="1"/>
    <col min="14" max="14" width="12" bestFit="1" customWidth="1"/>
    <col min="15" max="15" width="16.1640625" bestFit="1" customWidth="1"/>
    <col min="16" max="18" width="11.83203125" bestFit="1" customWidth="1"/>
    <col min="20" max="20" width="15.1640625" bestFit="1" customWidth="1"/>
    <col min="21" max="21" width="15.1640625" customWidth="1"/>
    <col min="22" max="22" width="17.83203125" bestFit="1" customWidth="1"/>
    <col min="23" max="23" width="27.6640625" bestFit="1" customWidth="1"/>
    <col min="24" max="24" width="12.1640625" bestFit="1" customWidth="1"/>
    <col min="25" max="25" width="10.83203125" customWidth="1"/>
    <col min="26" max="26" width="12.1640625" bestFit="1" customWidth="1"/>
    <col min="27" max="27" width="16.83203125" bestFit="1" customWidth="1"/>
    <col min="28" max="28" width="11.83203125" customWidth="1"/>
  </cols>
  <sheetData>
    <row r="2" spans="2:11" x14ac:dyDescent="0.2">
      <c r="C2" s="7" t="s">
        <v>157</v>
      </c>
      <c r="G2" s="7" t="s">
        <v>159</v>
      </c>
      <c r="H2" s="7" t="s">
        <v>160</v>
      </c>
      <c r="I2" s="7" t="s">
        <v>161</v>
      </c>
      <c r="J2" s="19"/>
      <c r="K2" s="19"/>
    </row>
    <row r="3" spans="2:11" ht="51" x14ac:dyDescent="0.2">
      <c r="B3" s="39" t="s">
        <v>3</v>
      </c>
      <c r="C3" s="39" t="s">
        <v>152</v>
      </c>
      <c r="D3" s="39" t="s">
        <v>139</v>
      </c>
      <c r="E3" s="85" t="s">
        <v>141</v>
      </c>
      <c r="F3" s="39" t="s">
        <v>140</v>
      </c>
      <c r="G3" s="39" t="s">
        <v>150</v>
      </c>
      <c r="H3" s="39" t="s">
        <v>151</v>
      </c>
      <c r="I3" s="39" t="s">
        <v>153</v>
      </c>
      <c r="J3" s="39" t="s">
        <v>156</v>
      </c>
    </row>
    <row r="4" spans="2:11" x14ac:dyDescent="0.2">
      <c r="B4" s="15">
        <v>1998</v>
      </c>
      <c r="C4" s="6">
        <f>C5+12</f>
        <v>48</v>
      </c>
      <c r="D4" s="15">
        <v>200</v>
      </c>
      <c r="E4" s="15">
        <v>100</v>
      </c>
      <c r="F4" s="17">
        <v>0.8</v>
      </c>
      <c r="G4" s="5">
        <f>D4*F4</f>
        <v>160</v>
      </c>
      <c r="H4" s="5">
        <f>E4*_xlfn.XLOOKUP(C4,$B$16:$B$20,$D$16:$D$20)</f>
        <v>108</v>
      </c>
      <c r="I4" s="4">
        <f>_xlfn.LET(_xlpm.z,_xlfn.XLOOKUP(C4,$B$16:$B$20,$D$16:$D$20),H4*1/_xlpm.z+G4*(1-1/_xlpm.z))</f>
        <v>111.85185185185188</v>
      </c>
      <c r="J4" s="4">
        <f>I4-E4</f>
        <v>11.851851851851876</v>
      </c>
      <c r="K4" s="7" t="s">
        <v>162</v>
      </c>
    </row>
    <row r="5" spans="2:11" x14ac:dyDescent="0.2">
      <c r="B5" s="15">
        <v>1999</v>
      </c>
      <c r="C5" s="6">
        <f t="shared" ref="C5" si="0">C6+12</f>
        <v>36</v>
      </c>
      <c r="D5" s="22">
        <v>1000</v>
      </c>
      <c r="E5" s="22">
        <v>1000</v>
      </c>
      <c r="F5" s="17">
        <v>0.8</v>
      </c>
      <c r="G5" s="5">
        <f t="shared" ref="G5:G7" si="1">D5*F5</f>
        <v>800</v>
      </c>
      <c r="H5" s="5">
        <f>E5*_xlfn.XLOOKUP(C5,$B$16:$B$20,$D$16:$D$20)</f>
        <v>1134.0000000000002</v>
      </c>
      <c r="I5" s="4">
        <f>_xlfn.LET(_xlpm.z,_xlfn.XLOOKUP(C5,$B$16:$B$20,$D$16:$D$20),H5*1/_xlpm.z+G5*(1-1/_xlpm.z))</f>
        <v>1094.5326278659613</v>
      </c>
      <c r="J5" s="4">
        <f t="shared" ref="J5:J7" si="2">I5-E5</f>
        <v>94.532627865961331</v>
      </c>
    </row>
    <row r="6" spans="2:11" x14ac:dyDescent="0.2">
      <c r="B6" s="15">
        <v>2000</v>
      </c>
      <c r="C6" s="6">
        <f>C7+12</f>
        <v>24</v>
      </c>
      <c r="D6" s="22">
        <v>1500</v>
      </c>
      <c r="E6" s="15">
        <v>900</v>
      </c>
      <c r="F6" s="17">
        <v>0.8</v>
      </c>
      <c r="G6" s="5">
        <f t="shared" si="1"/>
        <v>1200</v>
      </c>
      <c r="H6" s="5">
        <f>E6*_xlfn.XLOOKUP(C6,$B$16:$B$20,$D$16:$D$20)</f>
        <v>1122.6600000000003</v>
      </c>
      <c r="I6" s="4">
        <f>_xlfn.LET(_xlpm.z,_xlfn.XLOOKUP(C6,$B$16:$B$20,$D$16:$D$20),H6*1/_xlpm.z+G6*(1-1/_xlpm.z))</f>
        <v>1137.9990379990381</v>
      </c>
      <c r="J6" s="4">
        <f t="shared" si="2"/>
        <v>237.99903799903814</v>
      </c>
    </row>
    <row r="7" spans="2:11" x14ac:dyDescent="0.2">
      <c r="B7" s="15">
        <v>2001</v>
      </c>
      <c r="C7" s="15">
        <v>12</v>
      </c>
      <c r="D7" s="22">
        <v>1500</v>
      </c>
      <c r="E7" s="15">
        <v>600</v>
      </c>
      <c r="F7" s="17">
        <v>0.8</v>
      </c>
      <c r="G7" s="5">
        <f t="shared" si="1"/>
        <v>1200</v>
      </c>
      <c r="H7" s="5">
        <f>E7*_xlfn.XLOOKUP(C7,$B$16:$B$20,$D$16:$D$20)</f>
        <v>935.55000000000018</v>
      </c>
      <c r="I7" s="4">
        <f>_xlfn.LET(_xlpm.z,_xlfn.XLOOKUP(C7,$B$16:$B$20,$D$16:$D$20),H7*1/_xlpm.z+G7*(1-1/_xlpm.z))</f>
        <v>1030.3992303992304</v>
      </c>
      <c r="J7" s="4">
        <f t="shared" si="2"/>
        <v>430.39923039923042</v>
      </c>
    </row>
    <row r="9" spans="2:11" x14ac:dyDescent="0.2">
      <c r="B9" s="39" t="s">
        <v>14</v>
      </c>
      <c r="C9" s="39" t="s">
        <v>147</v>
      </c>
      <c r="I9" t="s">
        <v>155</v>
      </c>
      <c r="J9" s="86">
        <f>SUM(J4:J7)*1000</f>
        <v>774782.7481160817</v>
      </c>
      <c r="K9" s="7" t="s">
        <v>164</v>
      </c>
    </row>
    <row r="10" spans="2:11" x14ac:dyDescent="0.2">
      <c r="B10" s="15" t="s">
        <v>142</v>
      </c>
      <c r="C10" s="15">
        <v>1.25</v>
      </c>
    </row>
    <row r="11" spans="2:11" x14ac:dyDescent="0.2">
      <c r="B11" s="15" t="s">
        <v>143</v>
      </c>
      <c r="C11" s="15">
        <v>1.1000000000000001</v>
      </c>
    </row>
    <row r="12" spans="2:11" x14ac:dyDescent="0.2">
      <c r="B12" s="15" t="s">
        <v>144</v>
      </c>
      <c r="C12" s="15">
        <v>1.05</v>
      </c>
    </row>
    <row r="13" spans="2:11" x14ac:dyDescent="0.2">
      <c r="B13" s="15" t="s">
        <v>145</v>
      </c>
      <c r="C13" s="15">
        <v>1.08</v>
      </c>
    </row>
    <row r="15" spans="2:11" x14ac:dyDescent="0.2">
      <c r="B15" s="39" t="s">
        <v>154</v>
      </c>
      <c r="C15" s="39" t="s">
        <v>21</v>
      </c>
      <c r="D15" s="39" t="s">
        <v>146</v>
      </c>
    </row>
    <row r="16" spans="2:11" x14ac:dyDescent="0.2">
      <c r="B16" s="14">
        <f>VALUE(LEFT(C16,2))</f>
        <v>12</v>
      </c>
      <c r="C16" s="75" t="s">
        <v>22</v>
      </c>
      <c r="D16" s="9">
        <f>PRODUCT(C10:$C$13)</f>
        <v>1.5592500000000002</v>
      </c>
      <c r="E16" s="7" t="s">
        <v>163</v>
      </c>
    </row>
    <row r="17" spans="2:28" x14ac:dyDescent="0.2">
      <c r="B17" s="14">
        <f t="shared" ref="B17:B19" si="3">VALUE(LEFT(C17,2))</f>
        <v>24</v>
      </c>
      <c r="C17" t="s">
        <v>23</v>
      </c>
      <c r="D17" s="9">
        <f>PRODUCT(C11:$C$13)</f>
        <v>1.2474000000000003</v>
      </c>
    </row>
    <row r="18" spans="2:28" x14ac:dyDescent="0.2">
      <c r="B18" s="14">
        <f t="shared" si="3"/>
        <v>36</v>
      </c>
      <c r="C18" t="s">
        <v>24</v>
      </c>
      <c r="D18" s="9">
        <f>PRODUCT(C12:$C$13)</f>
        <v>1.1340000000000001</v>
      </c>
    </row>
    <row r="19" spans="2:28" x14ac:dyDescent="0.2">
      <c r="B19" s="14">
        <f t="shared" si="3"/>
        <v>48</v>
      </c>
      <c r="C19" t="s">
        <v>148</v>
      </c>
      <c r="D19" s="9">
        <f>PRODUCT(C13:$C$13)</f>
        <v>1.08</v>
      </c>
      <c r="X19" s="19"/>
      <c r="Y19" s="19"/>
      <c r="Z19" s="19"/>
      <c r="AA19" s="19"/>
      <c r="AB19" s="19"/>
    </row>
    <row r="20" spans="2:28" x14ac:dyDescent="0.2">
      <c r="B20" s="14">
        <f>VALUE(LEFT(C20,2))</f>
        <v>60</v>
      </c>
      <c r="C20" t="s">
        <v>149</v>
      </c>
      <c r="D20">
        <v>1</v>
      </c>
      <c r="X20" s="19"/>
      <c r="Y20" s="19"/>
      <c r="Z20" s="19"/>
      <c r="AA20" s="19"/>
      <c r="AB20" s="7" t="s">
        <v>183</v>
      </c>
    </row>
    <row r="21" spans="2:28" x14ac:dyDescent="0.2">
      <c r="B21" s="7" t="s">
        <v>158</v>
      </c>
      <c r="X21" s="19"/>
      <c r="Y21" s="19"/>
      <c r="Z21" s="19"/>
      <c r="AA21" s="7" t="s">
        <v>182</v>
      </c>
      <c r="AB21" s="19"/>
    </row>
    <row r="22" spans="2:28" x14ac:dyDescent="0.2">
      <c r="M22" s="15"/>
      <c r="X22" s="19"/>
      <c r="Y22" s="19"/>
      <c r="Z22" s="7" t="s">
        <v>181</v>
      </c>
      <c r="AA22" s="19"/>
      <c r="AB22" s="19"/>
    </row>
    <row r="23" spans="2:28" ht="16" customHeight="1" x14ac:dyDescent="0.2">
      <c r="M23" s="120" t="s">
        <v>3</v>
      </c>
      <c r="N23" s="120" t="s">
        <v>27</v>
      </c>
      <c r="O23" s="116" t="s">
        <v>165</v>
      </c>
      <c r="P23" s="116"/>
      <c r="Q23" s="116"/>
      <c r="R23" s="116"/>
      <c r="X23" s="19"/>
      <c r="Y23" s="7" t="s">
        <v>180</v>
      </c>
      <c r="Z23" s="19"/>
      <c r="AA23" s="19"/>
      <c r="AB23" s="19"/>
    </row>
    <row r="24" spans="2:28" x14ac:dyDescent="0.2">
      <c r="M24" s="120"/>
      <c r="N24" s="120"/>
      <c r="O24" s="116" t="s">
        <v>166</v>
      </c>
      <c r="P24" s="116"/>
      <c r="Q24" s="116"/>
      <c r="R24" s="116"/>
      <c r="T24" s="87"/>
      <c r="U24" s="7" t="s">
        <v>177</v>
      </c>
      <c r="V24" s="87"/>
      <c r="W24" s="7" t="s">
        <v>178</v>
      </c>
      <c r="X24" s="7" t="s">
        <v>179</v>
      </c>
      <c r="Y24" s="19"/>
      <c r="Z24" s="19"/>
      <c r="AA24" s="19"/>
      <c r="AB24" s="19"/>
    </row>
    <row r="25" spans="2:28" x14ac:dyDescent="0.2">
      <c r="M25" s="120"/>
      <c r="N25" s="120"/>
      <c r="O25" s="39">
        <v>12</v>
      </c>
      <c r="P25" s="39">
        <v>24</v>
      </c>
      <c r="Q25" s="39">
        <v>36</v>
      </c>
      <c r="R25" s="39">
        <v>48</v>
      </c>
      <c r="T25" s="88" t="s">
        <v>3</v>
      </c>
      <c r="U25" s="88" t="s">
        <v>70</v>
      </c>
      <c r="V25" s="88" t="s">
        <v>27</v>
      </c>
      <c r="W25" s="88" t="s">
        <v>150</v>
      </c>
      <c r="X25" s="88" t="s">
        <v>169</v>
      </c>
      <c r="Y25" s="88" t="s">
        <v>25</v>
      </c>
      <c r="Z25" s="88" t="s">
        <v>170</v>
      </c>
      <c r="AA25" s="88" t="s">
        <v>171</v>
      </c>
      <c r="AB25" s="88" t="s">
        <v>156</v>
      </c>
    </row>
    <row r="26" spans="2:28" x14ac:dyDescent="0.2">
      <c r="M26" s="15">
        <v>2001</v>
      </c>
      <c r="N26" s="33">
        <v>19000</v>
      </c>
      <c r="O26" s="33">
        <v>4850</v>
      </c>
      <c r="P26" s="33">
        <v>9700</v>
      </c>
      <c r="Q26" s="33">
        <v>14100</v>
      </c>
      <c r="R26" s="33">
        <v>16200</v>
      </c>
      <c r="T26" s="15">
        <v>2001</v>
      </c>
      <c r="U26" s="6">
        <f>U27+12</f>
        <v>48</v>
      </c>
      <c r="V26" s="33">
        <v>19000</v>
      </c>
      <c r="W26" s="28">
        <f>V26*$N$31</f>
        <v>17100</v>
      </c>
      <c r="X26" s="28">
        <f>SUM(_xlfn.XLOOKUP(T26,$M$26:$M$29,$O$26:$R$29))</f>
        <v>44850</v>
      </c>
      <c r="Y26" s="9">
        <f>_xlfn.XLOOKUP(U26,$M$47:$M$50,$O$47:$O$50)</f>
        <v>1</v>
      </c>
      <c r="Z26" s="29">
        <f>X26*Y26</f>
        <v>44850</v>
      </c>
      <c r="AA26" s="29">
        <f>Z26*1/Y26+W26*(1-1/Y26)</f>
        <v>44850</v>
      </c>
      <c r="AB26" s="29">
        <f>AA26-X26</f>
        <v>0</v>
      </c>
    </row>
    <row r="27" spans="2:28" x14ac:dyDescent="0.2">
      <c r="M27" s="15">
        <v>2002</v>
      </c>
      <c r="N27" s="33">
        <v>20000</v>
      </c>
      <c r="O27" s="33">
        <v>5150</v>
      </c>
      <c r="P27" s="33">
        <v>10300</v>
      </c>
      <c r="Q27" s="33">
        <v>14900</v>
      </c>
      <c r="R27" s="33"/>
      <c r="T27" s="15">
        <v>2002</v>
      </c>
      <c r="U27" s="6">
        <f t="shared" ref="U27" si="4">U28+12</f>
        <v>36</v>
      </c>
      <c r="V27" s="33">
        <v>20000</v>
      </c>
      <c r="W27" s="28">
        <f t="shared" ref="W27:W29" si="5">V27*$N$31</f>
        <v>18000</v>
      </c>
      <c r="X27" s="28">
        <f t="shared" ref="X27:X28" si="6">SUM(_xlfn.XLOOKUP(T27,$M$26:$M$29,$O$26:$R$29))</f>
        <v>30350</v>
      </c>
      <c r="Y27" s="9">
        <f t="shared" ref="Y27:Y29" si="7">_xlfn.XLOOKUP(U27,$M$47:$M$50,$O$47:$O$50)</f>
        <v>1.1489361702127661</v>
      </c>
      <c r="Z27" s="29">
        <f t="shared" ref="Z27:Z28" si="8">X27*Y27</f>
        <v>34870.212765957447</v>
      </c>
      <c r="AA27" s="29">
        <f t="shared" ref="AA27:AA29" si="9">Z27*1/Y27+W27*(1-1/Y27)</f>
        <v>32683.333333333332</v>
      </c>
      <c r="AB27" s="29">
        <f t="shared" ref="AB27:AB29" si="10">AA27-X27</f>
        <v>2333.3333333333321</v>
      </c>
    </row>
    <row r="28" spans="2:28" x14ac:dyDescent="0.2">
      <c r="M28" s="15">
        <v>2003</v>
      </c>
      <c r="N28" s="33">
        <v>21000</v>
      </c>
      <c r="O28" s="33">
        <v>5400</v>
      </c>
      <c r="P28" s="33">
        <v>10800</v>
      </c>
      <c r="Q28" s="33"/>
      <c r="R28" s="33"/>
      <c r="T28" s="15">
        <v>2003</v>
      </c>
      <c r="U28" s="6">
        <f>U29+12</f>
        <v>24</v>
      </c>
      <c r="V28" s="33">
        <v>21000</v>
      </c>
      <c r="W28" s="28">
        <f t="shared" si="5"/>
        <v>18900</v>
      </c>
      <c r="X28" s="28">
        <f t="shared" si="6"/>
        <v>16200</v>
      </c>
      <c r="Y28" s="9">
        <f t="shared" si="7"/>
        <v>1.6660781937786562</v>
      </c>
      <c r="Z28" s="29">
        <f t="shared" si="8"/>
        <v>26990.466739214229</v>
      </c>
      <c r="AA28" s="29">
        <f t="shared" si="9"/>
        <v>23755.994616234126</v>
      </c>
      <c r="AB28" s="29">
        <f t="shared" si="10"/>
        <v>7555.9946162341257</v>
      </c>
    </row>
    <row r="29" spans="2:28" x14ac:dyDescent="0.2">
      <c r="M29" s="15">
        <v>2004</v>
      </c>
      <c r="N29" s="33">
        <v>22000</v>
      </c>
      <c r="O29" s="33">
        <v>7200</v>
      </c>
      <c r="P29" s="33"/>
      <c r="Q29" s="33"/>
      <c r="R29" s="33"/>
      <c r="T29" s="15">
        <v>2004</v>
      </c>
      <c r="U29" s="15">
        <v>12</v>
      </c>
      <c r="V29" s="33">
        <v>22000</v>
      </c>
      <c r="W29" s="28">
        <f t="shared" si="5"/>
        <v>19800</v>
      </c>
      <c r="X29" s="28">
        <f>SUM(_xlfn.XLOOKUP(T29,$M$26:$M$29,$O$26:$R$29))</f>
        <v>7200</v>
      </c>
      <c r="Y29" s="9">
        <f t="shared" si="7"/>
        <v>3.3321563875573124</v>
      </c>
      <c r="Z29" s="29">
        <f>X29*Y29</f>
        <v>23991.525990412651</v>
      </c>
      <c r="AA29" s="29">
        <f t="shared" si="9"/>
        <v>21057.901941836924</v>
      </c>
      <c r="AB29" s="25">
        <f t="shared" si="10"/>
        <v>13857.901941836924</v>
      </c>
    </row>
    <row r="31" spans="2:28" x14ac:dyDescent="0.2">
      <c r="M31" s="12" t="s">
        <v>94</v>
      </c>
      <c r="N31" s="49">
        <v>0.9</v>
      </c>
    </row>
    <row r="33" spans="13:23" ht="16" customHeight="1" x14ac:dyDescent="0.2">
      <c r="N33" s="116"/>
      <c r="O33" s="116"/>
      <c r="P33" s="116"/>
      <c r="Q33" s="116"/>
    </row>
    <row r="34" spans="13:23" x14ac:dyDescent="0.2">
      <c r="N34" s="120" t="s">
        <v>3</v>
      </c>
      <c r="O34" s="116" t="s">
        <v>167</v>
      </c>
      <c r="P34" s="116"/>
      <c r="Q34" s="116"/>
      <c r="R34" s="116"/>
    </row>
    <row r="35" spans="13:23" x14ac:dyDescent="0.2">
      <c r="N35" s="120"/>
      <c r="O35" s="72" t="s">
        <v>9</v>
      </c>
      <c r="P35" s="72" t="s">
        <v>10</v>
      </c>
      <c r="Q35" s="72" t="s">
        <v>11</v>
      </c>
      <c r="R35" s="72" t="s">
        <v>18</v>
      </c>
    </row>
    <row r="36" spans="13:23" x14ac:dyDescent="0.2">
      <c r="N36" s="15">
        <v>2001</v>
      </c>
      <c r="O36" s="13">
        <f>P26/O26</f>
        <v>2</v>
      </c>
      <c r="P36" s="13">
        <f>Q26/P26</f>
        <v>1.4536082474226804</v>
      </c>
      <c r="Q36" s="13">
        <f>R26/Q26</f>
        <v>1.1489361702127661</v>
      </c>
      <c r="R36" s="32">
        <v>1</v>
      </c>
    </row>
    <row r="37" spans="13:23" x14ac:dyDescent="0.2">
      <c r="N37" s="15">
        <v>2002</v>
      </c>
      <c r="O37" s="13">
        <f t="shared" ref="O37" si="11">P27/O27</f>
        <v>2</v>
      </c>
      <c r="P37" s="13">
        <f>Q27/P27</f>
        <v>1.4466019417475728</v>
      </c>
      <c r="Q37" s="89" t="s">
        <v>176</v>
      </c>
      <c r="R37" s="32"/>
    </row>
    <row r="38" spans="13:23" x14ac:dyDescent="0.2">
      <c r="N38" s="15">
        <v>2003</v>
      </c>
      <c r="O38" s="13">
        <f t="shared" ref="O38" si="12">P28/O28</f>
        <v>2</v>
      </c>
      <c r="P38" s="13"/>
      <c r="Q38" s="13"/>
      <c r="R38" s="32"/>
    </row>
    <row r="39" spans="13:23" x14ac:dyDescent="0.2">
      <c r="N39" s="15"/>
      <c r="O39" s="32"/>
      <c r="P39" s="32"/>
      <c r="Q39" s="32"/>
      <c r="R39" s="32"/>
    </row>
    <row r="40" spans="13:23" x14ac:dyDescent="0.2">
      <c r="N40" s="39" t="s">
        <v>14</v>
      </c>
      <c r="O40" s="39" t="s">
        <v>168</v>
      </c>
    </row>
    <row r="41" spans="13:23" x14ac:dyDescent="0.2">
      <c r="N41" t="s">
        <v>9</v>
      </c>
      <c r="O41" s="4">
        <f>AVERAGE(O36:O38)</f>
        <v>2</v>
      </c>
      <c r="P41" s="7" t="s">
        <v>175</v>
      </c>
    </row>
    <row r="42" spans="13:23" x14ac:dyDescent="0.2">
      <c r="N42" t="s">
        <v>10</v>
      </c>
      <c r="O42" s="4">
        <f>AVERAGE(P36:P37)</f>
        <v>1.4501050945851266</v>
      </c>
    </row>
    <row r="43" spans="13:23" x14ac:dyDescent="0.2">
      <c r="N43" t="s">
        <v>11</v>
      </c>
      <c r="O43" s="4">
        <f>AVERAGE(Q36)</f>
        <v>1.1489361702127661</v>
      </c>
    </row>
    <row r="44" spans="13:23" x14ac:dyDescent="0.2">
      <c r="N44" t="s">
        <v>18</v>
      </c>
      <c r="O44" s="4">
        <f>R36</f>
        <v>1</v>
      </c>
      <c r="W44" s="90">
        <f>8000000+9800000*(1-1/1.25)</f>
        <v>9960000</v>
      </c>
    </row>
    <row r="46" spans="13:23" x14ac:dyDescent="0.2">
      <c r="N46" s="39" t="s">
        <v>21</v>
      </c>
      <c r="O46" s="39" t="s">
        <v>25</v>
      </c>
    </row>
    <row r="47" spans="13:23" x14ac:dyDescent="0.2">
      <c r="M47" s="5">
        <f>VALUE(LEFT(N47,2))</f>
        <v>12</v>
      </c>
      <c r="N47" s="5" t="str">
        <f>LEFT(N41,2)&amp;"-ult"</f>
        <v>12-ult</v>
      </c>
      <c r="O47" s="9">
        <f>PRODUCT(O41:$O$44)</f>
        <v>3.3321563875573124</v>
      </c>
    </row>
    <row r="48" spans="13:23" x14ac:dyDescent="0.2">
      <c r="M48" s="5">
        <f t="shared" ref="M48:M50" si="13">VALUE(LEFT(N48,2))</f>
        <v>24</v>
      </c>
      <c r="N48" s="5" t="str">
        <f t="shared" ref="N48:N49" si="14">LEFT(N42,2)&amp;"-ult"</f>
        <v>24-ult</v>
      </c>
      <c r="O48" s="9">
        <f>PRODUCT(O42:$O$44)</f>
        <v>1.6660781937786562</v>
      </c>
    </row>
    <row r="49" spans="13:15" x14ac:dyDescent="0.2">
      <c r="M49" s="5">
        <f t="shared" si="13"/>
        <v>36</v>
      </c>
      <c r="N49" s="5" t="str">
        <f t="shared" si="14"/>
        <v>36-ult</v>
      </c>
      <c r="O49" s="9">
        <f>PRODUCT(O43:$O$44)</f>
        <v>1.1489361702127661</v>
      </c>
    </row>
    <row r="50" spans="13:15" x14ac:dyDescent="0.2">
      <c r="M50" s="5">
        <f t="shared" si="13"/>
        <v>48</v>
      </c>
      <c r="N50" s="5" t="str">
        <f>LEFT(N44,2)&amp;"-ult"</f>
        <v>48-ult</v>
      </c>
      <c r="O50" s="9">
        <f>PRODUCT(O44:$O$44)</f>
        <v>1</v>
      </c>
    </row>
    <row r="51" spans="13:15" x14ac:dyDescent="0.2">
      <c r="M51" s="7" t="s">
        <v>172</v>
      </c>
      <c r="N51" s="19"/>
      <c r="O51" s="7" t="s">
        <v>174</v>
      </c>
    </row>
    <row r="52" spans="13:15" x14ac:dyDescent="0.2">
      <c r="M52" s="19"/>
      <c r="N52" s="7" t="s">
        <v>173</v>
      </c>
      <c r="O52" s="19"/>
    </row>
  </sheetData>
  <mergeCells count="7">
    <mergeCell ref="N33:Q33"/>
    <mergeCell ref="O34:R34"/>
    <mergeCell ref="N34:N35"/>
    <mergeCell ref="N23:N25"/>
    <mergeCell ref="M23:M25"/>
    <mergeCell ref="O24:R24"/>
    <mergeCell ref="O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D11-D5FB-A545-9170-F8F9964B1A03}">
  <dimension ref="B2:H6"/>
  <sheetViews>
    <sheetView workbookViewId="0">
      <selection activeCell="L13" sqref="L13"/>
    </sheetView>
  </sheetViews>
  <sheetFormatPr baseColWidth="10" defaultRowHeight="16" x14ac:dyDescent="0.2"/>
  <cols>
    <col min="2" max="2" width="12.5" bestFit="1" customWidth="1"/>
    <col min="3" max="3" width="14.83203125" bestFit="1" customWidth="1"/>
    <col min="4" max="4" width="17.83203125" bestFit="1" customWidth="1"/>
    <col min="5" max="5" width="23.83203125" bestFit="1" customWidth="1"/>
    <col min="6" max="6" width="25.5" bestFit="1" customWidth="1"/>
    <col min="7" max="7" width="11.83203125" bestFit="1" customWidth="1"/>
    <col min="8" max="8" width="19.1640625" bestFit="1" customWidth="1"/>
  </cols>
  <sheetData>
    <row r="2" spans="2:8" x14ac:dyDescent="0.2">
      <c r="G2" s="7" t="s">
        <v>189</v>
      </c>
    </row>
    <row r="3" spans="2:8" x14ac:dyDescent="0.2">
      <c r="B3" s="2" t="s">
        <v>3</v>
      </c>
      <c r="C3" s="2" t="s">
        <v>27</v>
      </c>
      <c r="D3" s="2" t="s">
        <v>184</v>
      </c>
      <c r="E3" s="2" t="s">
        <v>185</v>
      </c>
      <c r="F3" s="2" t="s">
        <v>186</v>
      </c>
      <c r="G3" s="2" t="s">
        <v>188</v>
      </c>
      <c r="H3" s="2" t="s">
        <v>187</v>
      </c>
    </row>
    <row r="4" spans="2:8" x14ac:dyDescent="0.2">
      <c r="B4" s="15">
        <v>2002</v>
      </c>
      <c r="C4" s="33">
        <v>25000</v>
      </c>
      <c r="D4" s="17">
        <v>0.65</v>
      </c>
      <c r="E4" s="91">
        <v>2.2999999999999998</v>
      </c>
      <c r="F4" s="33">
        <v>7200</v>
      </c>
      <c r="G4" s="29">
        <f>$F4+(C4*D4)*(1-1/$E4)</f>
        <v>16384.782608695652</v>
      </c>
      <c r="H4" s="25">
        <f>$F4+(G4)*(1-1/$E4)</f>
        <v>16460.964083175801</v>
      </c>
    </row>
    <row r="5" spans="2:8" x14ac:dyDescent="0.2">
      <c r="B5" s="15">
        <v>2003</v>
      </c>
      <c r="C5" s="33">
        <v>15000</v>
      </c>
      <c r="D5" s="17">
        <v>0.75</v>
      </c>
      <c r="E5" s="91">
        <v>4</v>
      </c>
      <c r="F5" s="33">
        <v>3375</v>
      </c>
      <c r="G5" s="29">
        <f>$F5+(C5*D5)*(1-1/$E5)</f>
        <v>11812.5</v>
      </c>
      <c r="H5" s="25">
        <f>$F5+(G5)*(1-1/$E5)</f>
        <v>12234.375</v>
      </c>
    </row>
    <row r="6" spans="2:8" x14ac:dyDescent="0.2">
      <c r="H6" s="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610A-B01B-3645-9EE3-5A370BF8379C}">
  <dimension ref="B2:AC42"/>
  <sheetViews>
    <sheetView workbookViewId="0">
      <selection activeCell="AH53" sqref="AH53"/>
    </sheetView>
  </sheetViews>
  <sheetFormatPr baseColWidth="10" defaultRowHeight="16" x14ac:dyDescent="0.2"/>
  <cols>
    <col min="2" max="2" width="21.6640625" bestFit="1" customWidth="1"/>
    <col min="3" max="3" width="22.6640625" bestFit="1" customWidth="1"/>
    <col min="4" max="4" width="22.5" bestFit="1" customWidth="1"/>
    <col min="5" max="5" width="30.83203125" bestFit="1" customWidth="1"/>
    <col min="6" max="6" width="25.6640625" bestFit="1" customWidth="1"/>
    <col min="7" max="7" width="25.6640625" customWidth="1"/>
    <col min="10" max="10" width="20.5" bestFit="1" customWidth="1"/>
    <col min="11" max="11" width="14.83203125" bestFit="1" customWidth="1"/>
    <col min="12" max="12" width="22.83203125" bestFit="1" customWidth="1"/>
    <col min="13" max="13" width="23.1640625" bestFit="1" customWidth="1"/>
    <col min="14" max="14" width="25.6640625" bestFit="1" customWidth="1"/>
    <col min="15" max="15" width="16" bestFit="1" customWidth="1"/>
    <col min="22" max="22" width="12.5" bestFit="1" customWidth="1"/>
    <col min="23" max="23" width="20.6640625" bestFit="1" customWidth="1"/>
    <col min="24" max="24" width="25.6640625" bestFit="1" customWidth="1"/>
    <col min="25" max="25" width="24.1640625" bestFit="1" customWidth="1"/>
    <col min="26" max="26" width="32.33203125" bestFit="1" customWidth="1"/>
    <col min="27" max="27" width="14.1640625" bestFit="1" customWidth="1"/>
    <col min="28" max="28" width="15" bestFit="1" customWidth="1"/>
    <col min="29" max="29" width="13.33203125" bestFit="1" customWidth="1"/>
  </cols>
  <sheetData>
    <row r="2" spans="2:16" x14ac:dyDescent="0.2">
      <c r="G2" s="7" t="s">
        <v>159</v>
      </c>
    </row>
    <row r="3" spans="2:16" x14ac:dyDescent="0.2">
      <c r="B3" s="2" t="s">
        <v>28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196</v>
      </c>
    </row>
    <row r="4" spans="2:16" x14ac:dyDescent="0.2">
      <c r="B4" s="15">
        <v>2002</v>
      </c>
      <c r="C4" s="22">
        <v>6500</v>
      </c>
      <c r="D4" s="22">
        <v>10000</v>
      </c>
      <c r="E4" s="22">
        <v>6000</v>
      </c>
      <c r="F4" s="17">
        <v>0.95</v>
      </c>
      <c r="G4" s="24">
        <f>D4*F4</f>
        <v>9500</v>
      </c>
    </row>
    <row r="5" spans="2:16" x14ac:dyDescent="0.2">
      <c r="B5" s="15">
        <v>2003</v>
      </c>
      <c r="C5" s="22">
        <v>8000</v>
      </c>
      <c r="D5" s="22">
        <v>9000</v>
      </c>
      <c r="E5" s="22">
        <v>5000</v>
      </c>
      <c r="F5" s="17">
        <v>0.75</v>
      </c>
      <c r="G5" s="24">
        <f t="shared" ref="G5:G6" si="0">D5*F5</f>
        <v>6750</v>
      </c>
    </row>
    <row r="6" spans="2:16" x14ac:dyDescent="0.2">
      <c r="B6" s="15">
        <v>2004</v>
      </c>
      <c r="C6" s="22">
        <v>9000</v>
      </c>
      <c r="D6" s="22">
        <v>11000</v>
      </c>
      <c r="E6" s="22">
        <v>5000</v>
      </c>
      <c r="F6" s="17">
        <v>0.5</v>
      </c>
      <c r="G6" s="24">
        <f t="shared" si="0"/>
        <v>5500</v>
      </c>
    </row>
    <row r="7" spans="2:16" x14ac:dyDescent="0.2">
      <c r="B7" s="15">
        <v>2005</v>
      </c>
      <c r="C7" s="22">
        <v>9500</v>
      </c>
      <c r="D7" s="22">
        <v>12000</v>
      </c>
      <c r="E7" s="22">
        <v>4000</v>
      </c>
      <c r="F7" s="17">
        <v>0.2</v>
      </c>
      <c r="G7" s="24">
        <f>D7*F7</f>
        <v>2400</v>
      </c>
    </row>
    <row r="9" spans="2:16" x14ac:dyDescent="0.2">
      <c r="F9" s="40"/>
      <c r="G9" s="7" t="s">
        <v>197</v>
      </c>
    </row>
    <row r="10" spans="2:16" x14ac:dyDescent="0.2">
      <c r="F10" s="40" t="s">
        <v>195</v>
      </c>
      <c r="G10" s="35">
        <f>SUM(E4:E7)/SUM(G4:G7)</f>
        <v>0.82815734989648038</v>
      </c>
    </row>
    <row r="11" spans="2:16" x14ac:dyDescent="0.2">
      <c r="O11" s="7" t="s">
        <v>203</v>
      </c>
      <c r="P11" s="7" t="s">
        <v>204</v>
      </c>
    </row>
    <row r="12" spans="2:16" x14ac:dyDescent="0.2">
      <c r="J12" s="2" t="s">
        <v>198</v>
      </c>
      <c r="K12" s="2" t="s">
        <v>27</v>
      </c>
      <c r="L12" s="2" t="s">
        <v>199</v>
      </c>
      <c r="M12" s="2" t="s">
        <v>200</v>
      </c>
      <c r="N12" s="2" t="s">
        <v>194</v>
      </c>
      <c r="O12" s="2" t="s">
        <v>201</v>
      </c>
      <c r="P12" s="2" t="s">
        <v>202</v>
      </c>
    </row>
    <row r="13" spans="2:16" x14ac:dyDescent="0.2">
      <c r="J13" s="15">
        <v>2003</v>
      </c>
      <c r="K13" s="38">
        <v>10000</v>
      </c>
      <c r="L13" s="38">
        <v>9000</v>
      </c>
      <c r="M13" s="38">
        <v>8000</v>
      </c>
      <c r="N13" s="15">
        <v>0.95</v>
      </c>
      <c r="O13" s="28">
        <f>L13*N13</f>
        <v>8550</v>
      </c>
      <c r="P13" s="29">
        <f>L13*$O$20*(1-N13)</f>
        <v>408.3035468792965</v>
      </c>
    </row>
    <row r="14" spans="2:16" x14ac:dyDescent="0.2">
      <c r="J14" s="15">
        <v>2004</v>
      </c>
      <c r="K14" s="38">
        <v>11000</v>
      </c>
      <c r="L14" s="38">
        <v>9000</v>
      </c>
      <c r="M14" s="38">
        <v>8000</v>
      </c>
      <c r="N14" s="15">
        <v>0.88</v>
      </c>
      <c r="O14" s="28">
        <f t="shared" ref="O14:O17" si="1">L14*N14</f>
        <v>7920</v>
      </c>
      <c r="P14" s="29">
        <f>L14*$O$20*(1-N14)</f>
        <v>979.92851251031061</v>
      </c>
    </row>
    <row r="15" spans="2:16" x14ac:dyDescent="0.2">
      <c r="J15" s="15">
        <v>2005</v>
      </c>
      <c r="K15" s="38">
        <v>13000</v>
      </c>
      <c r="L15" s="38">
        <v>11000</v>
      </c>
      <c r="M15" s="38">
        <v>7000</v>
      </c>
      <c r="N15" s="15">
        <v>0.75</v>
      </c>
      <c r="O15" s="28">
        <f t="shared" si="1"/>
        <v>8250</v>
      </c>
      <c r="P15" s="29">
        <f>L15*$O$20*(1-N15)</f>
        <v>2495.1883420401427</v>
      </c>
    </row>
    <row r="16" spans="2:16" x14ac:dyDescent="0.2">
      <c r="J16" s="15">
        <v>2006</v>
      </c>
      <c r="K16" s="38">
        <v>15000</v>
      </c>
      <c r="L16" s="38">
        <v>13000</v>
      </c>
      <c r="M16" s="38">
        <v>6000</v>
      </c>
      <c r="N16" s="15">
        <v>0.55000000000000004</v>
      </c>
      <c r="O16" s="28">
        <f t="shared" si="1"/>
        <v>7150.0000000000009</v>
      </c>
      <c r="P16" s="29">
        <f>L16*$O$20*(1-N16)</f>
        <v>5307.946109430849</v>
      </c>
    </row>
    <row r="17" spans="10:29" x14ac:dyDescent="0.2">
      <c r="J17" s="15">
        <v>2007</v>
      </c>
      <c r="K17" s="38">
        <v>17000</v>
      </c>
      <c r="L17" s="38">
        <v>15000</v>
      </c>
      <c r="M17" s="38">
        <v>4000</v>
      </c>
      <c r="N17" s="15">
        <v>0.3</v>
      </c>
      <c r="O17" s="28">
        <f t="shared" si="1"/>
        <v>4500</v>
      </c>
      <c r="P17" s="29">
        <f>L17*$O$20*(1-N17)</f>
        <v>9527.0827605169088</v>
      </c>
    </row>
    <row r="18" spans="10:29" x14ac:dyDescent="0.2">
      <c r="O18" s="12" t="s">
        <v>99</v>
      </c>
      <c r="P18" s="25">
        <f>SUM(P13:P17)</f>
        <v>18718.449271377507</v>
      </c>
      <c r="Q18" s="7" t="s">
        <v>205</v>
      </c>
    </row>
    <row r="20" spans="10:29" x14ac:dyDescent="0.2">
      <c r="N20" s="40" t="s">
        <v>195</v>
      </c>
      <c r="O20" s="92">
        <f>SUM(M13:M17)/SUM(O13:O17)</f>
        <v>0.9073412152873247</v>
      </c>
    </row>
    <row r="21" spans="10:29" x14ac:dyDescent="0.2">
      <c r="O21" s="7" t="s">
        <v>206</v>
      </c>
    </row>
    <row r="30" spans="10:29" x14ac:dyDescent="0.2">
      <c r="AA30" s="7" t="s">
        <v>216</v>
      </c>
      <c r="AB30" s="7" t="s">
        <v>217</v>
      </c>
      <c r="AC30" s="7" t="s">
        <v>218</v>
      </c>
    </row>
    <row r="31" spans="10:29" x14ac:dyDescent="0.2">
      <c r="V31" s="2" t="s">
        <v>3</v>
      </c>
      <c r="W31" s="2" t="s">
        <v>207</v>
      </c>
      <c r="X31" s="2" t="s">
        <v>208</v>
      </c>
      <c r="Y31" s="2" t="s">
        <v>209</v>
      </c>
      <c r="Z31" s="2" t="s">
        <v>210</v>
      </c>
      <c r="AA31" s="2" t="s">
        <v>211</v>
      </c>
      <c r="AB31" s="2" t="s">
        <v>212</v>
      </c>
      <c r="AC31" s="2" t="s">
        <v>213</v>
      </c>
    </row>
    <row r="32" spans="10:29" x14ac:dyDescent="0.2">
      <c r="V32" s="15">
        <v>1998</v>
      </c>
      <c r="W32" s="33">
        <v>4500</v>
      </c>
      <c r="X32" s="33">
        <v>6200</v>
      </c>
      <c r="Y32" s="33">
        <v>3200</v>
      </c>
      <c r="Z32" s="71">
        <v>1</v>
      </c>
      <c r="AA32" s="28">
        <f>Y32*Z32</f>
        <v>3200</v>
      </c>
      <c r="AB32" s="96">
        <f>1/Z32</f>
        <v>1</v>
      </c>
      <c r="AC32" s="29">
        <f t="shared" ref="AC32:AC37" si="2">X32*$AA$40*(1-AB32)</f>
        <v>0</v>
      </c>
    </row>
    <row r="33" spans="22:29" x14ac:dyDescent="0.2">
      <c r="V33" s="15">
        <v>1999</v>
      </c>
      <c r="W33" s="33">
        <v>5000</v>
      </c>
      <c r="X33" s="33">
        <v>6500</v>
      </c>
      <c r="Y33" s="33">
        <v>3400</v>
      </c>
      <c r="Z33" s="71">
        <v>1.0529999999999999</v>
      </c>
      <c r="AA33" s="28">
        <f t="shared" ref="AA33:AA37" si="3">Y33*Z33</f>
        <v>3580.2</v>
      </c>
      <c r="AB33" s="96">
        <f t="shared" ref="AB33:AB37" si="4">1/Z33</f>
        <v>0.94966761633428309</v>
      </c>
      <c r="AC33" s="29">
        <f t="shared" si="2"/>
        <v>181.88516426949184</v>
      </c>
    </row>
    <row r="34" spans="22:29" x14ac:dyDescent="0.2">
      <c r="V34" s="15">
        <v>2000</v>
      </c>
      <c r="W34" s="33">
        <v>5500</v>
      </c>
      <c r="X34" s="33">
        <v>7500</v>
      </c>
      <c r="Y34" s="33">
        <v>3500</v>
      </c>
      <c r="Z34" s="71">
        <v>1.1759999999999999</v>
      </c>
      <c r="AA34" s="28">
        <f t="shared" si="3"/>
        <v>4116</v>
      </c>
      <c r="AB34" s="96">
        <f t="shared" si="4"/>
        <v>0.85034013605442182</v>
      </c>
      <c r="AC34" s="29">
        <f t="shared" si="2"/>
        <v>624.02649735894295</v>
      </c>
    </row>
    <row r="35" spans="22:29" x14ac:dyDescent="0.2">
      <c r="V35" s="15">
        <v>2001</v>
      </c>
      <c r="W35" s="33">
        <v>6000</v>
      </c>
      <c r="X35" s="33">
        <v>7800</v>
      </c>
      <c r="Y35" s="33">
        <v>2800</v>
      </c>
      <c r="Z35" s="71">
        <v>1.429</v>
      </c>
      <c r="AA35" s="28">
        <f t="shared" si="3"/>
        <v>4001.2000000000003</v>
      </c>
      <c r="AB35" s="96">
        <f t="shared" si="4"/>
        <v>0.69979006298110569</v>
      </c>
      <c r="AC35" s="29">
        <f t="shared" si="2"/>
        <v>1301.8354323768979</v>
      </c>
    </row>
    <row r="36" spans="22:29" x14ac:dyDescent="0.2">
      <c r="V36" s="15">
        <v>2002</v>
      </c>
      <c r="W36" s="33">
        <v>6500</v>
      </c>
      <c r="X36" s="33">
        <v>7800</v>
      </c>
      <c r="Y36" s="33">
        <v>2100</v>
      </c>
      <c r="Z36" s="71">
        <v>2</v>
      </c>
      <c r="AA36" s="28">
        <f t="shared" si="3"/>
        <v>4200</v>
      </c>
      <c r="AB36" s="96">
        <f t="shared" si="4"/>
        <v>0.5</v>
      </c>
      <c r="AC36" s="25">
        <f t="shared" si="2"/>
        <v>2168.2084299144371</v>
      </c>
    </row>
    <row r="37" spans="22:29" x14ac:dyDescent="0.2">
      <c r="V37" s="26">
        <v>2003</v>
      </c>
      <c r="W37" s="93">
        <v>7000</v>
      </c>
      <c r="X37" s="93">
        <v>7000</v>
      </c>
      <c r="Y37" s="93">
        <v>1600</v>
      </c>
      <c r="Z37" s="94">
        <v>4</v>
      </c>
      <c r="AA37" s="30">
        <f t="shared" si="3"/>
        <v>6400</v>
      </c>
      <c r="AB37" s="97">
        <f t="shared" si="4"/>
        <v>0.25</v>
      </c>
      <c r="AC37" s="31">
        <f t="shared" si="2"/>
        <v>2918.7421171925112</v>
      </c>
    </row>
    <row r="38" spans="22:29" x14ac:dyDescent="0.2">
      <c r="V38" s="2" t="s">
        <v>0</v>
      </c>
      <c r="W38" s="28">
        <f>SUM(W32:W37)</f>
        <v>34500</v>
      </c>
      <c r="X38" s="28">
        <f t="shared" ref="X38:Y38" si="5">SUM(X32:X37)</f>
        <v>42800</v>
      </c>
      <c r="Y38" s="28">
        <f t="shared" si="5"/>
        <v>16600</v>
      </c>
    </row>
    <row r="39" spans="22:29" x14ac:dyDescent="0.2">
      <c r="AA39" s="7" t="s">
        <v>215</v>
      </c>
    </row>
    <row r="40" spans="22:29" x14ac:dyDescent="0.2">
      <c r="Z40" s="12" t="s">
        <v>195</v>
      </c>
      <c r="AA40" s="95">
        <f>SUM(Y32:Y37)/SUMPRODUCT(X32:X37,AB32:AB37)</f>
        <v>0.55595087946524024</v>
      </c>
    </row>
    <row r="41" spans="22:29" x14ac:dyDescent="0.2">
      <c r="AC41" s="7" t="s">
        <v>219</v>
      </c>
    </row>
    <row r="42" spans="22:29" x14ac:dyDescent="0.2">
      <c r="AB42" s="12" t="s">
        <v>214</v>
      </c>
      <c r="AC42" s="37">
        <f>(Y36+AC36)/W36</f>
        <v>0.65664745075606723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7F1E-756D-DD4B-AD55-544D89917AE5}">
  <dimension ref="B2:O31"/>
  <sheetViews>
    <sheetView workbookViewId="0">
      <selection activeCell="R36" sqref="R36"/>
    </sheetView>
  </sheetViews>
  <sheetFormatPr baseColWidth="10" defaultRowHeight="16" x14ac:dyDescent="0.2"/>
  <cols>
    <col min="2" max="2" width="17.1640625" customWidth="1"/>
    <col min="3" max="10" width="14.5" customWidth="1"/>
    <col min="12" max="15" width="14.5" customWidth="1"/>
  </cols>
  <sheetData>
    <row r="2" spans="2:15" x14ac:dyDescent="0.2">
      <c r="B2" s="118" t="s">
        <v>3</v>
      </c>
      <c r="C2" s="119" t="s">
        <v>220</v>
      </c>
      <c r="D2" s="119"/>
      <c r="E2" s="119"/>
      <c r="F2" s="47"/>
      <c r="G2" s="118" t="s">
        <v>3</v>
      </c>
      <c r="H2" s="119" t="s">
        <v>84</v>
      </c>
      <c r="I2" s="119"/>
      <c r="J2" s="119"/>
      <c r="L2" s="118" t="s">
        <v>3</v>
      </c>
      <c r="M2" s="119" t="s">
        <v>226</v>
      </c>
      <c r="N2" s="119"/>
      <c r="O2" s="119"/>
    </row>
    <row r="3" spans="2:15" x14ac:dyDescent="0.2">
      <c r="B3" s="118"/>
      <c r="C3" s="2" t="s">
        <v>4</v>
      </c>
      <c r="D3" s="2" t="s">
        <v>5</v>
      </c>
      <c r="E3" s="2" t="s">
        <v>6</v>
      </c>
      <c r="F3" s="2"/>
      <c r="G3" s="118"/>
      <c r="H3" s="2" t="s">
        <v>4</v>
      </c>
      <c r="I3" s="2" t="s">
        <v>5</v>
      </c>
      <c r="J3" s="2" t="s">
        <v>6</v>
      </c>
      <c r="L3" s="118"/>
      <c r="M3" s="2" t="s">
        <v>4</v>
      </c>
      <c r="N3" s="2" t="s">
        <v>5</v>
      </c>
      <c r="O3" s="2" t="s">
        <v>6</v>
      </c>
    </row>
    <row r="4" spans="2:15" x14ac:dyDescent="0.2">
      <c r="B4" s="15">
        <v>2009</v>
      </c>
      <c r="C4" s="15">
        <v>210</v>
      </c>
      <c r="D4" s="15">
        <v>312</v>
      </c>
      <c r="E4" s="15">
        <v>320</v>
      </c>
      <c r="F4" s="15"/>
      <c r="G4" s="15">
        <v>2009</v>
      </c>
      <c r="H4" s="33">
        <v>1175</v>
      </c>
      <c r="I4" s="33">
        <v>2100</v>
      </c>
      <c r="J4" s="33">
        <v>2375</v>
      </c>
      <c r="L4" s="15">
        <v>2009</v>
      </c>
      <c r="M4" s="68">
        <f>H4/C4</f>
        <v>5.5952380952380949</v>
      </c>
      <c r="N4" s="68">
        <f t="shared" ref="N4:O4" si="0">I4/D4</f>
        <v>6.7307692307692308</v>
      </c>
      <c r="O4" s="68">
        <f t="shared" si="0"/>
        <v>7.421875</v>
      </c>
    </row>
    <row r="5" spans="2:15" x14ac:dyDescent="0.2">
      <c r="B5" s="15">
        <v>2010</v>
      </c>
      <c r="C5" s="15">
        <v>221</v>
      </c>
      <c r="D5" s="15">
        <v>340</v>
      </c>
      <c r="E5" s="15"/>
      <c r="F5" s="15"/>
      <c r="G5" s="15">
        <v>2010</v>
      </c>
      <c r="H5" s="33">
        <v>1210</v>
      </c>
      <c r="I5" s="33">
        <v>2305</v>
      </c>
      <c r="J5" s="33"/>
      <c r="L5" s="15">
        <v>2010</v>
      </c>
      <c r="M5" s="68">
        <f t="shared" ref="M5:M6" si="1">H5/C5</f>
        <v>5.4751131221719458</v>
      </c>
      <c r="N5" s="68">
        <f t="shared" ref="N5" si="2">I5/D5</f>
        <v>6.7794117647058822</v>
      </c>
      <c r="O5" s="68"/>
    </row>
    <row r="6" spans="2:15" x14ac:dyDescent="0.2">
      <c r="B6" s="15">
        <v>2011</v>
      </c>
      <c r="C6" s="15">
        <v>212</v>
      </c>
      <c r="D6" s="15"/>
      <c r="E6" s="15"/>
      <c r="F6" s="15"/>
      <c r="G6" s="15">
        <v>2011</v>
      </c>
      <c r="H6" s="33">
        <v>1215</v>
      </c>
      <c r="I6" s="33"/>
      <c r="J6" s="38"/>
      <c r="L6" s="15">
        <v>2011</v>
      </c>
      <c r="M6" s="68">
        <f t="shared" si="1"/>
        <v>5.7311320754716979</v>
      </c>
      <c r="N6" s="68"/>
      <c r="O6" s="68"/>
    </row>
    <row r="8" spans="2:15" x14ac:dyDescent="0.2">
      <c r="C8" s="7" t="s">
        <v>30</v>
      </c>
    </row>
    <row r="9" spans="2:15" x14ac:dyDescent="0.2">
      <c r="B9" s="118" t="s">
        <v>3</v>
      </c>
      <c r="C9" s="119" t="s">
        <v>221</v>
      </c>
      <c r="D9" s="119"/>
      <c r="E9" s="2"/>
      <c r="F9" s="2"/>
      <c r="G9" s="2"/>
      <c r="H9" s="2"/>
      <c r="I9" s="2"/>
      <c r="J9" s="2"/>
      <c r="L9" s="118" t="s">
        <v>3</v>
      </c>
      <c r="M9" s="119" t="s">
        <v>224</v>
      </c>
      <c r="N9" s="119"/>
    </row>
    <row r="10" spans="2:15" x14ac:dyDescent="0.2">
      <c r="B10" s="118"/>
      <c r="C10" s="79" t="s">
        <v>9</v>
      </c>
      <c r="D10" s="79" t="s">
        <v>10</v>
      </c>
      <c r="E10" s="2" t="s">
        <v>17</v>
      </c>
      <c r="F10" s="2"/>
      <c r="G10" s="2"/>
      <c r="H10" s="2"/>
      <c r="I10" s="2"/>
      <c r="J10" s="2"/>
      <c r="L10" s="118"/>
      <c r="M10" s="79" t="s">
        <v>9</v>
      </c>
      <c r="N10" s="79" t="s">
        <v>10</v>
      </c>
      <c r="O10" s="2" t="s">
        <v>17</v>
      </c>
    </row>
    <row r="11" spans="2:15" x14ac:dyDescent="0.2">
      <c r="B11" s="15">
        <v>2009</v>
      </c>
      <c r="C11" s="8">
        <f>D4/C4</f>
        <v>1.4857142857142858</v>
      </c>
      <c r="D11" s="8">
        <f>E4/D4</f>
        <v>1.0256410256410255</v>
      </c>
      <c r="E11" s="71">
        <v>1</v>
      </c>
      <c r="F11" s="71"/>
      <c r="G11" s="71"/>
      <c r="H11" s="71"/>
      <c r="I11" s="71"/>
      <c r="J11" s="71"/>
      <c r="L11" s="15">
        <v>2009</v>
      </c>
      <c r="M11" s="8">
        <f>N4/M4</f>
        <v>1.2029459901800328</v>
      </c>
      <c r="N11" s="8">
        <f>O4/N4</f>
        <v>1.1026785714285714</v>
      </c>
      <c r="O11" s="71">
        <v>1</v>
      </c>
    </row>
    <row r="12" spans="2:15" x14ac:dyDescent="0.2">
      <c r="B12" s="15">
        <v>2010</v>
      </c>
      <c r="C12" s="8">
        <f t="shared" ref="C12" si="3">D5/C5</f>
        <v>1.5384615384615385</v>
      </c>
      <c r="D12" s="8"/>
      <c r="E12" s="15"/>
      <c r="F12" s="15"/>
      <c r="G12" s="15"/>
      <c r="H12" s="15"/>
      <c r="I12" s="15"/>
      <c r="J12" s="15"/>
      <c r="L12" s="15">
        <v>2010</v>
      </c>
      <c r="M12" s="8">
        <f t="shared" ref="M12" si="4">N5/M5</f>
        <v>1.2382231404958677</v>
      </c>
      <c r="N12" s="8"/>
    </row>
    <row r="13" spans="2:15" x14ac:dyDescent="0.2">
      <c r="B13" s="15">
        <v>2011</v>
      </c>
      <c r="C13" s="71"/>
      <c r="D13" s="71"/>
      <c r="E13" s="15"/>
      <c r="F13" s="15"/>
      <c r="G13" s="15"/>
      <c r="H13" s="15"/>
      <c r="I13" s="15"/>
      <c r="J13" s="15"/>
    </row>
    <row r="14" spans="2:15" x14ac:dyDescent="0.2">
      <c r="B14" s="15"/>
      <c r="C14" s="71"/>
      <c r="D14" s="71"/>
      <c r="E14" s="15"/>
      <c r="F14" s="15"/>
      <c r="G14" s="15"/>
      <c r="H14" s="15"/>
      <c r="I14" s="15"/>
      <c r="J14" s="15"/>
    </row>
    <row r="15" spans="2:15" x14ac:dyDescent="0.2">
      <c r="B15" s="7" t="s">
        <v>227</v>
      </c>
      <c r="C15" s="7" t="s">
        <v>228</v>
      </c>
    </row>
    <row r="16" spans="2:15" x14ac:dyDescent="0.2">
      <c r="B16" s="2" t="s">
        <v>14</v>
      </c>
      <c r="C16" s="2" t="s">
        <v>13</v>
      </c>
      <c r="L16" s="2" t="s">
        <v>14</v>
      </c>
      <c r="M16" s="2" t="s">
        <v>13</v>
      </c>
    </row>
    <row r="17" spans="2:13" x14ac:dyDescent="0.2">
      <c r="B17" s="5" t="str">
        <f>C10</f>
        <v>12-24</v>
      </c>
      <c r="C17" s="9">
        <f>AVERAGE(_xlfn.XLOOKUP(B17,$C$10:$E$10,$C$11:$E$13))</f>
        <v>1.512087912087912</v>
      </c>
      <c r="L17" s="5" t="str">
        <f>M10</f>
        <v>12-24</v>
      </c>
      <c r="M17" s="9">
        <f>AVERAGE(_xlfn.XLOOKUP(L17,$M$10:$O$10,$M$11:$O$13))</f>
        <v>1.2205845653379503</v>
      </c>
    </row>
    <row r="18" spans="2:13" x14ac:dyDescent="0.2">
      <c r="B18" s="5" t="str">
        <f>D10</f>
        <v>24-36</v>
      </c>
      <c r="C18" s="9">
        <f>AVERAGE(_xlfn.XLOOKUP(B18,$C$10:$E$10,$C$11:$E$13))</f>
        <v>1.0256410256410255</v>
      </c>
      <c r="L18" s="5" t="str">
        <f>N10</f>
        <v>24-36</v>
      </c>
      <c r="M18" s="9">
        <f t="shared" ref="M18:M19" si="5">AVERAGE(_xlfn.XLOOKUP(L18,$M$10:$O$10,$M$11:$O$13))</f>
        <v>1.1026785714285714</v>
      </c>
    </row>
    <row r="19" spans="2:13" x14ac:dyDescent="0.2">
      <c r="B19" s="5" t="str">
        <f>E10</f>
        <v>36-Ult</v>
      </c>
      <c r="C19" s="9">
        <f>AVERAGE(_xlfn.XLOOKUP(B19,$C$10:$E$10,$C$11:$E$13))</f>
        <v>1</v>
      </c>
      <c r="L19" s="5" t="str">
        <f>O10</f>
        <v>36-Ult</v>
      </c>
      <c r="M19" s="9">
        <f t="shared" si="5"/>
        <v>1</v>
      </c>
    </row>
    <row r="20" spans="2:13" x14ac:dyDescent="0.2">
      <c r="B20" s="5"/>
      <c r="C20" s="9"/>
      <c r="L20" s="5"/>
      <c r="M20" s="9"/>
    </row>
    <row r="21" spans="2:13" x14ac:dyDescent="0.2">
      <c r="B21" s="7" t="s">
        <v>229</v>
      </c>
      <c r="C21" s="7" t="s">
        <v>230</v>
      </c>
    </row>
    <row r="22" spans="2:13" x14ac:dyDescent="0.2">
      <c r="B22" s="2" t="s">
        <v>21</v>
      </c>
      <c r="C22" s="2" t="s">
        <v>25</v>
      </c>
      <c r="L22" s="2" t="s">
        <v>21</v>
      </c>
      <c r="M22" s="2" t="s">
        <v>25</v>
      </c>
    </row>
    <row r="23" spans="2:13" x14ac:dyDescent="0.2">
      <c r="B23" s="5" t="str">
        <f>LEFT(B17,2)&amp;"-ult"</f>
        <v>12-ult</v>
      </c>
      <c r="C23" s="9">
        <f>PRODUCT(C17:$C$19)</f>
        <v>1.5508593970132429</v>
      </c>
      <c r="L23" s="5" t="str">
        <f>LEFT(L17,2)&amp;"-ult"</f>
        <v>12-ult</v>
      </c>
      <c r="M23" s="9">
        <f>PRODUCT(M17:M$19)</f>
        <v>1.3459124448146149</v>
      </c>
    </row>
    <row r="24" spans="2:13" x14ac:dyDescent="0.2">
      <c r="B24" s="5" t="str">
        <f>LEFT(B18,2)&amp;"-ult"</f>
        <v>24-ult</v>
      </c>
      <c r="C24" s="9">
        <f>PRODUCT(C18:$C$19)</f>
        <v>1.0256410256410255</v>
      </c>
      <c r="L24" s="5" t="str">
        <f>LEFT(L18,2)&amp;"-ult"</f>
        <v>24-ult</v>
      </c>
      <c r="M24" s="9">
        <f>PRODUCT(M18:M$19)</f>
        <v>1.1026785714285714</v>
      </c>
    </row>
    <row r="25" spans="2:13" x14ac:dyDescent="0.2">
      <c r="B25" s="5" t="str">
        <f>LEFT(B19,2)&amp;"-ult"</f>
        <v>36-ult</v>
      </c>
      <c r="C25" s="9">
        <f>PRODUCT(C19:$C$19)</f>
        <v>1</v>
      </c>
      <c r="L25" s="5" t="str">
        <f>LEFT(L19,2)&amp;"-ult"</f>
        <v>36-ult</v>
      </c>
      <c r="M25" s="9">
        <f>PRODUCT(M19:M$19)</f>
        <v>1</v>
      </c>
    </row>
    <row r="26" spans="2:13" x14ac:dyDescent="0.2">
      <c r="B26" s="5"/>
      <c r="C26" s="9"/>
      <c r="L26" s="5"/>
      <c r="M26" s="9"/>
    </row>
    <row r="27" spans="2:13" x14ac:dyDescent="0.2">
      <c r="C27" s="7" t="s">
        <v>231</v>
      </c>
    </row>
    <row r="28" spans="2:13" x14ac:dyDescent="0.2">
      <c r="B28" s="12" t="s">
        <v>222</v>
      </c>
      <c r="C28" s="99">
        <f>C6*C23</f>
        <v>328.78219216680748</v>
      </c>
      <c r="L28" s="12" t="s">
        <v>223</v>
      </c>
      <c r="M28" s="100">
        <f>M6*M23</f>
        <v>7.7136019832535707</v>
      </c>
    </row>
    <row r="30" spans="2:13" x14ac:dyDescent="0.2">
      <c r="H30" s="7" t="s">
        <v>232</v>
      </c>
    </row>
    <row r="31" spans="2:13" x14ac:dyDescent="0.2">
      <c r="G31" s="12" t="s">
        <v>225</v>
      </c>
      <c r="H31" s="98">
        <f>C28*M28*1000</f>
        <v>2536094.9695563428</v>
      </c>
    </row>
  </sheetData>
  <mergeCells count="10">
    <mergeCell ref="B9:B10"/>
    <mergeCell ref="C9:D9"/>
    <mergeCell ref="L9:L10"/>
    <mergeCell ref="M9:N9"/>
    <mergeCell ref="G2:G3"/>
    <mergeCell ref="H2:J2"/>
    <mergeCell ref="B2:B3"/>
    <mergeCell ref="C2:E2"/>
    <mergeCell ref="L2:L3"/>
    <mergeCell ref="M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18DE-2215-4547-B4DE-192E66E41D9C}">
  <dimension ref="B2:M16"/>
  <sheetViews>
    <sheetView topLeftCell="E1" workbookViewId="0">
      <selection activeCell="K19" sqref="K19"/>
    </sheetView>
  </sheetViews>
  <sheetFormatPr baseColWidth="10" defaultRowHeight="16" x14ac:dyDescent="0.2"/>
  <cols>
    <col min="2" max="2" width="12.5" bestFit="1" customWidth="1"/>
    <col min="3" max="3" width="20.5" bestFit="1" customWidth="1"/>
    <col min="4" max="4" width="10.1640625" bestFit="1" customWidth="1"/>
    <col min="5" max="5" width="21" bestFit="1" customWidth="1"/>
    <col min="6" max="6" width="11.6640625" bestFit="1" customWidth="1"/>
    <col min="7" max="7" width="15.5" bestFit="1" customWidth="1"/>
    <col min="8" max="8" width="19.5" bestFit="1" customWidth="1"/>
    <col min="9" max="9" width="26.33203125" bestFit="1" customWidth="1"/>
    <col min="10" max="11" width="26.33203125" customWidth="1"/>
    <col min="12" max="12" width="20.33203125" bestFit="1" customWidth="1"/>
    <col min="13" max="13" width="22.1640625" bestFit="1" customWidth="1"/>
  </cols>
  <sheetData>
    <row r="2" spans="2:13" x14ac:dyDescent="0.2">
      <c r="H2" s="7" t="s">
        <v>251</v>
      </c>
      <c r="I2" s="7" t="s">
        <v>252</v>
      </c>
      <c r="J2" s="7" t="s">
        <v>253</v>
      </c>
      <c r="K2" s="7" t="s">
        <v>254</v>
      </c>
      <c r="L2" s="7" t="s">
        <v>255</v>
      </c>
      <c r="M2" s="7" t="s">
        <v>256</v>
      </c>
    </row>
    <row r="3" spans="2:13" x14ac:dyDescent="0.2">
      <c r="B3" s="2" t="s">
        <v>3</v>
      </c>
      <c r="C3" s="2" t="s">
        <v>31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240</v>
      </c>
      <c r="I3" s="2" t="s">
        <v>241</v>
      </c>
      <c r="J3" s="2" t="s">
        <v>244</v>
      </c>
      <c r="K3" s="2" t="s">
        <v>245</v>
      </c>
      <c r="L3" s="2" t="s">
        <v>242</v>
      </c>
      <c r="M3" s="2" t="s">
        <v>243</v>
      </c>
    </row>
    <row r="4" spans="2:13" x14ac:dyDescent="0.2">
      <c r="B4" s="15">
        <v>2020</v>
      </c>
      <c r="C4" s="15">
        <v>300</v>
      </c>
      <c r="D4" s="15">
        <v>1</v>
      </c>
      <c r="E4" s="16">
        <v>5500</v>
      </c>
      <c r="F4" s="15">
        <v>1</v>
      </c>
      <c r="G4" s="22">
        <v>2000</v>
      </c>
      <c r="H4" s="5">
        <f>C4*D4</f>
        <v>300</v>
      </c>
      <c r="I4" s="10">
        <f>H4*(1+$C$11)^($B$7-B4)</f>
        <v>309.09029999999996</v>
      </c>
      <c r="J4" s="4">
        <f>G4*(1+$C$12)^($B$7-B4)</f>
        <v>2519.4240000000004</v>
      </c>
      <c r="K4" s="9">
        <f>I4/J4</f>
        <v>0.12268292276329824</v>
      </c>
      <c r="L4" s="28">
        <f>E4*F4</f>
        <v>5500</v>
      </c>
      <c r="M4" s="18">
        <f>L4*(1+$C$10)^($B$7-B4)</f>
        <v>6366.9375000000009</v>
      </c>
    </row>
    <row r="5" spans="2:13" x14ac:dyDescent="0.2">
      <c r="B5" s="15">
        <v>2021</v>
      </c>
      <c r="C5" s="15">
        <v>285</v>
      </c>
      <c r="D5" s="15">
        <v>1.2</v>
      </c>
      <c r="E5" s="16">
        <v>5200</v>
      </c>
      <c r="F5" s="15">
        <v>1.1000000000000001</v>
      </c>
      <c r="G5" s="22">
        <v>2500</v>
      </c>
      <c r="H5" s="5">
        <f t="shared" ref="H5" si="0">C5*D5</f>
        <v>342</v>
      </c>
      <c r="I5" s="10">
        <f t="shared" ref="I5:I6" si="1">H5*(1+$C$11)^($B$7-B5)</f>
        <v>348.87420000000003</v>
      </c>
      <c r="J5" s="4">
        <f>G5*(1+$C$12)^($B$7-B5)</f>
        <v>2916.0000000000005</v>
      </c>
      <c r="K5" s="9">
        <f>I5/J5</f>
        <v>0.11964135802469135</v>
      </c>
      <c r="L5" s="28">
        <f t="shared" ref="L5:L6" si="2">E5*F5</f>
        <v>5720.0000000000009</v>
      </c>
      <c r="M5" s="18">
        <f t="shared" ref="M5:M6" si="3">L5*(1+$C$10)^($B$7-B5)</f>
        <v>6306.3000000000011</v>
      </c>
    </row>
    <row r="6" spans="2:13" x14ac:dyDescent="0.2">
      <c r="B6" s="15">
        <v>2022</v>
      </c>
      <c r="C6" s="15">
        <v>208</v>
      </c>
      <c r="D6" s="15">
        <v>1.6</v>
      </c>
      <c r="E6" s="16">
        <v>4800</v>
      </c>
      <c r="F6" s="15">
        <v>1.3</v>
      </c>
      <c r="G6" s="22">
        <v>2700</v>
      </c>
      <c r="H6" s="5">
        <f>C6*D6</f>
        <v>332.8</v>
      </c>
      <c r="I6" s="10">
        <f t="shared" si="1"/>
        <v>336.12800000000004</v>
      </c>
      <c r="J6" s="4">
        <f>G6*(1+$C$12)^($B$7-B6)</f>
        <v>2916</v>
      </c>
      <c r="K6" s="9">
        <f>I6/J6</f>
        <v>0.11527023319615913</v>
      </c>
      <c r="L6" s="28">
        <f t="shared" si="2"/>
        <v>6240</v>
      </c>
      <c r="M6" s="18">
        <f t="shared" si="3"/>
        <v>6552</v>
      </c>
    </row>
    <row r="7" spans="2:13" x14ac:dyDescent="0.2">
      <c r="B7" s="15">
        <v>2023</v>
      </c>
      <c r="C7" s="15">
        <v>120</v>
      </c>
      <c r="D7" s="15">
        <v>2.8</v>
      </c>
      <c r="E7" s="16">
        <v>1500</v>
      </c>
      <c r="F7" s="15">
        <v>6</v>
      </c>
      <c r="G7" s="22">
        <v>2950</v>
      </c>
      <c r="H7" s="5"/>
    </row>
    <row r="8" spans="2:13" x14ac:dyDescent="0.2">
      <c r="K8" t="s">
        <v>246</v>
      </c>
      <c r="M8" t="s">
        <v>247</v>
      </c>
    </row>
    <row r="9" spans="2:13" x14ac:dyDescent="0.2">
      <c r="K9" s="9">
        <f>AVERAGE(K4:K6)</f>
        <v>0.11919817132804957</v>
      </c>
      <c r="M9" s="9">
        <f>AVERAGE(M4:M6)</f>
        <v>6408.4125000000013</v>
      </c>
    </row>
    <row r="10" spans="2:13" x14ac:dyDescent="0.2">
      <c r="B10" s="12" t="s">
        <v>237</v>
      </c>
      <c r="C10" s="49">
        <v>0.05</v>
      </c>
      <c r="K10" s="7" t="s">
        <v>257</v>
      </c>
      <c r="M10" s="7" t="s">
        <v>258</v>
      </c>
    </row>
    <row r="11" spans="2:13" x14ac:dyDescent="0.2">
      <c r="B11" s="12" t="s">
        <v>238</v>
      </c>
      <c r="C11" s="49">
        <v>0.01</v>
      </c>
      <c r="M11" s="19"/>
    </row>
    <row r="12" spans="2:13" x14ac:dyDescent="0.2">
      <c r="B12" s="12" t="s">
        <v>239</v>
      </c>
      <c r="C12" s="49">
        <v>0.08</v>
      </c>
      <c r="K12" s="12" t="s">
        <v>248</v>
      </c>
      <c r="L12" s="101">
        <f>G7*K9*M9</f>
        <v>2253419.6007916532</v>
      </c>
      <c r="M12" s="7" t="s">
        <v>259</v>
      </c>
    </row>
    <row r="13" spans="2:13" x14ac:dyDescent="0.2">
      <c r="K13" s="12"/>
      <c r="L13" s="46"/>
      <c r="M13" s="19"/>
    </row>
    <row r="14" spans="2:13" x14ac:dyDescent="0.2">
      <c r="K14" s="12" t="s">
        <v>250</v>
      </c>
      <c r="L14" s="102">
        <f>C7*E7</f>
        <v>180000</v>
      </c>
      <c r="M14" s="7" t="s">
        <v>260</v>
      </c>
    </row>
    <row r="15" spans="2:13" x14ac:dyDescent="0.2">
      <c r="K15" s="12"/>
      <c r="L15" s="46"/>
      <c r="M15" s="19"/>
    </row>
    <row r="16" spans="2:13" x14ac:dyDescent="0.2">
      <c r="K16" s="12" t="s">
        <v>249</v>
      </c>
      <c r="L16" s="50">
        <f>L12-L14</f>
        <v>2073419.6007916532</v>
      </c>
      <c r="M16" s="7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2BE-E703-4848-9089-CEA264A18239}">
  <dimension ref="B2:T30"/>
  <sheetViews>
    <sheetView zoomScale="92" workbookViewId="0">
      <selection activeCell="V36" sqref="V36"/>
    </sheetView>
  </sheetViews>
  <sheetFormatPr baseColWidth="10" defaultRowHeight="16" x14ac:dyDescent="0.2"/>
  <cols>
    <col min="9" max="9" width="18.83203125" bestFit="1" customWidth="1"/>
    <col min="10" max="10" width="11" bestFit="1" customWidth="1"/>
    <col min="11" max="13" width="12.1640625" bestFit="1" customWidth="1"/>
    <col min="16" max="16" width="23.83203125" bestFit="1" customWidth="1"/>
    <col min="17" max="17" width="10.83203125" customWidth="1"/>
    <col min="20" max="20" width="13" bestFit="1" customWidth="1"/>
  </cols>
  <sheetData>
    <row r="2" spans="2:20" x14ac:dyDescent="0.2">
      <c r="B2" s="119" t="s">
        <v>263</v>
      </c>
      <c r="C2" s="119"/>
      <c r="D2" s="119"/>
      <c r="E2" s="119"/>
      <c r="F2" s="119"/>
      <c r="I2" s="119" t="s">
        <v>268</v>
      </c>
      <c r="J2" s="119"/>
      <c r="K2" s="119"/>
      <c r="L2" s="119"/>
      <c r="M2" s="119"/>
      <c r="P2" s="119" t="s">
        <v>272</v>
      </c>
      <c r="Q2" s="119"/>
      <c r="R2" s="119"/>
      <c r="S2" s="119"/>
      <c r="T2" s="119"/>
    </row>
    <row r="3" spans="2:20" x14ac:dyDescent="0.2">
      <c r="B3" s="121" t="s">
        <v>3</v>
      </c>
      <c r="C3" s="119" t="s">
        <v>262</v>
      </c>
      <c r="D3" s="119"/>
      <c r="E3" s="119"/>
      <c r="F3" s="119"/>
      <c r="I3" s="121" t="s">
        <v>3</v>
      </c>
      <c r="J3" s="119" t="s">
        <v>262</v>
      </c>
      <c r="K3" s="119"/>
      <c r="L3" s="119"/>
      <c r="M3" s="119"/>
      <c r="P3" s="121" t="s">
        <v>3</v>
      </c>
      <c r="Q3" s="119" t="s">
        <v>262</v>
      </c>
      <c r="R3" s="119"/>
      <c r="S3" s="119"/>
      <c r="T3" s="119"/>
    </row>
    <row r="4" spans="2:20" x14ac:dyDescent="0.2">
      <c r="B4" s="121"/>
      <c r="C4" s="2">
        <v>12</v>
      </c>
      <c r="D4" s="2">
        <v>24</v>
      </c>
      <c r="E4" s="2">
        <v>36</v>
      </c>
      <c r="F4" s="2">
        <v>48</v>
      </c>
      <c r="I4" s="121"/>
      <c r="J4" s="2">
        <v>12</v>
      </c>
      <c r="K4" s="2">
        <v>24</v>
      </c>
      <c r="L4" s="2">
        <v>36</v>
      </c>
      <c r="M4" s="2">
        <v>48</v>
      </c>
      <c r="P4" s="121"/>
      <c r="Q4" s="2">
        <v>12</v>
      </c>
      <c r="R4" s="2">
        <v>24</v>
      </c>
      <c r="S4" s="2">
        <v>36</v>
      </c>
      <c r="T4" s="2">
        <v>48</v>
      </c>
    </row>
    <row r="5" spans="2:20" x14ac:dyDescent="0.2">
      <c r="B5" s="15">
        <v>2004</v>
      </c>
      <c r="C5" s="15">
        <v>400</v>
      </c>
      <c r="D5" s="15">
        <v>300</v>
      </c>
      <c r="E5" s="15">
        <v>180</v>
      </c>
      <c r="F5" s="15">
        <v>75</v>
      </c>
      <c r="I5" s="15">
        <v>2004</v>
      </c>
      <c r="J5" s="103">
        <f>C5*1000/C14</f>
        <v>800</v>
      </c>
      <c r="K5" s="103">
        <f t="shared" ref="K5:M6" si="0">D5*1000/D14</f>
        <v>1000</v>
      </c>
      <c r="L5" s="103">
        <f t="shared" si="0"/>
        <v>1200</v>
      </c>
      <c r="M5" s="103">
        <f t="shared" si="0"/>
        <v>1500</v>
      </c>
      <c r="P5" s="15">
        <v>2004</v>
      </c>
      <c r="Q5" s="103"/>
      <c r="R5" s="103">
        <f>K5*(1+$C$20)^($P$8-$P5)</f>
        <v>1157.6250000000002</v>
      </c>
      <c r="S5" s="103">
        <f>L5*(1+$C$20)^($P$8-$P5)</f>
        <v>1389.15</v>
      </c>
      <c r="T5" s="103">
        <f>M5*(1+$C$20)^($P$8-$P5)</f>
        <v>1736.4375000000002</v>
      </c>
    </row>
    <row r="6" spans="2:20" x14ac:dyDescent="0.2">
      <c r="B6" s="15">
        <v>2005</v>
      </c>
      <c r="C6" s="15">
        <v>504</v>
      </c>
      <c r="D6" s="15">
        <v>378</v>
      </c>
      <c r="E6" s="15">
        <v>226.8</v>
      </c>
      <c r="F6" s="15"/>
      <c r="I6" s="15">
        <v>2005</v>
      </c>
      <c r="J6" s="103">
        <f t="shared" ref="J6:K7" si="1">C6*1000/C15</f>
        <v>840</v>
      </c>
      <c r="K6" s="103">
        <f t="shared" si="0"/>
        <v>1050</v>
      </c>
      <c r="L6" s="103">
        <f t="shared" si="0"/>
        <v>1260</v>
      </c>
      <c r="M6" s="103"/>
      <c r="P6" s="15">
        <v>2005</v>
      </c>
      <c r="Q6" s="103"/>
      <c r="R6" s="103">
        <f>K6*(1+$C$20)^($P$8-$P6)</f>
        <v>1157.625</v>
      </c>
      <c r="S6" s="103">
        <f>L6*(1+$C$20)^($P$8-$P6)</f>
        <v>1389.15</v>
      </c>
      <c r="T6" s="103"/>
    </row>
    <row r="7" spans="2:20" x14ac:dyDescent="0.2">
      <c r="B7" s="15">
        <v>2006</v>
      </c>
      <c r="C7" s="15">
        <v>662</v>
      </c>
      <c r="D7" s="15">
        <v>496</v>
      </c>
      <c r="E7" s="15"/>
      <c r="F7" s="15"/>
      <c r="I7" s="15">
        <v>2006</v>
      </c>
      <c r="J7" s="103">
        <f t="shared" si="1"/>
        <v>882.66666666666663</v>
      </c>
      <c r="K7" s="103">
        <f t="shared" si="1"/>
        <v>1102.2222222222222</v>
      </c>
      <c r="L7" s="103"/>
      <c r="M7" s="103"/>
      <c r="P7" s="15">
        <v>2006</v>
      </c>
      <c r="Q7" s="103"/>
      <c r="R7" s="103">
        <f>K7*(1+$C$20)^($P$8-$P7)</f>
        <v>1157.3333333333333</v>
      </c>
      <c r="S7" s="103"/>
      <c r="T7" s="103"/>
    </row>
    <row r="8" spans="2:20" x14ac:dyDescent="0.2">
      <c r="B8" s="15">
        <v>2007</v>
      </c>
      <c r="C8" s="15">
        <v>833</v>
      </c>
      <c r="D8" s="15"/>
      <c r="E8" s="15"/>
      <c r="F8" s="15"/>
      <c r="I8" s="15">
        <v>2007</v>
      </c>
      <c r="J8" s="103">
        <f>C8*1000/C17</f>
        <v>925.55555555555554</v>
      </c>
      <c r="K8" s="103"/>
      <c r="L8" s="103"/>
      <c r="M8" s="103"/>
      <c r="P8" s="15">
        <v>2007</v>
      </c>
      <c r="Q8" s="103"/>
      <c r="R8" s="103"/>
      <c r="S8" s="103"/>
      <c r="T8" s="103"/>
    </row>
    <row r="9" spans="2:20" x14ac:dyDescent="0.2">
      <c r="B9" s="15"/>
      <c r="C9" s="15"/>
      <c r="D9" s="15"/>
      <c r="E9" s="15"/>
      <c r="F9" s="15"/>
    </row>
    <row r="10" spans="2:20" x14ac:dyDescent="0.2">
      <c r="B10" s="15"/>
      <c r="C10" s="15"/>
      <c r="D10" s="15"/>
      <c r="E10" s="15"/>
      <c r="F10" s="15"/>
    </row>
    <row r="11" spans="2:20" x14ac:dyDescent="0.2">
      <c r="B11" s="119" t="s">
        <v>265</v>
      </c>
      <c r="C11" s="119"/>
      <c r="D11" s="119"/>
      <c r="E11" s="119"/>
      <c r="F11" s="119"/>
      <c r="G11" s="119"/>
      <c r="I11" s="119" t="s">
        <v>267</v>
      </c>
      <c r="J11" s="119"/>
      <c r="K11" s="119"/>
      <c r="L11" s="119"/>
      <c r="M11" s="119"/>
      <c r="N11" s="119"/>
      <c r="O11" s="47"/>
      <c r="P11" s="3" t="s">
        <v>70</v>
      </c>
      <c r="Q11" s="5">
        <f>Q4</f>
        <v>12</v>
      </c>
      <c r="R11" s="5">
        <f t="shared" ref="R11:T11" si="2">R4</f>
        <v>24</v>
      </c>
      <c r="S11" s="5">
        <f t="shared" si="2"/>
        <v>36</v>
      </c>
      <c r="T11" s="5">
        <f t="shared" si="2"/>
        <v>48</v>
      </c>
    </row>
    <row r="12" spans="2:20" x14ac:dyDescent="0.2">
      <c r="B12" s="121" t="s">
        <v>3</v>
      </c>
      <c r="C12" s="119" t="s">
        <v>262</v>
      </c>
      <c r="D12" s="119"/>
      <c r="E12" s="119"/>
      <c r="F12" s="119"/>
      <c r="G12" s="121" t="s">
        <v>264</v>
      </c>
      <c r="I12" s="121" t="s">
        <v>3</v>
      </c>
      <c r="J12" s="119" t="s">
        <v>262</v>
      </c>
      <c r="K12" s="119"/>
      <c r="L12" s="119"/>
      <c r="M12" s="119"/>
      <c r="N12" s="121" t="s">
        <v>264</v>
      </c>
      <c r="O12" s="48"/>
      <c r="P12" s="3" t="s">
        <v>273</v>
      </c>
      <c r="Q12" s="10"/>
      <c r="R12" s="10">
        <f>AVERAGE(R5:R8)</f>
        <v>1157.5277777777776</v>
      </c>
      <c r="S12" s="10">
        <f t="shared" ref="S12" si="3">AVERAGE(S5:S8)</f>
        <v>1389.15</v>
      </c>
      <c r="T12" s="10">
        <f>AVERAGE(T5:T8)</f>
        <v>1736.4375000000002</v>
      </c>
    </row>
    <row r="13" spans="2:20" x14ac:dyDescent="0.2">
      <c r="B13" s="121"/>
      <c r="C13" s="2">
        <v>12</v>
      </c>
      <c r="D13" s="2">
        <v>24</v>
      </c>
      <c r="E13" s="2">
        <v>36</v>
      </c>
      <c r="F13" s="2">
        <v>48</v>
      </c>
      <c r="G13" s="121"/>
      <c r="I13" s="121"/>
      <c r="J13" s="2">
        <v>12</v>
      </c>
      <c r="K13" s="2">
        <v>24</v>
      </c>
      <c r="L13" s="2">
        <v>36</v>
      </c>
      <c r="M13" s="2">
        <v>48</v>
      </c>
      <c r="N13" s="121"/>
      <c r="O13" s="48"/>
      <c r="P13" s="3"/>
    </row>
    <row r="14" spans="2:20" x14ac:dyDescent="0.2">
      <c r="B14" s="15">
        <v>2004</v>
      </c>
      <c r="C14" s="15">
        <v>500</v>
      </c>
      <c r="D14" s="15">
        <v>300</v>
      </c>
      <c r="E14" s="15">
        <v>150</v>
      </c>
      <c r="F14" s="15">
        <v>50</v>
      </c>
      <c r="G14" s="22">
        <v>1000</v>
      </c>
      <c r="I14" s="15">
        <v>2004</v>
      </c>
      <c r="J14" s="6">
        <f>SUM($C14:C14)</f>
        <v>500</v>
      </c>
      <c r="K14" s="6">
        <f>SUM($C14:D14)</f>
        <v>800</v>
      </c>
      <c r="L14" s="6">
        <f>SUM($C14:E14)</f>
        <v>950</v>
      </c>
      <c r="M14" s="6">
        <f>SUM($C14:F14)</f>
        <v>1000</v>
      </c>
      <c r="N14" s="22">
        <v>1000</v>
      </c>
      <c r="O14" s="22"/>
      <c r="P14" s="3"/>
    </row>
    <row r="15" spans="2:20" x14ac:dyDescent="0.2">
      <c r="B15" s="15">
        <v>2005</v>
      </c>
      <c r="C15" s="15">
        <v>600</v>
      </c>
      <c r="D15" s="15">
        <v>360</v>
      </c>
      <c r="E15" s="15">
        <v>180</v>
      </c>
      <c r="F15" s="15"/>
      <c r="G15" s="22">
        <v>1200</v>
      </c>
      <c r="I15" s="15">
        <v>2005</v>
      </c>
      <c r="J15" s="6">
        <f>SUM($C15:C15)</f>
        <v>600</v>
      </c>
      <c r="K15" s="6">
        <f>SUM($C15:D15)</f>
        <v>960</v>
      </c>
      <c r="L15" s="6">
        <f>SUM($C15:E15)</f>
        <v>1140</v>
      </c>
      <c r="M15" s="6"/>
      <c r="N15" s="22">
        <v>1200</v>
      </c>
      <c r="O15" s="22"/>
      <c r="P15" s="40" t="s">
        <v>274</v>
      </c>
      <c r="Q15" s="105">
        <f>N17-J17</f>
        <v>900</v>
      </c>
    </row>
    <row r="16" spans="2:20" x14ac:dyDescent="0.2">
      <c r="B16" s="15">
        <v>2006</v>
      </c>
      <c r="C16" s="15">
        <v>750</v>
      </c>
      <c r="D16" s="15">
        <v>450</v>
      </c>
      <c r="E16" s="15"/>
      <c r="F16" s="15"/>
      <c r="G16" s="22">
        <v>1500</v>
      </c>
      <c r="I16" s="15">
        <v>2006</v>
      </c>
      <c r="J16" s="6">
        <f>SUM($C16:C16)</f>
        <v>750</v>
      </c>
      <c r="K16" s="6">
        <f>SUM($C16:D16)</f>
        <v>1200</v>
      </c>
      <c r="L16" s="6"/>
      <c r="M16" s="6"/>
      <c r="N16" s="22">
        <v>1500</v>
      </c>
      <c r="O16" s="22"/>
      <c r="P16" s="3"/>
    </row>
    <row r="17" spans="2:20" x14ac:dyDescent="0.2">
      <c r="B17" s="15">
        <v>2007</v>
      </c>
      <c r="C17" s="15">
        <v>900</v>
      </c>
      <c r="D17" s="15"/>
      <c r="E17" s="15"/>
      <c r="F17" s="15"/>
      <c r="G17" s="22">
        <v>1800</v>
      </c>
      <c r="I17" s="15">
        <v>2007</v>
      </c>
      <c r="J17" s="6">
        <f>SUM($C17:C17)</f>
        <v>900</v>
      </c>
      <c r="K17" s="6"/>
      <c r="L17" s="6"/>
      <c r="M17" s="6"/>
      <c r="N17" s="22">
        <v>1800</v>
      </c>
      <c r="O17" s="22"/>
      <c r="P17" s="3" t="s">
        <v>70</v>
      </c>
      <c r="Q17">
        <v>12</v>
      </c>
      <c r="R17">
        <v>24</v>
      </c>
      <c r="S17">
        <v>36</v>
      </c>
      <c r="T17">
        <v>48</v>
      </c>
    </row>
    <row r="18" spans="2:20" x14ac:dyDescent="0.2">
      <c r="P18" s="3" t="s">
        <v>275</v>
      </c>
      <c r="R18" s="5">
        <f>ROUND($Q$15/(1-$J$30)*(_xlfn.XLOOKUP(R17,$J$29:$M$29,$J$30:$M$30)-_xlfn.XLOOKUP(Q17,$J$29:$M$29,$J$30:$M$30)),0)</f>
        <v>540</v>
      </c>
      <c r="S18" s="5">
        <f t="shared" ref="S18:T18" si="4">ROUND($Q$15/(1-$J$30)*(_xlfn.XLOOKUP(S17,$J$29:$M$29,$J$30:$M$30)-_xlfn.XLOOKUP(R17,$J$29:$M$29,$J$30:$M$30)),0)</f>
        <v>270</v>
      </c>
      <c r="T18" s="5">
        <f t="shared" si="4"/>
        <v>90</v>
      </c>
    </row>
    <row r="19" spans="2:20" x14ac:dyDescent="0.2">
      <c r="P19" s="3"/>
    </row>
    <row r="20" spans="2:20" x14ac:dyDescent="0.2">
      <c r="B20" s="12" t="s">
        <v>266</v>
      </c>
      <c r="C20" s="77">
        <v>0.05</v>
      </c>
      <c r="I20" s="119" t="s">
        <v>269</v>
      </c>
      <c r="J20" s="119"/>
      <c r="K20" s="119"/>
      <c r="L20" s="119"/>
      <c r="M20" s="119"/>
      <c r="N20" s="119"/>
      <c r="O20" s="47"/>
      <c r="P20" s="3" t="s">
        <v>70</v>
      </c>
      <c r="R20">
        <v>24</v>
      </c>
      <c r="S20">
        <v>36</v>
      </c>
      <c r="T20">
        <v>48</v>
      </c>
    </row>
    <row r="21" spans="2:20" x14ac:dyDescent="0.2">
      <c r="I21" s="121" t="s">
        <v>3</v>
      </c>
      <c r="J21" s="119" t="s">
        <v>262</v>
      </c>
      <c r="K21" s="119"/>
      <c r="L21" s="119"/>
      <c r="M21" s="119"/>
      <c r="N21" s="121" t="s">
        <v>264</v>
      </c>
      <c r="O21" s="48"/>
      <c r="P21" s="3" t="s">
        <v>276</v>
      </c>
      <c r="Q21" s="14"/>
      <c r="R21" s="14">
        <f>R18*R12</f>
        <v>625064.99999999988</v>
      </c>
      <c r="S21" s="14">
        <f>S18*S12</f>
        <v>375070.5</v>
      </c>
      <c r="T21" s="14">
        <f>T18*T12</f>
        <v>156279.37500000003</v>
      </c>
    </row>
    <row r="22" spans="2:20" x14ac:dyDescent="0.2">
      <c r="I22" s="121"/>
      <c r="J22" s="2">
        <v>12</v>
      </c>
      <c r="K22" s="2">
        <v>24</v>
      </c>
      <c r="L22" s="2">
        <v>36</v>
      </c>
      <c r="M22" s="2">
        <v>48</v>
      </c>
      <c r="N22" s="121"/>
      <c r="O22" s="48"/>
    </row>
    <row r="23" spans="2:20" x14ac:dyDescent="0.2">
      <c r="I23" s="15">
        <v>2004</v>
      </c>
      <c r="J23" s="104">
        <f>J14/$N23</f>
        <v>0.5</v>
      </c>
      <c r="K23" s="104">
        <f t="shared" ref="K23:M23" si="5">K14/$N23</f>
        <v>0.8</v>
      </c>
      <c r="L23" s="104">
        <f t="shared" si="5"/>
        <v>0.95</v>
      </c>
      <c r="M23" s="104">
        <f t="shared" si="5"/>
        <v>1</v>
      </c>
      <c r="N23" s="22">
        <v>1000</v>
      </c>
      <c r="O23" s="22"/>
      <c r="S23" t="s">
        <v>277</v>
      </c>
      <c r="T23" s="106">
        <f>SUM(R21:T21)</f>
        <v>1156414.875</v>
      </c>
    </row>
    <row r="24" spans="2:20" x14ac:dyDescent="0.2">
      <c r="I24" s="15">
        <v>2005</v>
      </c>
      <c r="J24" s="104">
        <f t="shared" ref="J24:L26" si="6">J15/$N24</f>
        <v>0.5</v>
      </c>
      <c r="K24" s="104">
        <f t="shared" si="6"/>
        <v>0.8</v>
      </c>
      <c r="L24" s="104">
        <f t="shared" si="6"/>
        <v>0.95</v>
      </c>
      <c r="M24" s="6"/>
      <c r="N24" s="22">
        <v>1200</v>
      </c>
      <c r="O24" s="22"/>
    </row>
    <row r="25" spans="2:20" x14ac:dyDescent="0.2">
      <c r="I25" s="15">
        <v>2006</v>
      </c>
      <c r="J25" s="104">
        <f t="shared" si="6"/>
        <v>0.5</v>
      </c>
      <c r="K25" s="104">
        <f t="shared" si="6"/>
        <v>0.8</v>
      </c>
      <c r="L25" s="6"/>
      <c r="M25" s="6"/>
      <c r="N25" s="22">
        <v>1500</v>
      </c>
      <c r="O25" s="22"/>
    </row>
    <row r="26" spans="2:20" x14ac:dyDescent="0.2">
      <c r="I26" s="15">
        <v>2007</v>
      </c>
      <c r="J26" s="104">
        <f t="shared" si="6"/>
        <v>0.5</v>
      </c>
      <c r="K26" s="6"/>
      <c r="L26" s="6"/>
      <c r="M26" s="6"/>
      <c r="N26" s="22">
        <v>1800</v>
      </c>
      <c r="O26" s="22"/>
    </row>
    <row r="29" spans="2:20" x14ac:dyDescent="0.2">
      <c r="I29" s="2" t="s">
        <v>271</v>
      </c>
      <c r="J29" s="5">
        <f>J22</f>
        <v>12</v>
      </c>
      <c r="K29" s="5">
        <f t="shared" ref="K29:M29" si="7">K22</f>
        <v>24</v>
      </c>
      <c r="L29" s="5">
        <f t="shared" si="7"/>
        <v>36</v>
      </c>
      <c r="M29" s="5">
        <f t="shared" si="7"/>
        <v>48</v>
      </c>
    </row>
    <row r="30" spans="2:20" x14ac:dyDescent="0.2">
      <c r="I30" s="2" t="s">
        <v>270</v>
      </c>
      <c r="J30" s="36">
        <f>AVERAGE(J23:J26)</f>
        <v>0.5</v>
      </c>
      <c r="K30" s="36">
        <f t="shared" ref="K30:M30" si="8">AVERAGE(K23:K26)</f>
        <v>0.80000000000000016</v>
      </c>
      <c r="L30" s="36">
        <f t="shared" si="8"/>
        <v>0.95</v>
      </c>
      <c r="M30" s="36">
        <f t="shared" si="8"/>
        <v>1</v>
      </c>
    </row>
  </sheetData>
  <mergeCells count="21">
    <mergeCell ref="G12:G13"/>
    <mergeCell ref="B11:G11"/>
    <mergeCell ref="B3:B4"/>
    <mergeCell ref="B2:F2"/>
    <mergeCell ref="C3:F3"/>
    <mergeCell ref="B12:B13"/>
    <mergeCell ref="C12:F12"/>
    <mergeCell ref="I20:N20"/>
    <mergeCell ref="I21:I22"/>
    <mergeCell ref="J21:M21"/>
    <mergeCell ref="N21:N22"/>
    <mergeCell ref="P2:T2"/>
    <mergeCell ref="P3:P4"/>
    <mergeCell ref="Q3:T3"/>
    <mergeCell ref="I11:N11"/>
    <mergeCell ref="I12:I13"/>
    <mergeCell ref="J12:M12"/>
    <mergeCell ref="N12:N13"/>
    <mergeCell ref="I2:M2"/>
    <mergeCell ref="I3:I4"/>
    <mergeCell ref="J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A67E-B22C-DF42-8BA1-24F7B24F7E31}">
  <dimension ref="B2:O47"/>
  <sheetViews>
    <sheetView zoomScale="82" workbookViewId="0">
      <selection activeCell="S39" sqref="S39"/>
    </sheetView>
  </sheetViews>
  <sheetFormatPr baseColWidth="10" defaultRowHeight="16" x14ac:dyDescent="0.2"/>
  <cols>
    <col min="13" max="13" width="12.83203125" bestFit="1" customWidth="1"/>
  </cols>
  <sheetData>
    <row r="2" spans="2:12" x14ac:dyDescent="0.2">
      <c r="B2" s="119" t="s">
        <v>278</v>
      </c>
      <c r="C2" s="119"/>
      <c r="D2" s="119"/>
      <c r="E2" s="119"/>
      <c r="F2" s="119"/>
      <c r="H2" s="119" t="s">
        <v>280</v>
      </c>
      <c r="I2" s="119"/>
      <c r="J2" s="119"/>
      <c r="K2" s="119"/>
      <c r="L2" s="119"/>
    </row>
    <row r="3" spans="2:12" x14ac:dyDescent="0.2">
      <c r="B3" s="118" t="s">
        <v>3</v>
      </c>
      <c r="C3" s="119" t="s">
        <v>20</v>
      </c>
      <c r="D3" s="119"/>
      <c r="E3" s="119"/>
      <c r="F3" s="119"/>
      <c r="H3" s="118" t="s">
        <v>3</v>
      </c>
      <c r="I3" s="119" t="s">
        <v>20</v>
      </c>
      <c r="J3" s="119"/>
      <c r="K3" s="119"/>
      <c r="L3" s="119"/>
    </row>
    <row r="4" spans="2:12" x14ac:dyDescent="0.2">
      <c r="B4" s="118"/>
      <c r="C4" s="2">
        <v>12</v>
      </c>
      <c r="D4" s="2">
        <v>24</v>
      </c>
      <c r="E4" s="2">
        <v>36</v>
      </c>
      <c r="F4" s="2">
        <v>48</v>
      </c>
      <c r="H4" s="118"/>
      <c r="I4" s="79" t="s">
        <v>9</v>
      </c>
      <c r="J4" s="79" t="s">
        <v>10</v>
      </c>
      <c r="K4" s="79" t="s">
        <v>11</v>
      </c>
      <c r="L4" s="79" t="s">
        <v>18</v>
      </c>
    </row>
    <row r="5" spans="2:12" x14ac:dyDescent="0.2">
      <c r="B5" s="15">
        <v>1997</v>
      </c>
      <c r="C5" s="15">
        <v>200</v>
      </c>
      <c r="D5" s="15">
        <v>150</v>
      </c>
      <c r="E5" s="15">
        <v>75</v>
      </c>
      <c r="F5" s="15">
        <v>25</v>
      </c>
      <c r="H5" s="15">
        <v>1997</v>
      </c>
      <c r="I5" s="8">
        <f>D5/C5</f>
        <v>0.75</v>
      </c>
      <c r="J5" s="8">
        <f t="shared" ref="J5" si="0">E5/D5</f>
        <v>0.5</v>
      </c>
      <c r="K5" s="8">
        <f>F5/E5</f>
        <v>0.33333333333333331</v>
      </c>
      <c r="L5" s="27" t="s">
        <v>290</v>
      </c>
    </row>
    <row r="6" spans="2:12" x14ac:dyDescent="0.2">
      <c r="B6" s="15">
        <v>1998</v>
      </c>
      <c r="C6" s="15">
        <v>300</v>
      </c>
      <c r="D6" s="15">
        <v>250</v>
      </c>
      <c r="E6" s="15">
        <v>150</v>
      </c>
      <c r="F6" s="15"/>
      <c r="H6" s="15">
        <v>1998</v>
      </c>
      <c r="I6" s="8">
        <f t="shared" ref="I6" si="1">D6/C6</f>
        <v>0.83333333333333337</v>
      </c>
      <c r="J6" s="8">
        <f>E6/D6</f>
        <v>0.6</v>
      </c>
      <c r="K6" s="109"/>
      <c r="L6" s="15"/>
    </row>
    <row r="7" spans="2:12" x14ac:dyDescent="0.2">
      <c r="B7" s="15">
        <v>1999</v>
      </c>
      <c r="C7" s="15">
        <v>350</v>
      </c>
      <c r="D7" s="15">
        <v>275</v>
      </c>
      <c r="E7" s="15"/>
      <c r="F7" s="15"/>
      <c r="H7" s="15">
        <v>1999</v>
      </c>
      <c r="I7" s="8">
        <f>D7/C7</f>
        <v>0.7857142857142857</v>
      </c>
      <c r="J7" s="109"/>
      <c r="K7" s="6"/>
      <c r="L7" s="15"/>
    </row>
    <row r="8" spans="2:12" x14ac:dyDescent="0.2">
      <c r="B8" s="15">
        <v>2000</v>
      </c>
      <c r="C8" s="15">
        <v>400</v>
      </c>
      <c r="D8" s="15"/>
      <c r="E8" s="15"/>
      <c r="H8" s="15">
        <v>2000</v>
      </c>
      <c r="I8" s="8"/>
      <c r="J8" s="6"/>
      <c r="K8" s="6"/>
    </row>
    <row r="10" spans="2:12" x14ac:dyDescent="0.2">
      <c r="I10" s="5">
        <f>VALUE(RIGHT(I11,2))</f>
        <v>24</v>
      </c>
      <c r="J10" s="5">
        <f t="shared" ref="J10" si="2">VALUE(RIGHT(J11,2))</f>
        <v>36</v>
      </c>
      <c r="K10" s="5">
        <f>VALUE(RIGHT(K11,2))</f>
        <v>48</v>
      </c>
      <c r="L10" s="7" t="s">
        <v>287</v>
      </c>
    </row>
    <row r="11" spans="2:12" x14ac:dyDescent="0.2">
      <c r="H11" s="3" t="s">
        <v>14</v>
      </c>
      <c r="I11" s="9" t="str">
        <f>I4</f>
        <v>12-24</v>
      </c>
      <c r="J11" s="9" t="str">
        <f t="shared" ref="J11" si="3">J4</f>
        <v>24-36</v>
      </c>
      <c r="K11" s="9" t="str">
        <f>K4</f>
        <v>36-48</v>
      </c>
      <c r="L11" s="1" t="s">
        <v>289</v>
      </c>
    </row>
    <row r="12" spans="2:12" x14ac:dyDescent="0.2">
      <c r="B12" s="119" t="s">
        <v>63</v>
      </c>
      <c r="C12" s="119"/>
      <c r="D12" s="119"/>
      <c r="E12" s="119"/>
      <c r="F12" s="119"/>
      <c r="H12" s="3" t="s">
        <v>26</v>
      </c>
      <c r="I12" s="9">
        <f>AVERAGE(I5:I8)</f>
        <v>0.78968253968253965</v>
      </c>
      <c r="J12" s="9">
        <f t="shared" ref="J12" si="4">AVERAGE(J5:J8)</f>
        <v>0.55000000000000004</v>
      </c>
      <c r="K12" s="9">
        <f>AVERAGE(K5:K8)</f>
        <v>0.33333333333333331</v>
      </c>
      <c r="L12" s="7" t="s">
        <v>288</v>
      </c>
    </row>
    <row r="13" spans="2:12" ht="16" customHeight="1" x14ac:dyDescent="0.2">
      <c r="B13" s="118" t="s">
        <v>3</v>
      </c>
      <c r="C13" s="119" t="s">
        <v>20</v>
      </c>
      <c r="D13" s="119"/>
      <c r="E13" s="119"/>
      <c r="F13" s="119"/>
      <c r="H13" s="3"/>
      <c r="I13" s="9"/>
      <c r="J13" s="9"/>
      <c r="K13" s="9"/>
    </row>
    <row r="14" spans="2:12" x14ac:dyDescent="0.2">
      <c r="B14" s="118"/>
      <c r="C14" s="2">
        <v>12</v>
      </c>
      <c r="D14" s="2">
        <v>24</v>
      </c>
      <c r="E14" s="2">
        <v>36</v>
      </c>
      <c r="F14" s="2">
        <v>48</v>
      </c>
      <c r="H14" s="3"/>
      <c r="I14" s="9"/>
      <c r="J14" s="9"/>
      <c r="K14" s="9"/>
    </row>
    <row r="15" spans="2:12" x14ac:dyDescent="0.2">
      <c r="B15" s="15">
        <v>1997</v>
      </c>
      <c r="C15" s="15">
        <v>100</v>
      </c>
      <c r="D15" s="15">
        <v>75</v>
      </c>
      <c r="E15" s="15">
        <v>70</v>
      </c>
      <c r="F15" s="15">
        <v>50</v>
      </c>
      <c r="H15" s="119" t="s">
        <v>281</v>
      </c>
      <c r="I15" s="119"/>
      <c r="J15" s="119"/>
      <c r="K15" s="119"/>
      <c r="L15" s="119"/>
    </row>
    <row r="16" spans="2:12" ht="16" customHeight="1" x14ac:dyDescent="0.2">
      <c r="B16" s="15">
        <v>1998</v>
      </c>
      <c r="C16" s="15">
        <v>125</v>
      </c>
      <c r="D16" s="15">
        <v>80</v>
      </c>
      <c r="E16" s="15">
        <v>100</v>
      </c>
      <c r="F16" s="15"/>
      <c r="H16" s="118" t="s">
        <v>3</v>
      </c>
      <c r="I16" s="119" t="s">
        <v>20</v>
      </c>
      <c r="J16" s="119"/>
      <c r="K16" s="119"/>
      <c r="L16" s="119"/>
    </row>
    <row r="17" spans="2:13" ht="16" customHeight="1" x14ac:dyDescent="0.2">
      <c r="B17" s="15">
        <v>1999</v>
      </c>
      <c r="C17" s="15">
        <v>175</v>
      </c>
      <c r="D17" s="15">
        <v>110</v>
      </c>
      <c r="E17" s="15"/>
      <c r="F17" s="15"/>
      <c r="H17" s="118"/>
      <c r="I17" s="2">
        <v>12</v>
      </c>
      <c r="J17" s="2">
        <v>24</v>
      </c>
      <c r="K17" s="2">
        <v>36</v>
      </c>
      <c r="L17" s="2">
        <v>48</v>
      </c>
    </row>
    <row r="18" spans="2:13" x14ac:dyDescent="0.2">
      <c r="B18" s="15">
        <v>2000</v>
      </c>
      <c r="C18" s="15">
        <v>225</v>
      </c>
      <c r="D18" s="15"/>
      <c r="E18" s="15"/>
      <c r="H18" s="15">
        <v>1997</v>
      </c>
      <c r="I18" s="15">
        <v>200</v>
      </c>
      <c r="J18" s="15">
        <v>150</v>
      </c>
      <c r="K18" s="15">
        <v>75</v>
      </c>
      <c r="L18" s="15">
        <v>25</v>
      </c>
    </row>
    <row r="19" spans="2:13" x14ac:dyDescent="0.2">
      <c r="B19" s="15"/>
      <c r="C19" s="15"/>
      <c r="D19" s="15"/>
      <c r="E19" s="15"/>
      <c r="F19" s="15"/>
      <c r="H19" s="15">
        <v>1998</v>
      </c>
      <c r="I19" s="15">
        <v>300</v>
      </c>
      <c r="J19" s="15">
        <v>250</v>
      </c>
      <c r="K19" s="15">
        <v>150</v>
      </c>
      <c r="L19" s="6">
        <f>K19*_xlfn.XLOOKUP(L$17,$I$10:$K$10,$I$12:$K$12)</f>
        <v>50</v>
      </c>
      <c r="M19" s="7" t="s">
        <v>291</v>
      </c>
    </row>
    <row r="20" spans="2:13" x14ac:dyDescent="0.2">
      <c r="B20" s="15"/>
      <c r="C20" s="15"/>
      <c r="D20" s="15"/>
      <c r="E20" s="15"/>
      <c r="F20" s="15"/>
      <c r="H20" s="15">
        <v>1999</v>
      </c>
      <c r="I20" s="15">
        <v>350</v>
      </c>
      <c r="J20" s="15">
        <v>275</v>
      </c>
      <c r="K20" s="6">
        <f t="shared" ref="K20:K21" si="5">J20*_xlfn.XLOOKUP(K$17,$I$10:$K$10,$I$12:$K$12)</f>
        <v>151.25</v>
      </c>
      <c r="L20" s="6">
        <f t="shared" ref="L20:L21" si="6">K20*_xlfn.XLOOKUP(L$17,$I$10:$K$10,$I$12:$K$12)</f>
        <v>50.416666666666664</v>
      </c>
    </row>
    <row r="21" spans="2:13" x14ac:dyDescent="0.2">
      <c r="C21" s="12" t="s">
        <v>279</v>
      </c>
      <c r="D21" s="46">
        <v>1.25</v>
      </c>
      <c r="E21" s="15"/>
      <c r="H21" s="15">
        <v>2000</v>
      </c>
      <c r="I21" s="15">
        <v>400</v>
      </c>
      <c r="J21" s="6">
        <f>I21*_xlfn.XLOOKUP(J$17,$I$10:$K$10,$I$12:$K$12)</f>
        <v>315.87301587301585</v>
      </c>
      <c r="K21" s="6">
        <f t="shared" si="5"/>
        <v>173.73015873015873</v>
      </c>
      <c r="L21" s="6">
        <f t="shared" si="6"/>
        <v>57.910052910052912</v>
      </c>
    </row>
    <row r="22" spans="2:13" x14ac:dyDescent="0.2">
      <c r="H22" s="15"/>
      <c r="I22" s="15"/>
      <c r="J22" s="15"/>
      <c r="K22" s="15"/>
    </row>
    <row r="24" spans="2:13" x14ac:dyDescent="0.2">
      <c r="H24" s="119" t="s">
        <v>282</v>
      </c>
      <c r="I24" s="119"/>
      <c r="J24" s="119"/>
      <c r="K24" s="119"/>
      <c r="L24" s="119"/>
    </row>
    <row r="25" spans="2:13" x14ac:dyDescent="0.2">
      <c r="H25" s="118" t="s">
        <v>3</v>
      </c>
      <c r="I25" s="119" t="s">
        <v>20</v>
      </c>
      <c r="J25" s="119"/>
      <c r="K25" s="119"/>
      <c r="L25" s="119"/>
    </row>
    <row r="26" spans="2:13" ht="16" customHeight="1" x14ac:dyDescent="0.2">
      <c r="H26" s="118"/>
      <c r="I26" s="79" t="s">
        <v>9</v>
      </c>
      <c r="J26" s="79" t="s">
        <v>10</v>
      </c>
      <c r="K26" s="79" t="s">
        <v>11</v>
      </c>
      <c r="L26" s="79" t="s">
        <v>18</v>
      </c>
    </row>
    <row r="27" spans="2:13" x14ac:dyDescent="0.2">
      <c r="H27" s="15">
        <v>1997</v>
      </c>
      <c r="I27" s="8">
        <f>D15/C5</f>
        <v>0.375</v>
      </c>
      <c r="J27" s="8">
        <f t="shared" ref="J27" si="7">E15/D5</f>
        <v>0.46666666666666667</v>
      </c>
      <c r="K27" s="8">
        <f>F15/E5</f>
        <v>0.66666666666666663</v>
      </c>
      <c r="L27" s="74" t="s">
        <v>292</v>
      </c>
    </row>
    <row r="28" spans="2:13" x14ac:dyDescent="0.2">
      <c r="H28" s="15">
        <v>1998</v>
      </c>
      <c r="I28" s="8">
        <f t="shared" ref="I28:J29" si="8">D16/C6</f>
        <v>0.26666666666666666</v>
      </c>
      <c r="J28" s="8">
        <f t="shared" si="8"/>
        <v>0.4</v>
      </c>
      <c r="K28" s="8"/>
      <c r="L28" s="15"/>
    </row>
    <row r="29" spans="2:13" x14ac:dyDescent="0.2">
      <c r="H29" s="15">
        <v>1999</v>
      </c>
      <c r="I29" s="8">
        <f t="shared" si="8"/>
        <v>0.31428571428571428</v>
      </c>
      <c r="J29" s="8"/>
      <c r="K29" s="6"/>
      <c r="L29" s="15"/>
    </row>
    <row r="30" spans="2:13" x14ac:dyDescent="0.2">
      <c r="H30" s="15">
        <v>2000</v>
      </c>
      <c r="I30" s="8"/>
      <c r="J30" s="6"/>
      <c r="K30" s="6"/>
    </row>
    <row r="31" spans="2:13" x14ac:dyDescent="0.2">
      <c r="K31" s="7" t="s">
        <v>293</v>
      </c>
    </row>
    <row r="32" spans="2:13" x14ac:dyDescent="0.2">
      <c r="I32" s="5">
        <f>VALUE(RIGHT(I33,2))</f>
        <v>24</v>
      </c>
      <c r="J32" s="5">
        <f t="shared" ref="J32" si="9">VALUE(RIGHT(J33,2))</f>
        <v>36</v>
      </c>
      <c r="K32" s="5">
        <f>VALUE(RIGHT(K33,2))</f>
        <v>48</v>
      </c>
      <c r="L32" s="5" t="str">
        <f>RIGHT(L33,3)</f>
        <v>ult</v>
      </c>
      <c r="M32" s="7" t="s">
        <v>294</v>
      </c>
    </row>
    <row r="33" spans="8:15" x14ac:dyDescent="0.2">
      <c r="H33" s="3" t="s">
        <v>14</v>
      </c>
      <c r="I33" s="14" t="str">
        <f>I26</f>
        <v>12-24</v>
      </c>
      <c r="J33" s="14" t="str">
        <f t="shared" ref="J33:K33" si="10">J26</f>
        <v>24-36</v>
      </c>
      <c r="K33" s="14" t="str">
        <f t="shared" si="10"/>
        <v>36-48</v>
      </c>
      <c r="L33" s="107" t="s">
        <v>148</v>
      </c>
    </row>
    <row r="34" spans="8:15" x14ac:dyDescent="0.2">
      <c r="H34" s="3" t="s">
        <v>26</v>
      </c>
      <c r="I34" s="9">
        <f>AVERAGE(I27:I30)</f>
        <v>0.31865079365079363</v>
      </c>
      <c r="J34" s="9">
        <f t="shared" ref="J34" si="11">AVERAGE(J27:J30)</f>
        <v>0.43333333333333335</v>
      </c>
      <c r="K34" s="9">
        <f>AVERAGE(K27:K30)</f>
        <v>0.66666666666666663</v>
      </c>
      <c r="L34" s="9">
        <f>D21</f>
        <v>1.25</v>
      </c>
      <c r="M34" s="1" t="s">
        <v>296</v>
      </c>
    </row>
    <row r="35" spans="8:15" x14ac:dyDescent="0.2">
      <c r="K35" s="7" t="s">
        <v>295</v>
      </c>
    </row>
    <row r="37" spans="8:15" x14ac:dyDescent="0.2">
      <c r="H37" s="119" t="s">
        <v>283</v>
      </c>
      <c r="I37" s="119"/>
      <c r="J37" s="119"/>
      <c r="K37" s="119"/>
      <c r="L37" s="119"/>
    </row>
    <row r="38" spans="8:15" x14ac:dyDescent="0.2">
      <c r="H38" s="118" t="s">
        <v>3</v>
      </c>
      <c r="I38" s="119" t="s">
        <v>20</v>
      </c>
      <c r="J38" s="119"/>
      <c r="K38" s="119"/>
      <c r="L38" s="119"/>
    </row>
    <row r="39" spans="8:15" x14ac:dyDescent="0.2">
      <c r="H39" s="118"/>
      <c r="I39" s="2">
        <v>12</v>
      </c>
      <c r="J39" s="2">
        <v>24</v>
      </c>
      <c r="K39" s="2">
        <v>36</v>
      </c>
      <c r="L39" s="2">
        <v>48</v>
      </c>
      <c r="M39" s="2" t="s">
        <v>284</v>
      </c>
      <c r="N39" s="2" t="s">
        <v>285</v>
      </c>
    </row>
    <row r="40" spans="8:15" x14ac:dyDescent="0.2">
      <c r="H40" s="15">
        <v>1997</v>
      </c>
      <c r="I40" s="15">
        <v>100</v>
      </c>
      <c r="J40" s="15">
        <v>75</v>
      </c>
      <c r="K40" s="15">
        <v>70</v>
      </c>
      <c r="L40" s="15">
        <v>50</v>
      </c>
      <c r="M40" s="13">
        <f>L18*_xlfn.XLOOKUP(M$39,$I$32:$L$32,$I$34:$L$34)</f>
        <v>31.25</v>
      </c>
      <c r="N40" s="4">
        <f>SUM(I40:M40)</f>
        <v>326.25</v>
      </c>
    </row>
    <row r="41" spans="8:15" x14ac:dyDescent="0.2">
      <c r="H41" s="15">
        <v>1998</v>
      </c>
      <c r="I41" s="15">
        <v>125</v>
      </c>
      <c r="J41" s="15">
        <v>80</v>
      </c>
      <c r="K41" s="15">
        <v>100</v>
      </c>
      <c r="L41" s="13">
        <f t="shared" ref="K41:M43" si="12">K19*_xlfn.XLOOKUP(L$39,$I$32:$L$32,$I$34:$L$34)</f>
        <v>100</v>
      </c>
      <c r="M41" s="13">
        <f t="shared" si="12"/>
        <v>62.5</v>
      </c>
      <c r="N41" s="4">
        <f t="shared" ref="N41:N42" si="13">SUM(I41:M41)</f>
        <v>467.5</v>
      </c>
    </row>
    <row r="42" spans="8:15" x14ac:dyDescent="0.2">
      <c r="H42" s="15">
        <v>1999</v>
      </c>
      <c r="I42" s="15">
        <v>175</v>
      </c>
      <c r="J42" s="15">
        <v>110</v>
      </c>
      <c r="K42" s="13">
        <f t="shared" si="12"/>
        <v>119.16666666666667</v>
      </c>
      <c r="L42" s="13">
        <f t="shared" si="12"/>
        <v>100.83333333333333</v>
      </c>
      <c r="M42" s="13">
        <f t="shared" si="12"/>
        <v>63.020833333333329</v>
      </c>
      <c r="N42" s="4">
        <f t="shared" si="13"/>
        <v>568.02083333333337</v>
      </c>
    </row>
    <row r="43" spans="8:15" x14ac:dyDescent="0.2">
      <c r="H43" s="15">
        <v>2000</v>
      </c>
      <c r="I43" s="15">
        <v>225</v>
      </c>
      <c r="J43" s="13">
        <f>I21*_xlfn.XLOOKUP(J$39,$I$32:$L$32,$I$34:$L$34)</f>
        <v>127.46031746031746</v>
      </c>
      <c r="K43" s="13">
        <f t="shared" si="12"/>
        <v>136.87830687830686</v>
      </c>
      <c r="L43" s="13">
        <f t="shared" si="12"/>
        <v>115.82010582010582</v>
      </c>
      <c r="M43" s="13">
        <f t="shared" si="12"/>
        <v>72.387566137566139</v>
      </c>
      <c r="N43" s="4">
        <f>SUM(I43:M43)</f>
        <v>677.5462962962963</v>
      </c>
      <c r="O43" s="7" t="s">
        <v>298</v>
      </c>
    </row>
    <row r="44" spans="8:15" x14ac:dyDescent="0.2">
      <c r="J44" s="7" t="s">
        <v>297</v>
      </c>
    </row>
    <row r="47" spans="8:15" x14ac:dyDescent="0.2">
      <c r="M47" t="s">
        <v>286</v>
      </c>
      <c r="N47" s="108">
        <f>SUM(N40:N43)</f>
        <v>2039.3171296296298</v>
      </c>
      <c r="O47" s="7" t="s">
        <v>299</v>
      </c>
    </row>
  </sheetData>
  <mergeCells count="18">
    <mergeCell ref="B3:B4"/>
    <mergeCell ref="B2:F2"/>
    <mergeCell ref="C3:F3"/>
    <mergeCell ref="C13:F13"/>
    <mergeCell ref="B13:B14"/>
    <mergeCell ref="B12:F12"/>
    <mergeCell ref="H24:L24"/>
    <mergeCell ref="H15:L15"/>
    <mergeCell ref="H16:H17"/>
    <mergeCell ref="I16:L16"/>
    <mergeCell ref="H2:L2"/>
    <mergeCell ref="H3:H4"/>
    <mergeCell ref="I3:L3"/>
    <mergeCell ref="H37:L37"/>
    <mergeCell ref="H38:H39"/>
    <mergeCell ref="I38:L38"/>
    <mergeCell ref="H25:H26"/>
    <mergeCell ref="I25:L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BF-65D5-FD4F-8422-5C293C3E16AA}">
  <dimension ref="A2:I13"/>
  <sheetViews>
    <sheetView workbookViewId="0">
      <selection activeCell="L22" sqref="L22"/>
    </sheetView>
  </sheetViews>
  <sheetFormatPr baseColWidth="10" defaultRowHeight="16" x14ac:dyDescent="0.2"/>
  <cols>
    <col min="2" max="2" width="14.6640625" bestFit="1" customWidth="1"/>
    <col min="3" max="3" width="18.33203125" bestFit="1" customWidth="1"/>
    <col min="4" max="4" width="15.5" bestFit="1" customWidth="1"/>
    <col min="5" max="5" width="28.1640625" customWidth="1"/>
    <col min="6" max="6" width="31.33203125" customWidth="1"/>
    <col min="7" max="7" width="37.6640625" bestFit="1" customWidth="1"/>
    <col min="8" max="8" width="18.1640625" bestFit="1" customWidth="1"/>
  </cols>
  <sheetData>
    <row r="2" spans="1:9" x14ac:dyDescent="0.2">
      <c r="D2" s="7" t="s">
        <v>305</v>
      </c>
      <c r="E2" s="122" t="s">
        <v>306</v>
      </c>
      <c r="F2" s="123"/>
      <c r="G2" s="7" t="s">
        <v>307</v>
      </c>
      <c r="H2" s="7" t="s">
        <v>308</v>
      </c>
    </row>
    <row r="3" spans="1:9" x14ac:dyDescent="0.2">
      <c r="B3" s="39" t="s">
        <v>3</v>
      </c>
      <c r="C3" s="39" t="s">
        <v>300</v>
      </c>
      <c r="D3" s="39" t="s">
        <v>70</v>
      </c>
      <c r="E3" s="39" t="s">
        <v>301</v>
      </c>
      <c r="F3" s="39" t="s">
        <v>124</v>
      </c>
      <c r="G3" s="39" t="s">
        <v>302</v>
      </c>
      <c r="H3" s="39" t="s">
        <v>98</v>
      </c>
    </row>
    <row r="4" spans="1:9" x14ac:dyDescent="0.2">
      <c r="B4" s="15">
        <v>2020</v>
      </c>
      <c r="C4" s="16">
        <v>5000</v>
      </c>
      <c r="D4" s="5">
        <f>($B$6-B4+1)*12</f>
        <v>36</v>
      </c>
      <c r="E4" s="5" cm="1">
        <f t="array" ref="E4">_xlfn.XLOOKUP($D4,$A$10:$A$12,_xlfn.XLOOKUP(E$3,$C$9:$D$9,$C$10:$D$12))</f>
        <v>1.2</v>
      </c>
      <c r="F4" s="5" cm="1">
        <f t="array" ref="F4">_xlfn.XLOOKUP($D4,$A$10:$A$12,_xlfn.XLOOKUP(F$3,$C$9:$D$9,$C$10:$D$12))</f>
        <v>1.05</v>
      </c>
      <c r="G4" s="5">
        <f>1+(F4-1)*E4/(E4-F4)</f>
        <v>1.4000000000000006</v>
      </c>
      <c r="H4" s="11">
        <f>G4*C4</f>
        <v>7000.0000000000027</v>
      </c>
    </row>
    <row r="5" spans="1:9" x14ac:dyDescent="0.2">
      <c r="B5" s="15">
        <v>2021</v>
      </c>
      <c r="C5" s="16">
        <v>15800</v>
      </c>
      <c r="D5" s="5">
        <f t="shared" ref="D5:D6" si="0">($B$6-B5+1)*12</f>
        <v>24</v>
      </c>
      <c r="E5" s="5" cm="1">
        <f t="array" ref="E5">_xlfn.XLOOKUP($D5,$A$10:$A$12,_xlfn.XLOOKUP(E$3,$C$9:$D$9,$C$10:$D$12))</f>
        <v>1.5</v>
      </c>
      <c r="F5" s="5" cm="1">
        <f t="array" ref="F5">_xlfn.XLOOKUP($D5,$A$10:$A$12,_xlfn.XLOOKUP(F$3,$C$9:$D$9,$C$10:$D$12))</f>
        <v>1.3</v>
      </c>
      <c r="G5" s="5">
        <f t="shared" ref="G5:G6" si="1">1+(F5-1)*E5/(E5-F5)</f>
        <v>3.2500000000000009</v>
      </c>
      <c r="H5" s="11">
        <f t="shared" ref="H5:H6" si="2">G5*C5</f>
        <v>51350.000000000015</v>
      </c>
    </row>
    <row r="6" spans="1:9" x14ac:dyDescent="0.2">
      <c r="B6" s="15">
        <v>2022</v>
      </c>
      <c r="C6" s="16">
        <v>24000</v>
      </c>
      <c r="D6" s="5">
        <f t="shared" si="0"/>
        <v>12</v>
      </c>
      <c r="E6" s="5" cm="1">
        <f t="array" ref="E6">_xlfn.XLOOKUP($D6,$A$10:$A$12,_xlfn.XLOOKUP(E$3,$C$9:$D$9,$C$10:$D$12))</f>
        <v>2</v>
      </c>
      <c r="F6" s="5" cm="1">
        <f t="array" ref="F6">_xlfn.XLOOKUP($D6,$A$10:$A$12,_xlfn.XLOOKUP(F$3,$C$9:$D$9,$C$10:$D$12))</f>
        <v>1.6</v>
      </c>
      <c r="G6" s="5">
        <f t="shared" si="1"/>
        <v>4.0000000000000018</v>
      </c>
      <c r="H6" s="11">
        <f t="shared" si="2"/>
        <v>96000.000000000044</v>
      </c>
    </row>
    <row r="8" spans="1:9" x14ac:dyDescent="0.2">
      <c r="G8" s="12" t="s">
        <v>303</v>
      </c>
      <c r="H8" s="110">
        <f>SUM(H4:H6)</f>
        <v>154350.00000000006</v>
      </c>
      <c r="I8" s="19"/>
    </row>
    <row r="9" spans="1:9" x14ac:dyDescent="0.2">
      <c r="B9" s="39" t="s">
        <v>271</v>
      </c>
      <c r="C9" s="39" t="s">
        <v>301</v>
      </c>
      <c r="D9" s="39" t="s">
        <v>124</v>
      </c>
      <c r="E9" s="39"/>
      <c r="F9" s="39"/>
      <c r="H9" s="19" t="s">
        <v>309</v>
      </c>
    </row>
    <row r="10" spans="1:9" x14ac:dyDescent="0.2">
      <c r="A10" s="5">
        <f>VALUE(LEFT(B10,2))</f>
        <v>12</v>
      </c>
      <c r="B10" s="15" t="s">
        <v>4</v>
      </c>
      <c r="C10" s="15">
        <v>2</v>
      </c>
      <c r="D10" s="15">
        <v>1.6</v>
      </c>
      <c r="E10" s="15"/>
      <c r="F10" s="15"/>
    </row>
    <row r="11" spans="1:9" x14ac:dyDescent="0.2">
      <c r="A11" s="5">
        <f t="shared" ref="A11" si="3">VALUE(LEFT(B11,2))</f>
        <v>24</v>
      </c>
      <c r="B11" s="15" t="s">
        <v>5</v>
      </c>
      <c r="C11" s="15">
        <v>1.5</v>
      </c>
      <c r="D11" s="15">
        <v>1.3</v>
      </c>
      <c r="E11" s="15"/>
      <c r="F11" s="15"/>
    </row>
    <row r="12" spans="1:9" x14ac:dyDescent="0.2">
      <c r="A12" s="5">
        <f>VALUE(LEFT(B12,2))</f>
        <v>36</v>
      </c>
      <c r="B12" s="15" t="s">
        <v>6</v>
      </c>
      <c r="C12" s="15">
        <v>1.2</v>
      </c>
      <c r="D12" s="15">
        <v>1.05</v>
      </c>
      <c r="E12" s="15"/>
      <c r="F12" s="15"/>
    </row>
    <row r="13" spans="1:9" x14ac:dyDescent="0.2">
      <c r="A13" s="7" t="s">
        <v>304</v>
      </c>
    </row>
  </sheetData>
  <mergeCells count="1"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594-74B6-9141-BB6F-DB35FBFE2B3F}">
  <dimension ref="B2:AB59"/>
  <sheetViews>
    <sheetView topLeftCell="O32" workbookViewId="0">
      <selection activeCell="AG69" sqref="AG69"/>
    </sheetView>
  </sheetViews>
  <sheetFormatPr baseColWidth="10" defaultRowHeight="16" x14ac:dyDescent="0.2"/>
  <cols>
    <col min="7" max="7" width="18" customWidth="1"/>
    <col min="9" max="9" width="20" customWidth="1"/>
    <col min="10" max="10" width="14.6640625" customWidth="1"/>
    <col min="11" max="13" width="12.83203125" customWidth="1"/>
    <col min="17" max="20" width="10.83203125" customWidth="1"/>
    <col min="25" max="26" width="17.5" bestFit="1" customWidth="1"/>
  </cols>
  <sheetData>
    <row r="2" spans="2:14" ht="16" customHeight="1" x14ac:dyDescent="0.2">
      <c r="B2" s="121" t="s">
        <v>3</v>
      </c>
      <c r="C2" s="119" t="s">
        <v>310</v>
      </c>
      <c r="D2" s="119"/>
      <c r="E2" s="119"/>
      <c r="F2" s="119"/>
      <c r="G2" s="121" t="s">
        <v>311</v>
      </c>
      <c r="I2" s="121" t="s">
        <v>3</v>
      </c>
      <c r="J2" s="119" t="s">
        <v>314</v>
      </c>
      <c r="K2" s="119"/>
      <c r="L2" s="119"/>
      <c r="M2" s="119"/>
    </row>
    <row r="3" spans="2:14" ht="17" x14ac:dyDescent="0.2">
      <c r="B3" s="121"/>
      <c r="C3" s="48" t="s">
        <v>318</v>
      </c>
      <c r="D3" s="2" t="s">
        <v>4</v>
      </c>
      <c r="E3" s="2" t="s">
        <v>5</v>
      </c>
      <c r="F3" s="2" t="s">
        <v>6</v>
      </c>
      <c r="G3" s="121"/>
      <c r="I3" s="121"/>
      <c r="J3" s="48" t="s">
        <v>318</v>
      </c>
      <c r="K3" s="2" t="s">
        <v>4</v>
      </c>
      <c r="L3" s="2" t="s">
        <v>5</v>
      </c>
      <c r="M3" s="2" t="s">
        <v>6</v>
      </c>
    </row>
    <row r="4" spans="2:14" x14ac:dyDescent="0.2">
      <c r="B4" s="15">
        <v>2009</v>
      </c>
      <c r="C4" s="15">
        <v>0</v>
      </c>
      <c r="D4" s="15">
        <v>425</v>
      </c>
      <c r="E4" s="15">
        <v>700</v>
      </c>
      <c r="F4" s="15">
        <v>850</v>
      </c>
      <c r="G4" s="15">
        <v>850</v>
      </c>
      <c r="I4" s="15">
        <v>2009</v>
      </c>
      <c r="J4" s="13">
        <f>C4/$G4</f>
        <v>0</v>
      </c>
      <c r="K4" s="8">
        <f>D4/$G4</f>
        <v>0.5</v>
      </c>
      <c r="L4" s="8">
        <f>E4/$G4</f>
        <v>0.82352941176470584</v>
      </c>
      <c r="M4" s="8">
        <f>F4/$G4</f>
        <v>1</v>
      </c>
    </row>
    <row r="5" spans="2:14" x14ac:dyDescent="0.2">
      <c r="B5" s="15">
        <v>2010</v>
      </c>
      <c r="C5" s="15">
        <v>0</v>
      </c>
      <c r="D5" s="15">
        <v>400</v>
      </c>
      <c r="E5" s="15">
        <v>693</v>
      </c>
      <c r="F5" s="15"/>
      <c r="G5" s="15">
        <v>887</v>
      </c>
      <c r="I5" s="15">
        <v>2010</v>
      </c>
      <c r="J5" s="13">
        <f t="shared" ref="J5:J6" si="0">C5/$G5</f>
        <v>0</v>
      </c>
      <c r="K5" s="8">
        <f t="shared" ref="K5:K6" si="1">D5/$G5</f>
        <v>0.45095828635851182</v>
      </c>
      <c r="L5" s="8">
        <f>E5/$G5</f>
        <v>0.7812852311161218</v>
      </c>
      <c r="M5" s="74" t="s">
        <v>323</v>
      </c>
    </row>
    <row r="6" spans="2:14" x14ac:dyDescent="0.2">
      <c r="B6" s="15">
        <v>2011</v>
      </c>
      <c r="C6" s="15">
        <v>0</v>
      </c>
      <c r="D6" s="15">
        <v>373</v>
      </c>
      <c r="E6" s="15"/>
      <c r="F6" s="15"/>
      <c r="G6" s="15">
        <v>901</v>
      </c>
      <c r="I6" s="15">
        <v>2011</v>
      </c>
      <c r="J6" s="13">
        <f t="shared" si="0"/>
        <v>0</v>
      </c>
      <c r="K6" s="8">
        <f t="shared" si="1"/>
        <v>0.41398446170921199</v>
      </c>
      <c r="L6" s="8"/>
      <c r="M6" s="8"/>
    </row>
    <row r="8" spans="2:14" x14ac:dyDescent="0.2">
      <c r="I8" s="1" t="s">
        <v>317</v>
      </c>
      <c r="J8" s="1"/>
    </row>
    <row r="9" spans="2:14" x14ac:dyDescent="0.2">
      <c r="B9" s="121" t="s">
        <v>3</v>
      </c>
      <c r="C9" s="119" t="s">
        <v>313</v>
      </c>
      <c r="D9" s="119"/>
      <c r="E9" s="119"/>
      <c r="F9" s="119"/>
      <c r="G9" s="125"/>
    </row>
    <row r="10" spans="2:14" ht="17" x14ac:dyDescent="0.2">
      <c r="B10" s="121"/>
      <c r="C10" s="48" t="s">
        <v>318</v>
      </c>
      <c r="D10" s="2" t="s">
        <v>4</v>
      </c>
      <c r="E10" s="2" t="s">
        <v>5</v>
      </c>
      <c r="F10" s="2" t="s">
        <v>6</v>
      </c>
      <c r="G10" s="2"/>
    </row>
    <row r="11" spans="2:14" x14ac:dyDescent="0.2">
      <c r="B11" s="15">
        <v>2009</v>
      </c>
      <c r="C11" s="15">
        <v>0</v>
      </c>
      <c r="D11" s="22">
        <v>4200</v>
      </c>
      <c r="E11" s="22">
        <v>8580</v>
      </c>
      <c r="F11" s="22">
        <v>10000</v>
      </c>
      <c r="G11" s="22"/>
      <c r="I11" s="3" t="s">
        <v>70</v>
      </c>
      <c r="J11" s="5" t="str">
        <f>J3</f>
        <v>0 Months</v>
      </c>
      <c r="K11" s="5" t="str">
        <f>K3</f>
        <v>12 Months</v>
      </c>
      <c r="L11" s="5" t="str">
        <f>L3</f>
        <v>24 Months</v>
      </c>
      <c r="M11" s="5" t="str">
        <f>M3</f>
        <v>36 Months</v>
      </c>
      <c r="N11" s="7" t="s">
        <v>324</v>
      </c>
    </row>
    <row r="12" spans="2:14" x14ac:dyDescent="0.2">
      <c r="B12" s="15">
        <v>2010</v>
      </c>
      <c r="C12" s="15">
        <v>0</v>
      </c>
      <c r="D12" s="22">
        <v>3950</v>
      </c>
      <c r="E12" s="22">
        <v>7030</v>
      </c>
      <c r="F12" s="15"/>
      <c r="G12" s="15"/>
      <c r="I12" t="s">
        <v>315</v>
      </c>
      <c r="J12" s="9">
        <f>MIN(J4:J6)</f>
        <v>0</v>
      </c>
      <c r="K12" s="9">
        <f>MIN(K4:K6)</f>
        <v>0.41398446170921199</v>
      </c>
      <c r="L12" s="9">
        <f>MIN(L4:L6)</f>
        <v>0.7812852311161218</v>
      </c>
      <c r="M12" s="9">
        <f>MIN(M4:M6)</f>
        <v>1</v>
      </c>
      <c r="N12" s="7" t="s">
        <v>325</v>
      </c>
    </row>
    <row r="13" spans="2:14" x14ac:dyDescent="0.2">
      <c r="B13" s="15">
        <v>2011</v>
      </c>
      <c r="C13" s="15">
        <v>0</v>
      </c>
      <c r="D13" s="22">
        <v>3900</v>
      </c>
      <c r="E13" s="15"/>
    </row>
    <row r="14" spans="2:14" ht="16" customHeight="1" x14ac:dyDescent="0.2"/>
    <row r="15" spans="2:14" ht="17" x14ac:dyDescent="0.2">
      <c r="I15" s="48" t="s">
        <v>3</v>
      </c>
      <c r="J15" s="119" t="s">
        <v>316</v>
      </c>
      <c r="K15" s="119"/>
      <c r="L15" s="119"/>
      <c r="M15" s="125"/>
    </row>
    <row r="16" spans="2:14" x14ac:dyDescent="0.2">
      <c r="I16" s="48"/>
      <c r="J16" s="2" t="s">
        <v>4</v>
      </c>
      <c r="K16" s="2" t="s">
        <v>5</v>
      </c>
      <c r="L16" s="2" t="s">
        <v>6</v>
      </c>
      <c r="M16" s="2"/>
    </row>
    <row r="17" spans="9:13" x14ac:dyDescent="0.2">
      <c r="I17" s="15">
        <v>2009</v>
      </c>
      <c r="J17" s="24">
        <f>FORECAST($K$12,C11:D11,$J4:$K4)</f>
        <v>3477.4694783573809</v>
      </c>
      <c r="K17" s="24">
        <f>FORECAST($L$12,D11:E11,$K4:$L4)</f>
        <v>8008.0906016193512</v>
      </c>
      <c r="L17" s="24">
        <f>FORECAST($M$12,E11:F11,$L4:$M4)</f>
        <v>10000</v>
      </c>
      <c r="M17" s="130" t="s">
        <v>328</v>
      </c>
    </row>
    <row r="18" spans="9:13" x14ac:dyDescent="0.2">
      <c r="I18" s="15">
        <v>2010</v>
      </c>
      <c r="J18" s="24">
        <f>FORECAST($K$12,C12:D12,$J5:$K5)</f>
        <v>3626.1416481687015</v>
      </c>
      <c r="K18" s="24">
        <f>FORECAST($L$12,D12:E12,$K5:$L5)</f>
        <v>7030</v>
      </c>
      <c r="L18" s="130" t="s">
        <v>327</v>
      </c>
      <c r="M18" s="15"/>
    </row>
    <row r="19" spans="9:13" x14ac:dyDescent="0.2">
      <c r="I19" s="15">
        <v>2011</v>
      </c>
      <c r="J19" s="24">
        <f>FORECAST($K$12,C13:D13,$J6:$K6)</f>
        <v>3900</v>
      </c>
      <c r="K19" s="130" t="s">
        <v>326</v>
      </c>
      <c r="L19" s="15"/>
    </row>
    <row r="21" spans="9:13" ht="16" customHeight="1" x14ac:dyDescent="0.2"/>
    <row r="22" spans="9:13" ht="17" x14ac:dyDescent="0.2">
      <c r="I22" s="48" t="s">
        <v>3</v>
      </c>
      <c r="J22" s="119" t="s">
        <v>319</v>
      </c>
      <c r="K22" s="119"/>
      <c r="L22" s="125"/>
    </row>
    <row r="23" spans="9:13" x14ac:dyDescent="0.2">
      <c r="I23" s="48"/>
      <c r="J23" s="2" t="s">
        <v>320</v>
      </c>
      <c r="K23" s="2" t="s">
        <v>321</v>
      </c>
      <c r="L23" s="2"/>
    </row>
    <row r="24" spans="9:13" x14ac:dyDescent="0.2">
      <c r="I24" s="15">
        <v>2009</v>
      </c>
      <c r="J24" s="126">
        <f>K17/J17</f>
        <v>2.3028500038487918</v>
      </c>
      <c r="K24" s="126">
        <f>L17/K17</f>
        <v>1.2487371206786617</v>
      </c>
      <c r="L24" s="129" t="s">
        <v>329</v>
      </c>
    </row>
    <row r="25" spans="9:13" x14ac:dyDescent="0.2">
      <c r="I25" s="15">
        <v>2010</v>
      </c>
      <c r="J25" s="126">
        <f t="shared" ref="J25" si="2">K18/J18</f>
        <v>1.9386997757107305</v>
      </c>
      <c r="K25" s="126"/>
      <c r="L25" s="22"/>
    </row>
    <row r="26" spans="9:13" x14ac:dyDescent="0.2">
      <c r="I26" s="15"/>
      <c r="J26" s="126"/>
      <c r="K26" s="22"/>
      <c r="L26" s="15"/>
    </row>
    <row r="28" spans="9:13" x14ac:dyDescent="0.2">
      <c r="I28" t="s">
        <v>14</v>
      </c>
      <c r="J28" s="5" t="str">
        <f>J23</f>
        <v>12-24 Months</v>
      </c>
      <c r="K28" s="5" t="str">
        <f>K23</f>
        <v>24-36 Months</v>
      </c>
      <c r="L28" s="7" t="s">
        <v>330</v>
      </c>
    </row>
    <row r="29" spans="9:13" x14ac:dyDescent="0.2">
      <c r="I29" t="s">
        <v>168</v>
      </c>
      <c r="J29" s="127">
        <f>AVERAGE(J24:J25)</f>
        <v>2.1207748897797609</v>
      </c>
      <c r="K29" s="127">
        <f>AVERAGE(K24:K25)</f>
        <v>1.2487371206786617</v>
      </c>
      <c r="L29" s="7" t="s">
        <v>331</v>
      </c>
    </row>
    <row r="32" spans="9:13" x14ac:dyDescent="0.2">
      <c r="I32" t="s">
        <v>322</v>
      </c>
      <c r="J32" s="25">
        <f>D13*PRODUCT(J29:K29)*1000</f>
        <v>10328332.28493762</v>
      </c>
      <c r="K32" s="7" t="s">
        <v>332</v>
      </c>
    </row>
    <row r="33" spans="16:28" x14ac:dyDescent="0.2">
      <c r="X33" s="7" t="s">
        <v>338</v>
      </c>
    </row>
    <row r="34" spans="16:28" x14ac:dyDescent="0.2">
      <c r="P34" s="121" t="s">
        <v>3</v>
      </c>
      <c r="Q34" s="119" t="s">
        <v>310</v>
      </c>
      <c r="R34" s="119"/>
      <c r="S34" s="119"/>
      <c r="T34" s="119"/>
      <c r="U34" s="121" t="s">
        <v>311</v>
      </c>
      <c r="W34" t="s">
        <v>70</v>
      </c>
      <c r="X34" t="str" cm="1">
        <f t="array" ref="X34:AA34">Q35:T35</f>
        <v>0 Months</v>
      </c>
      <c r="Y34" t="str">
        <v>12 Months</v>
      </c>
      <c r="Z34" t="str">
        <v>24 Months</v>
      </c>
      <c r="AA34" t="str">
        <v>36 Months</v>
      </c>
    </row>
    <row r="35" spans="16:28" ht="17" x14ac:dyDescent="0.2">
      <c r="P35" s="121"/>
      <c r="Q35" s="48" t="s">
        <v>318</v>
      </c>
      <c r="R35" s="2" t="s">
        <v>4</v>
      </c>
      <c r="S35" s="2" t="s">
        <v>5</v>
      </c>
      <c r="T35" s="2" t="s">
        <v>6</v>
      </c>
      <c r="U35" s="121"/>
      <c r="W35" s="3" t="s">
        <v>315</v>
      </c>
      <c r="X35" s="5">
        <f>Q52</f>
        <v>0</v>
      </c>
      <c r="Y35" s="5">
        <f>R52</f>
        <v>0.54400000000000004</v>
      </c>
      <c r="Z35" s="5">
        <f>S51</f>
        <v>0.78100000000000003</v>
      </c>
      <c r="AA35" s="9">
        <f>T50</f>
        <v>1</v>
      </c>
    </row>
    <row r="36" spans="16:28" x14ac:dyDescent="0.2">
      <c r="P36" s="15">
        <v>2009</v>
      </c>
      <c r="Q36" s="15">
        <v>0</v>
      </c>
      <c r="R36" s="15">
        <v>350</v>
      </c>
      <c r="S36" s="15">
        <v>700</v>
      </c>
      <c r="T36" s="15">
        <v>850</v>
      </c>
      <c r="U36" s="15">
        <v>850</v>
      </c>
    </row>
    <row r="37" spans="16:28" x14ac:dyDescent="0.2">
      <c r="P37" s="15">
        <v>2010</v>
      </c>
      <c r="Q37" s="15">
        <v>0</v>
      </c>
      <c r="R37" s="15">
        <v>400</v>
      </c>
      <c r="S37" s="15">
        <v>693</v>
      </c>
      <c r="T37" s="15"/>
      <c r="U37" s="15">
        <v>887</v>
      </c>
      <c r="Y37" s="7" t="s">
        <v>342</v>
      </c>
    </row>
    <row r="38" spans="16:28" x14ac:dyDescent="0.2">
      <c r="P38" s="15">
        <v>2011</v>
      </c>
      <c r="Q38" s="15">
        <v>0</v>
      </c>
      <c r="R38" s="15">
        <v>490</v>
      </c>
      <c r="S38" s="15"/>
      <c r="T38" s="15"/>
      <c r="U38" s="15">
        <v>901</v>
      </c>
      <c r="W38" s="121" t="s">
        <v>3</v>
      </c>
      <c r="X38" s="119" t="s">
        <v>336</v>
      </c>
      <c r="Y38" s="119"/>
      <c r="Z38" s="119"/>
      <c r="AA38" s="119"/>
    </row>
    <row r="39" spans="16:28" ht="17" x14ac:dyDescent="0.2">
      <c r="W39" s="121"/>
      <c r="X39" s="48" t="s">
        <v>318</v>
      </c>
      <c r="Y39" s="2" t="s">
        <v>4</v>
      </c>
      <c r="Z39" s="2" t="s">
        <v>5</v>
      </c>
      <c r="AA39" s="2" t="s">
        <v>6</v>
      </c>
    </row>
    <row r="40" spans="16:28" x14ac:dyDescent="0.2">
      <c r="W40" s="15">
        <v>2009</v>
      </c>
      <c r="X40" s="13">
        <f>X$35*$U36</f>
        <v>0</v>
      </c>
      <c r="Y40" s="13">
        <f>Y$35*$U36</f>
        <v>462.40000000000003</v>
      </c>
      <c r="Z40" s="13">
        <f t="shared" ref="Y40:AA41" si="3">Z$35*$U36</f>
        <v>663.85</v>
      </c>
      <c r="AA40" s="13">
        <f>T36</f>
        <v>850</v>
      </c>
    </row>
    <row r="41" spans="16:28" x14ac:dyDescent="0.2">
      <c r="P41" s="121" t="s">
        <v>3</v>
      </c>
      <c r="Q41" s="119" t="s">
        <v>313</v>
      </c>
      <c r="R41" s="119"/>
      <c r="S41" s="119"/>
      <c r="T41" s="119"/>
      <c r="W41" s="15">
        <v>2010</v>
      </c>
      <c r="X41" s="13">
        <f t="shared" ref="X41:Y42" si="4">X$35*$U37</f>
        <v>0</v>
      </c>
      <c r="Y41" s="13">
        <f t="shared" si="4"/>
        <v>482.52800000000002</v>
      </c>
      <c r="Z41" s="13">
        <f>S37</f>
        <v>693</v>
      </c>
      <c r="AA41" s="89" t="s">
        <v>341</v>
      </c>
    </row>
    <row r="42" spans="16:28" ht="17" x14ac:dyDescent="0.2">
      <c r="P42" s="121"/>
      <c r="Q42" s="48" t="s">
        <v>318</v>
      </c>
      <c r="R42" s="2" t="s">
        <v>4</v>
      </c>
      <c r="S42" s="2" t="s">
        <v>5</v>
      </c>
      <c r="T42" s="2" t="s">
        <v>6</v>
      </c>
      <c r="W42" s="15">
        <v>2011</v>
      </c>
      <c r="X42" s="13">
        <f t="shared" si="4"/>
        <v>0</v>
      </c>
      <c r="Y42" s="13">
        <f>R38</f>
        <v>490</v>
      </c>
      <c r="Z42" s="89" t="s">
        <v>340</v>
      </c>
      <c r="AA42" s="32"/>
    </row>
    <row r="43" spans="16:28" x14ac:dyDescent="0.2">
      <c r="P43" s="15">
        <v>2009</v>
      </c>
      <c r="Q43" s="22">
        <v>0</v>
      </c>
      <c r="R43" s="22">
        <v>4200</v>
      </c>
      <c r="S43" s="22">
        <v>8580</v>
      </c>
      <c r="T43" s="22">
        <v>10000</v>
      </c>
      <c r="Y43" s="7" t="s">
        <v>339</v>
      </c>
    </row>
    <row r="44" spans="16:28" x14ac:dyDescent="0.2">
      <c r="P44" s="15">
        <v>2010</v>
      </c>
      <c r="Q44" s="22">
        <v>0</v>
      </c>
      <c r="R44" s="22">
        <v>3950</v>
      </c>
      <c r="S44" s="22">
        <v>7030</v>
      </c>
      <c r="T44" s="15"/>
    </row>
    <row r="45" spans="16:28" ht="16" customHeight="1" x14ac:dyDescent="0.2">
      <c r="P45" s="15">
        <v>2011</v>
      </c>
      <c r="Q45" s="22">
        <v>0</v>
      </c>
      <c r="R45" s="22">
        <v>3900</v>
      </c>
      <c r="S45" s="15"/>
      <c r="T45" s="15"/>
      <c r="W45" s="132"/>
      <c r="X45" s="125"/>
      <c r="Y45" s="133" t="s">
        <v>346</v>
      </c>
      <c r="Z45" s="133" t="s">
        <v>347</v>
      </c>
      <c r="AA45" s="125"/>
    </row>
    <row r="46" spans="16:28" x14ac:dyDescent="0.2">
      <c r="W46" s="121" t="s">
        <v>3</v>
      </c>
      <c r="X46" s="119" t="s">
        <v>337</v>
      </c>
      <c r="Y46" s="119"/>
      <c r="Z46" s="119"/>
      <c r="AA46" s="119"/>
      <c r="AB46" s="2"/>
    </row>
    <row r="47" spans="16:28" ht="17" x14ac:dyDescent="0.2">
      <c r="W47" s="121"/>
      <c r="X47" s="48" t="s">
        <v>318</v>
      </c>
      <c r="Y47" s="2" t="s">
        <v>4</v>
      </c>
      <c r="Z47" s="2" t="s">
        <v>5</v>
      </c>
      <c r="AA47" s="2" t="s">
        <v>6</v>
      </c>
      <c r="AB47" s="4"/>
    </row>
    <row r="48" spans="16:28" x14ac:dyDescent="0.2">
      <c r="P48" s="121" t="s">
        <v>3</v>
      </c>
      <c r="Q48" s="119" t="s">
        <v>314</v>
      </c>
      <c r="R48" s="119"/>
      <c r="S48" s="119"/>
      <c r="T48" s="119"/>
      <c r="W48" s="15">
        <v>2009</v>
      </c>
      <c r="X48" s="13"/>
      <c r="Y48" s="73">
        <f>S59*EXP(T59*Y41)</f>
        <v>4652.0368242502054</v>
      </c>
      <c r="Z48" s="73">
        <f>S59*EXP(T59*Z41)</f>
        <v>7042.3011905357334</v>
      </c>
      <c r="AA48" s="73">
        <f>T43</f>
        <v>10000</v>
      </c>
      <c r="AB48" s="4"/>
    </row>
    <row r="49" spans="16:28" ht="17" x14ac:dyDescent="0.2">
      <c r="P49" s="121"/>
      <c r="Q49" s="48" t="s">
        <v>318</v>
      </c>
      <c r="R49" s="2" t="s">
        <v>4</v>
      </c>
      <c r="S49" s="2" t="s">
        <v>5</v>
      </c>
      <c r="T49" s="2" t="s">
        <v>6</v>
      </c>
      <c r="W49" s="15">
        <v>2010</v>
      </c>
      <c r="X49" s="13"/>
      <c r="Y49" s="73">
        <f>S59*EXP(T59*Y42)</f>
        <v>4721.0205309649773</v>
      </c>
      <c r="Z49" s="73">
        <f>S44</f>
        <v>7030</v>
      </c>
      <c r="AA49" s="89" t="s">
        <v>345</v>
      </c>
      <c r="AB49" s="4"/>
    </row>
    <row r="50" spans="16:28" x14ac:dyDescent="0.2">
      <c r="P50" s="15">
        <v>2009</v>
      </c>
      <c r="Q50" s="15">
        <v>0</v>
      </c>
      <c r="R50" s="15">
        <v>0.41199999999999998</v>
      </c>
      <c r="S50" s="15">
        <v>0.82399999999999995</v>
      </c>
      <c r="T50" s="71">
        <v>1</v>
      </c>
      <c r="W50" s="15">
        <v>2011</v>
      </c>
      <c r="X50" s="13"/>
      <c r="Y50" s="73">
        <f>R45</f>
        <v>3900</v>
      </c>
      <c r="Z50" s="89" t="s">
        <v>344</v>
      </c>
      <c r="AA50" s="32"/>
    </row>
    <row r="51" spans="16:28" x14ac:dyDescent="0.2">
      <c r="P51" s="15">
        <v>2010</v>
      </c>
      <c r="Q51" s="15">
        <v>0</v>
      </c>
      <c r="R51" s="15">
        <v>0.45100000000000001</v>
      </c>
      <c r="S51" s="15">
        <v>0.78100000000000003</v>
      </c>
      <c r="T51" s="15"/>
      <c r="Y51" s="7" t="s">
        <v>343</v>
      </c>
    </row>
    <row r="52" spans="16:28" x14ac:dyDescent="0.2">
      <c r="P52" s="15">
        <v>2011</v>
      </c>
      <c r="Q52" s="15">
        <v>0</v>
      </c>
      <c r="R52" s="15">
        <v>0.54400000000000004</v>
      </c>
      <c r="S52" s="15"/>
      <c r="T52" s="15"/>
    </row>
    <row r="55" spans="16:28" x14ac:dyDescent="0.2">
      <c r="P55" s="121" t="s">
        <v>3</v>
      </c>
      <c r="Q55" s="119" t="s">
        <v>333</v>
      </c>
      <c r="R55" s="119"/>
      <c r="S55" s="119"/>
      <c r="T55" s="119"/>
      <c r="U55" s="119"/>
      <c r="V55" s="119"/>
    </row>
    <row r="56" spans="16:28" x14ac:dyDescent="0.2">
      <c r="P56" s="121"/>
      <c r="Q56" s="119" t="s">
        <v>4</v>
      </c>
      <c r="R56" s="119"/>
      <c r="S56" s="119" t="s">
        <v>5</v>
      </c>
      <c r="T56" s="119"/>
      <c r="U56" s="119" t="s">
        <v>6</v>
      </c>
      <c r="V56" s="119"/>
    </row>
    <row r="57" spans="16:28" x14ac:dyDescent="0.2">
      <c r="P57" s="121"/>
      <c r="Q57" s="2" t="s">
        <v>334</v>
      </c>
      <c r="R57" s="2" t="s">
        <v>335</v>
      </c>
      <c r="S57" s="2" t="s">
        <v>334</v>
      </c>
      <c r="T57" s="2" t="s">
        <v>335</v>
      </c>
      <c r="U57" s="2" t="s">
        <v>334</v>
      </c>
      <c r="V57" s="2" t="s">
        <v>335</v>
      </c>
    </row>
    <row r="58" spans="16:28" x14ac:dyDescent="0.2">
      <c r="P58" s="15">
        <v>2009</v>
      </c>
      <c r="S58" s="124">
        <v>1392.49</v>
      </c>
      <c r="T58" s="131">
        <v>2.5999999999999999E-3</v>
      </c>
      <c r="U58" s="124">
        <v>4198.5</v>
      </c>
      <c r="V58" s="131">
        <v>1.0200000000000001E-3</v>
      </c>
    </row>
    <row r="59" spans="16:28" x14ac:dyDescent="0.2">
      <c r="P59" s="15">
        <v>2010</v>
      </c>
      <c r="S59" s="124">
        <v>1798.09</v>
      </c>
      <c r="T59" s="131">
        <v>1.97E-3</v>
      </c>
      <c r="U59" s="124"/>
      <c r="V59" s="131"/>
    </row>
  </sheetData>
  <mergeCells count="25">
    <mergeCell ref="W38:W39"/>
    <mergeCell ref="X38:AA38"/>
    <mergeCell ref="W46:W47"/>
    <mergeCell ref="X46:AA46"/>
    <mergeCell ref="P55:P57"/>
    <mergeCell ref="U56:V56"/>
    <mergeCell ref="S56:T56"/>
    <mergeCell ref="Q56:R56"/>
    <mergeCell ref="Q55:V55"/>
    <mergeCell ref="Q34:T34"/>
    <mergeCell ref="U34:U35"/>
    <mergeCell ref="P41:P42"/>
    <mergeCell ref="Q41:T41"/>
    <mergeCell ref="P48:P49"/>
    <mergeCell ref="Q48:T48"/>
    <mergeCell ref="J22:K22"/>
    <mergeCell ref="J15:L15"/>
    <mergeCell ref="P34:P35"/>
    <mergeCell ref="C9:F9"/>
    <mergeCell ref="J2:M2"/>
    <mergeCell ref="C2:F2"/>
    <mergeCell ref="B2:B3"/>
    <mergeCell ref="G2:G3"/>
    <mergeCell ref="B9:B10"/>
    <mergeCell ref="I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07D5-7044-6F4F-8070-4752998513AA}">
  <dimension ref="B2:J39"/>
  <sheetViews>
    <sheetView zoomScale="89" workbookViewId="0">
      <selection activeCell="Q44" sqref="Q44"/>
    </sheetView>
  </sheetViews>
  <sheetFormatPr baseColWidth="10" defaultRowHeight="16" x14ac:dyDescent="0.2"/>
  <cols>
    <col min="3" max="5" width="13.83203125" bestFit="1" customWidth="1"/>
    <col min="7" max="7" width="11.83203125" customWidth="1"/>
    <col min="8" max="10" width="15" customWidth="1"/>
  </cols>
  <sheetData>
    <row r="2" spans="2:10" x14ac:dyDescent="0.2">
      <c r="B2" s="121" t="s">
        <v>3</v>
      </c>
      <c r="C2" s="119" t="s">
        <v>84</v>
      </c>
      <c r="D2" s="119"/>
      <c r="E2" s="119"/>
      <c r="G2" s="121" t="s">
        <v>3</v>
      </c>
      <c r="H2" s="119" t="s">
        <v>349</v>
      </c>
      <c r="I2" s="119"/>
      <c r="J2" s="119"/>
    </row>
    <row r="3" spans="2:10" x14ac:dyDescent="0.2">
      <c r="B3" s="121"/>
      <c r="C3" s="2" t="s">
        <v>4</v>
      </c>
      <c r="D3" s="2" t="s">
        <v>5</v>
      </c>
      <c r="E3" s="2" t="s">
        <v>6</v>
      </c>
      <c r="G3" s="121"/>
      <c r="H3" s="2" t="s">
        <v>4</v>
      </c>
      <c r="I3" s="2" t="s">
        <v>5</v>
      </c>
      <c r="J3" s="2" t="s">
        <v>6</v>
      </c>
    </row>
    <row r="4" spans="2:10" x14ac:dyDescent="0.2">
      <c r="B4" s="15">
        <v>2009</v>
      </c>
      <c r="C4" s="33">
        <v>9931</v>
      </c>
      <c r="D4" s="33">
        <v>11583</v>
      </c>
      <c r="E4" s="33">
        <v>13053</v>
      </c>
      <c r="G4" s="15">
        <v>2009</v>
      </c>
      <c r="H4" s="136">
        <f>(C4-C11)/C18</f>
        <v>18.028985507246375</v>
      </c>
      <c r="I4" s="136">
        <f t="shared" ref="I4:J4" si="0">(D4-D11)/D18</f>
        <v>16.982035928143713</v>
      </c>
      <c r="J4" s="136">
        <f t="shared" si="0"/>
        <v>23.166666666666668</v>
      </c>
    </row>
    <row r="5" spans="2:10" x14ac:dyDescent="0.2">
      <c r="B5" s="15">
        <v>2010</v>
      </c>
      <c r="C5" s="33">
        <v>12967</v>
      </c>
      <c r="D5" s="33">
        <v>17391</v>
      </c>
      <c r="E5" s="33"/>
      <c r="G5" s="15">
        <v>2010</v>
      </c>
      <c r="H5" s="136">
        <f t="shared" ref="H5:I5" si="1">(C5-C12)/C19</f>
        <v>19.044088176352705</v>
      </c>
      <c r="I5" s="136">
        <f t="shared" si="1"/>
        <v>23.985714285714284</v>
      </c>
      <c r="J5" s="135"/>
    </row>
    <row r="6" spans="2:10" x14ac:dyDescent="0.2">
      <c r="B6" s="15">
        <v>2011</v>
      </c>
      <c r="C6" s="33">
        <v>12924</v>
      </c>
      <c r="D6" s="33"/>
      <c r="E6" s="33"/>
      <c r="G6" s="15">
        <v>2011</v>
      </c>
      <c r="H6" s="136">
        <f>(C6-C13)/C20</f>
        <v>22.519540229885056</v>
      </c>
      <c r="I6" s="138" t="s">
        <v>357</v>
      </c>
      <c r="J6" s="135"/>
    </row>
    <row r="9" spans="2:10" x14ac:dyDescent="0.2">
      <c r="B9" s="121" t="s">
        <v>3</v>
      </c>
      <c r="C9" s="119" t="s">
        <v>312</v>
      </c>
      <c r="D9" s="119"/>
      <c r="E9" s="119"/>
      <c r="G9" s="121" t="s">
        <v>3</v>
      </c>
      <c r="H9" s="119" t="s">
        <v>349</v>
      </c>
      <c r="I9" s="119"/>
      <c r="J9" s="119"/>
    </row>
    <row r="10" spans="2:10" x14ac:dyDescent="0.2">
      <c r="B10" s="121"/>
      <c r="C10" s="2" t="s">
        <v>4</v>
      </c>
      <c r="D10" s="2" t="s">
        <v>5</v>
      </c>
      <c r="E10" s="2" t="s">
        <v>6</v>
      </c>
      <c r="G10" s="121"/>
      <c r="H10" s="2" t="s">
        <v>4</v>
      </c>
      <c r="I10" s="2" t="s">
        <v>5</v>
      </c>
      <c r="J10" s="2" t="s">
        <v>6</v>
      </c>
    </row>
    <row r="11" spans="2:10" x14ac:dyDescent="0.2">
      <c r="B11" s="15">
        <v>2009</v>
      </c>
      <c r="C11" s="33">
        <v>3711</v>
      </c>
      <c r="D11" s="33">
        <v>8747</v>
      </c>
      <c r="E11" s="33">
        <v>12358</v>
      </c>
      <c r="G11" s="15" t="s">
        <v>350</v>
      </c>
      <c r="H11" s="137">
        <f>H5/H4-1</f>
        <v>5.6303926180335084E-2</v>
      </c>
      <c r="I11" s="137">
        <f>I5/I4-1</f>
        <v>0.41241688494861961</v>
      </c>
      <c r="J11" s="136"/>
    </row>
    <row r="12" spans="2:10" x14ac:dyDescent="0.2">
      <c r="B12" s="15">
        <v>2010</v>
      </c>
      <c r="C12" s="33">
        <v>3464</v>
      </c>
      <c r="D12" s="33">
        <v>8996</v>
      </c>
      <c r="E12" s="33"/>
      <c r="G12" s="15" t="s">
        <v>351</v>
      </c>
      <c r="H12" s="137">
        <f>H6/H5-1</f>
        <v>0.18249506205541866</v>
      </c>
      <c r="I12" s="139" t="s">
        <v>358</v>
      </c>
      <c r="J12" s="135"/>
    </row>
    <row r="13" spans="2:10" x14ac:dyDescent="0.2">
      <c r="B13" s="15">
        <v>2011</v>
      </c>
      <c r="C13" s="33">
        <v>3128</v>
      </c>
      <c r="D13" s="33"/>
      <c r="E13" s="33"/>
      <c r="G13" s="15"/>
      <c r="H13" s="136"/>
      <c r="I13" s="135"/>
      <c r="J13" s="135"/>
    </row>
    <row r="14" spans="2:10" x14ac:dyDescent="0.2">
      <c r="G14" s="1" t="s">
        <v>352</v>
      </c>
      <c r="H14" s="1"/>
    </row>
    <row r="16" spans="2:10" x14ac:dyDescent="0.2">
      <c r="B16" s="121" t="s">
        <v>3</v>
      </c>
      <c r="C16" s="119" t="s">
        <v>348</v>
      </c>
      <c r="D16" s="119"/>
      <c r="E16" s="119"/>
      <c r="G16" s="121" t="s">
        <v>3</v>
      </c>
      <c r="H16" s="119" t="s">
        <v>353</v>
      </c>
      <c r="I16" s="119"/>
      <c r="J16" s="119"/>
    </row>
    <row r="17" spans="2:10" x14ac:dyDescent="0.2">
      <c r="B17" s="121"/>
      <c r="C17" s="2" t="s">
        <v>4</v>
      </c>
      <c r="D17" s="2" t="s">
        <v>5</v>
      </c>
      <c r="E17" s="2" t="s">
        <v>6</v>
      </c>
      <c r="G17" s="121"/>
      <c r="H17" s="2" t="s">
        <v>4</v>
      </c>
      <c r="I17" s="2" t="s">
        <v>5</v>
      </c>
      <c r="J17" s="2" t="s">
        <v>6</v>
      </c>
    </row>
    <row r="18" spans="2:10" x14ac:dyDescent="0.2">
      <c r="B18" s="15">
        <v>2009</v>
      </c>
      <c r="C18" s="15">
        <v>345</v>
      </c>
      <c r="D18" s="15">
        <v>167</v>
      </c>
      <c r="E18" s="15">
        <v>30</v>
      </c>
      <c r="G18" s="15">
        <v>2009</v>
      </c>
      <c r="H18" s="136">
        <f>H$6*(1+$C$23)^($G18+(VALUE(LEFT(H$17,2))/12-1)-$G$20)</f>
        <v>19.306876054428201</v>
      </c>
      <c r="I18" s="136">
        <f>I$5*(1+$C$23)^($G18+(VALUE(LEFT(I$17,2))/12-1)-$G$20)</f>
        <v>22.208994708994705</v>
      </c>
      <c r="J18" s="136">
        <f>J$4*(1+$C$23)^($G18+(VALUE(LEFT(J$17,2))/12-1)-$G$20)</f>
        <v>23.166666666666668</v>
      </c>
    </row>
    <row r="19" spans="2:10" x14ac:dyDescent="0.2">
      <c r="B19" s="15">
        <v>2010</v>
      </c>
      <c r="C19" s="15">
        <v>499</v>
      </c>
      <c r="D19" s="15">
        <v>350</v>
      </c>
      <c r="E19" s="15"/>
      <c r="G19" s="15">
        <v>2010</v>
      </c>
      <c r="H19" s="136">
        <f t="shared" ref="H19" si="2">H$6*(1+$C$23)^($G19+(VALUE(LEFT(H$17,2))/12-1)-$G$20)</f>
        <v>20.851426138782458</v>
      </c>
      <c r="I19" s="136">
        <f>I$5*(1+$C$23)^($G19+(VALUE(LEFT(I$17,2))/12-1)-$G$20)</f>
        <v>23.985714285714284</v>
      </c>
      <c r="J19" s="138" t="s">
        <v>361</v>
      </c>
    </row>
    <row r="20" spans="2:10" x14ac:dyDescent="0.2">
      <c r="B20" s="15">
        <v>2011</v>
      </c>
      <c r="C20" s="15">
        <v>435</v>
      </c>
      <c r="D20" s="15"/>
      <c r="E20" s="15"/>
      <c r="G20" s="15">
        <v>2011</v>
      </c>
      <c r="H20" s="136">
        <f>H$6*(1+$C$23)^($G20+(VALUE(LEFT(H$17,2))/12-1)-$G$20)</f>
        <v>22.519540229885056</v>
      </c>
      <c r="I20" s="138" t="s">
        <v>360</v>
      </c>
      <c r="J20" s="135"/>
    </row>
    <row r="21" spans="2:10" x14ac:dyDescent="0.2">
      <c r="H21" s="7" t="s">
        <v>359</v>
      </c>
    </row>
    <row r="23" spans="2:10" x14ac:dyDescent="0.2">
      <c r="B23" s="12" t="s">
        <v>266</v>
      </c>
      <c r="C23" s="77">
        <v>0.08</v>
      </c>
      <c r="G23" s="121" t="s">
        <v>3</v>
      </c>
      <c r="H23" s="119" t="s">
        <v>354</v>
      </c>
      <c r="I23" s="119"/>
      <c r="J23" s="119"/>
    </row>
    <row r="24" spans="2:10" x14ac:dyDescent="0.2">
      <c r="G24" s="121"/>
      <c r="H24" s="2" t="s">
        <v>4</v>
      </c>
      <c r="I24" s="2" t="s">
        <v>5</v>
      </c>
      <c r="J24" s="2" t="s">
        <v>6</v>
      </c>
    </row>
    <row r="25" spans="2:10" x14ac:dyDescent="0.2">
      <c r="G25" s="15">
        <v>2009</v>
      </c>
      <c r="H25" s="135">
        <f>H18*C18+C11</f>
        <v>10371.872238777731</v>
      </c>
      <c r="I25" s="135">
        <f t="shared" ref="I25" si="3">I18*D18+D11</f>
        <v>12455.902116402116</v>
      </c>
      <c r="J25" s="135">
        <f>J18*E18+E11</f>
        <v>13053</v>
      </c>
    </row>
    <row r="26" spans="2:10" x14ac:dyDescent="0.2">
      <c r="G26" s="15">
        <v>2010</v>
      </c>
      <c r="H26" s="135">
        <f t="shared" ref="H26:I26" si="4">H19*C19+C12</f>
        <v>13868.861643252447</v>
      </c>
      <c r="I26" s="135">
        <f t="shared" si="4"/>
        <v>17391</v>
      </c>
      <c r="J26" s="33"/>
    </row>
    <row r="27" spans="2:10" x14ac:dyDescent="0.2">
      <c r="G27" s="15">
        <v>2011</v>
      </c>
      <c r="H27" s="135">
        <f>H20*C20+C13</f>
        <v>12924</v>
      </c>
      <c r="I27" s="138" t="s">
        <v>362</v>
      </c>
      <c r="J27" s="33"/>
    </row>
    <row r="28" spans="2:10" x14ac:dyDescent="0.2">
      <c r="G28" s="1" t="s">
        <v>355</v>
      </c>
      <c r="I28" s="1"/>
    </row>
    <row r="30" spans="2:10" x14ac:dyDescent="0.2">
      <c r="G30" s="121" t="s">
        <v>3</v>
      </c>
      <c r="H30" s="119" t="s">
        <v>356</v>
      </c>
      <c r="I30" s="119"/>
      <c r="J30" s="125"/>
    </row>
    <row r="31" spans="2:10" x14ac:dyDescent="0.2">
      <c r="G31" s="121"/>
      <c r="H31" s="2" t="s">
        <v>320</v>
      </c>
      <c r="I31" s="2" t="s">
        <v>321</v>
      </c>
      <c r="J31" s="2"/>
    </row>
    <row r="32" spans="2:10" x14ac:dyDescent="0.2">
      <c r="G32" s="15">
        <v>2009</v>
      </c>
      <c r="H32" s="8">
        <f>I25/H25</f>
        <v>1.2009309244894804</v>
      </c>
      <c r="I32" s="8">
        <f>J25/I25</f>
        <v>1.0479369441103441</v>
      </c>
      <c r="J32" s="135"/>
    </row>
    <row r="33" spans="7:10" x14ac:dyDescent="0.2">
      <c r="G33" s="15">
        <v>2010</v>
      </c>
      <c r="H33" s="8">
        <f>I26/H26</f>
        <v>1.2539601625098886</v>
      </c>
      <c r="I33" s="128" t="s">
        <v>363</v>
      </c>
      <c r="J33" s="33"/>
    </row>
    <row r="34" spans="7:10" x14ac:dyDescent="0.2">
      <c r="I34" s="33"/>
      <c r="J34" s="33"/>
    </row>
    <row r="35" spans="7:10" x14ac:dyDescent="0.2">
      <c r="G35" s="15" t="s">
        <v>26</v>
      </c>
      <c r="H35" s="8">
        <f>AVERAGE(H32:H33)</f>
        <v>1.2274455434996845</v>
      </c>
      <c r="I35" s="8">
        <f>AVERAGE(I32:I33)</f>
        <v>1.0479369441103441</v>
      </c>
    </row>
    <row r="36" spans="7:10" x14ac:dyDescent="0.2">
      <c r="H36" s="7" t="s">
        <v>364</v>
      </c>
    </row>
    <row r="37" spans="7:10" x14ac:dyDescent="0.2">
      <c r="H37" s="1"/>
    </row>
    <row r="38" spans="7:10" x14ac:dyDescent="0.2">
      <c r="G38" s="12" t="s">
        <v>322</v>
      </c>
      <c r="H38" s="25">
        <f>H27*PRODUCT(H35:I35)*1000</f>
        <v>16623954.214494271</v>
      </c>
    </row>
    <row r="39" spans="7:10" x14ac:dyDescent="0.2">
      <c r="H39" s="7" t="s">
        <v>365</v>
      </c>
    </row>
  </sheetData>
  <mergeCells count="16">
    <mergeCell ref="G23:G24"/>
    <mergeCell ref="H23:J23"/>
    <mergeCell ref="G30:G31"/>
    <mergeCell ref="H30:I30"/>
    <mergeCell ref="G2:G3"/>
    <mergeCell ref="H2:J2"/>
    <mergeCell ref="G9:G10"/>
    <mergeCell ref="H9:J9"/>
    <mergeCell ref="G16:G17"/>
    <mergeCell ref="H16:J16"/>
    <mergeCell ref="B2:B3"/>
    <mergeCell ref="C2:E2"/>
    <mergeCell ref="B9:B10"/>
    <mergeCell ref="C9:E9"/>
    <mergeCell ref="B16:B17"/>
    <mergeCell ref="C16:E16"/>
  </mergeCells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6A7-C8AA-ED46-A2E2-725744060BCF}">
  <dimension ref="B1:U34"/>
  <sheetViews>
    <sheetView tabSelected="1" topLeftCell="M14" workbookViewId="0">
      <selection activeCell="AC47" sqref="AC47"/>
    </sheetView>
  </sheetViews>
  <sheetFormatPr baseColWidth="10" defaultRowHeight="16" x14ac:dyDescent="0.2"/>
  <cols>
    <col min="2" max="2" width="14.6640625" bestFit="1" customWidth="1"/>
    <col min="3" max="3" width="23.5" bestFit="1" customWidth="1"/>
    <col min="4" max="4" width="27" bestFit="1" customWidth="1"/>
    <col min="5" max="5" width="10.83203125" customWidth="1"/>
    <col min="7" max="7" width="14.6640625" bestFit="1" customWidth="1"/>
    <col min="9" max="9" width="14.6640625" bestFit="1" customWidth="1"/>
    <col min="10" max="10" width="14.6640625" customWidth="1"/>
    <col min="11" max="11" width="37.83203125" bestFit="1" customWidth="1"/>
    <col min="14" max="14" width="14.6640625" bestFit="1" customWidth="1"/>
    <col min="15" max="15" width="23.5" bestFit="1" customWidth="1"/>
    <col min="16" max="16" width="27" bestFit="1" customWidth="1"/>
    <col min="19" max="19" width="11.83203125" customWidth="1"/>
    <col min="20" max="20" width="12.6640625" bestFit="1" customWidth="1"/>
  </cols>
  <sheetData>
    <row r="1" spans="2:18" x14ac:dyDescent="0.2">
      <c r="I1" s="7" t="s">
        <v>377</v>
      </c>
    </row>
    <row r="2" spans="2:18" x14ac:dyDescent="0.2">
      <c r="E2" s="7" t="s">
        <v>373</v>
      </c>
      <c r="G2" s="7" t="s">
        <v>375</v>
      </c>
      <c r="K2" s="7" t="s">
        <v>379</v>
      </c>
    </row>
    <row r="3" spans="2:18" x14ac:dyDescent="0.2">
      <c r="B3" s="39" t="s">
        <v>3</v>
      </c>
      <c r="C3" s="39" t="s">
        <v>366</v>
      </c>
      <c r="D3" s="39" t="s">
        <v>200</v>
      </c>
      <c r="E3" s="39" t="s">
        <v>70</v>
      </c>
      <c r="F3" s="39" t="s">
        <v>368</v>
      </c>
      <c r="G3" s="39" t="s">
        <v>124</v>
      </c>
      <c r="H3" s="39" t="s">
        <v>369</v>
      </c>
      <c r="I3" s="39" t="s">
        <v>124</v>
      </c>
      <c r="J3" s="39" t="s">
        <v>372</v>
      </c>
      <c r="K3" s="39" t="s">
        <v>386</v>
      </c>
    </row>
    <row r="4" spans="2:18" x14ac:dyDescent="0.2">
      <c r="B4" s="15">
        <v>2020</v>
      </c>
      <c r="C4" s="16">
        <v>410000</v>
      </c>
      <c r="D4" s="16">
        <v>345000</v>
      </c>
      <c r="E4" s="140">
        <f>($C$16-B4+1)*12</f>
        <v>36</v>
      </c>
      <c r="F4" s="5">
        <f>($C$18-B4)*12</f>
        <v>48</v>
      </c>
      <c r="G4" s="5">
        <f>_xlfn.XLOOKUP(F4,$B$10:$B$14,$C$10:$C$14)</f>
        <v>1.1499999999999999</v>
      </c>
      <c r="H4" s="5">
        <f>($C$18-B4+1)*12</f>
        <v>60</v>
      </c>
      <c r="I4" s="5">
        <f>_xlfn.XLOOKUP(H4,$B$10:$B$14,$C$10:$C$14)</f>
        <v>1.05</v>
      </c>
      <c r="J4" s="5">
        <f>_xlfn.XLOOKUP(E4,$B$10:$B$14,$C$10:$C$14)</f>
        <v>1.35</v>
      </c>
      <c r="K4" s="18">
        <f>(C4-D4)*(1/I4-1/G4)/(1-1/J4)</f>
        <v>20763.087843833149</v>
      </c>
    </row>
    <row r="5" spans="2:18" x14ac:dyDescent="0.2">
      <c r="B5" s="15">
        <v>2021</v>
      </c>
      <c r="C5" s="16">
        <v>390000</v>
      </c>
      <c r="D5" s="16">
        <v>300000</v>
      </c>
      <c r="E5" s="140">
        <f t="shared" ref="E5:E6" si="0">($C$16-B5+1)*12</f>
        <v>24</v>
      </c>
      <c r="F5" s="5">
        <f t="shared" ref="F5:F6" si="1">($C$18-B5)*12</f>
        <v>36</v>
      </c>
      <c r="G5" s="5">
        <f t="shared" ref="G5:I6" si="2">_xlfn.XLOOKUP(F5,$B$10:$B$14,$C$10:$C$14)</f>
        <v>1.35</v>
      </c>
      <c r="H5" s="5">
        <f t="shared" ref="H5" si="3">($C$18-B5+1)*12</f>
        <v>48</v>
      </c>
      <c r="I5" s="5">
        <f t="shared" si="2"/>
        <v>1.1499999999999999</v>
      </c>
      <c r="J5" s="5">
        <f t="shared" ref="J5" si="4">_xlfn.XLOOKUP(E5,$B$10:$B$14,$C$10:$C$14)</f>
        <v>1.6</v>
      </c>
      <c r="K5" s="18">
        <f t="shared" ref="K5:K6" si="5">(C5-D5)*(1/I5-1/G5)/(1-1/J5)</f>
        <v>30917.874396135299</v>
      </c>
    </row>
    <row r="6" spans="2:18" x14ac:dyDescent="0.2">
      <c r="B6" s="15">
        <v>2022</v>
      </c>
      <c r="C6" s="16">
        <v>400000</v>
      </c>
      <c r="D6" s="16">
        <v>235000</v>
      </c>
      <c r="E6" s="140">
        <f t="shared" si="0"/>
        <v>12</v>
      </c>
      <c r="F6" s="5">
        <f t="shared" si="1"/>
        <v>24</v>
      </c>
      <c r="G6" s="5">
        <f t="shared" si="2"/>
        <v>1.6</v>
      </c>
      <c r="H6" s="5">
        <f>($C$18-B6+1)*12</f>
        <v>36</v>
      </c>
      <c r="I6" s="5">
        <f t="shared" si="2"/>
        <v>1.35</v>
      </c>
      <c r="J6" s="5">
        <f>_xlfn.XLOOKUP(E6,$B$10:$B$14,$C$10:$C$14)</f>
        <v>2</v>
      </c>
      <c r="K6" s="18">
        <f t="shared" si="5"/>
        <v>38194.444444444431</v>
      </c>
    </row>
    <row r="7" spans="2:18" x14ac:dyDescent="0.2">
      <c r="F7" s="7" t="s">
        <v>374</v>
      </c>
      <c r="H7" s="7" t="s">
        <v>376</v>
      </c>
      <c r="J7" s="7" t="s">
        <v>378</v>
      </c>
    </row>
    <row r="9" spans="2:18" x14ac:dyDescent="0.2">
      <c r="B9" s="39" t="s">
        <v>367</v>
      </c>
      <c r="C9" s="39" t="s">
        <v>124</v>
      </c>
    </row>
    <row r="10" spans="2:18" x14ac:dyDescent="0.2">
      <c r="B10" s="15">
        <v>12</v>
      </c>
      <c r="C10" s="15">
        <v>2</v>
      </c>
      <c r="J10" s="12" t="s">
        <v>277</v>
      </c>
      <c r="K10" s="142">
        <f>SUM(K4:K6)</f>
        <v>89875.406684412883</v>
      </c>
    </row>
    <row r="11" spans="2:18" x14ac:dyDescent="0.2">
      <c r="B11" s="15">
        <v>24</v>
      </c>
      <c r="C11" s="15">
        <v>1.6</v>
      </c>
      <c r="K11" s="7" t="s">
        <v>380</v>
      </c>
    </row>
    <row r="12" spans="2:18" x14ac:dyDescent="0.2">
      <c r="B12" s="15">
        <v>36</v>
      </c>
      <c r="C12" s="15">
        <v>1.35</v>
      </c>
    </row>
    <row r="13" spans="2:18" x14ac:dyDescent="0.2">
      <c r="B13" s="15">
        <v>48</v>
      </c>
      <c r="C13" s="15">
        <v>1.1499999999999999</v>
      </c>
    </row>
    <row r="14" spans="2:18" x14ac:dyDescent="0.2">
      <c r="B14" s="15">
        <v>60</v>
      </c>
      <c r="C14" s="15">
        <v>1.05</v>
      </c>
    </row>
    <row r="15" spans="2:18" x14ac:dyDescent="0.2">
      <c r="B15" s="15"/>
      <c r="C15" s="15"/>
    </row>
    <row r="16" spans="2:18" x14ac:dyDescent="0.2">
      <c r="B16" s="12" t="s">
        <v>371</v>
      </c>
      <c r="C16" s="134">
        <v>2022</v>
      </c>
      <c r="R16" s="7" t="s">
        <v>387</v>
      </c>
    </row>
    <row r="17" spans="2:21" x14ac:dyDescent="0.2">
      <c r="N17" s="39" t="s">
        <v>3</v>
      </c>
      <c r="O17" s="39" t="s">
        <v>366</v>
      </c>
      <c r="P17" s="39" t="s">
        <v>64</v>
      </c>
      <c r="R17" s="12" t="s">
        <v>70</v>
      </c>
      <c r="S17" t="s">
        <v>372</v>
      </c>
    </row>
    <row r="18" spans="2:21" x14ac:dyDescent="0.2">
      <c r="B18" s="12" t="s">
        <v>370</v>
      </c>
      <c r="C18" s="134">
        <v>2024</v>
      </c>
      <c r="N18" s="15">
        <v>2020</v>
      </c>
      <c r="O18" s="16">
        <v>410000</v>
      </c>
      <c r="P18" s="16">
        <v>245000</v>
      </c>
      <c r="R18" s="5">
        <f>(O31-N19+1)*12</f>
        <v>24</v>
      </c>
      <c r="S18" s="5">
        <f>_xlfn.XLOOKUP(R18,$N$24:$N$28,$O$24:$O$28)</f>
        <v>2.0499999999999998</v>
      </c>
    </row>
    <row r="19" spans="2:21" x14ac:dyDescent="0.2">
      <c r="N19" s="15">
        <v>2021</v>
      </c>
      <c r="O19" s="16">
        <v>390000</v>
      </c>
      <c r="P19" s="16">
        <v>200000</v>
      </c>
      <c r="S19" s="7" t="s">
        <v>388</v>
      </c>
    </row>
    <row r="20" spans="2:21" x14ac:dyDescent="0.2">
      <c r="N20" s="15">
        <v>2022</v>
      </c>
      <c r="O20" s="16">
        <v>400000</v>
      </c>
      <c r="P20" s="16">
        <v>135000</v>
      </c>
    </row>
    <row r="22" spans="2:21" x14ac:dyDescent="0.2">
      <c r="S22" t="s">
        <v>385</v>
      </c>
      <c r="T22" t="s">
        <v>124</v>
      </c>
    </row>
    <row r="23" spans="2:21" x14ac:dyDescent="0.2">
      <c r="N23" s="39" t="s">
        <v>367</v>
      </c>
      <c r="O23" s="39" t="s">
        <v>124</v>
      </c>
      <c r="Q23" s="143" t="s">
        <v>390</v>
      </c>
      <c r="R23" s="12" t="s">
        <v>384</v>
      </c>
      <c r="S23" s="14">
        <f>(YEAR($O$34)-$N$19-1)*12</f>
        <v>24</v>
      </c>
      <c r="T23" s="5">
        <f>_xlfn.XLOOKUP(S23,$N$24:$N$28,$O$24:$O$28)</f>
        <v>2.0499999999999998</v>
      </c>
    </row>
    <row r="24" spans="2:21" x14ac:dyDescent="0.2">
      <c r="N24" s="15">
        <v>12</v>
      </c>
      <c r="O24" s="15">
        <v>2.5</v>
      </c>
      <c r="Q24" s="143" t="s">
        <v>389</v>
      </c>
      <c r="R24" s="12" t="s">
        <v>382</v>
      </c>
      <c r="S24" s="14">
        <f>(YEAR($O$34)-$N$19)*12</f>
        <v>36</v>
      </c>
      <c r="T24" s="5">
        <f>_xlfn.XLOOKUP(S24,$N$24:$N$28,$O$24:$O$28)</f>
        <v>1.75</v>
      </c>
      <c r="U24" s="7" t="s">
        <v>392</v>
      </c>
    </row>
    <row r="25" spans="2:21" x14ac:dyDescent="0.2">
      <c r="N25" s="15">
        <v>24</v>
      </c>
      <c r="O25" s="15">
        <v>2.0499999999999998</v>
      </c>
      <c r="Q25" s="143" t="s">
        <v>391</v>
      </c>
      <c r="R25" s="12" t="s">
        <v>383</v>
      </c>
      <c r="S25" s="14">
        <f>(YEAR($O$34)-$N$19+1)*12</f>
        <v>48</v>
      </c>
      <c r="T25" s="5">
        <f t="shared" ref="T24:T25" si="6">_xlfn.XLOOKUP(S25,$N$24:$N$28,$O$24:$O$28)</f>
        <v>1.4</v>
      </c>
    </row>
    <row r="26" spans="2:21" x14ac:dyDescent="0.2">
      <c r="N26" s="15">
        <v>36</v>
      </c>
      <c r="O26" s="15">
        <v>1.75</v>
      </c>
    </row>
    <row r="27" spans="2:21" x14ac:dyDescent="0.2">
      <c r="N27" s="15">
        <v>48</v>
      </c>
      <c r="O27" s="15">
        <v>1.4</v>
      </c>
      <c r="R27" s="145" t="s">
        <v>395</v>
      </c>
    </row>
    <row r="28" spans="2:21" x14ac:dyDescent="0.2">
      <c r="N28" s="15">
        <v>60</v>
      </c>
      <c r="O28" s="15">
        <v>1.1499999999999999</v>
      </c>
      <c r="R28" s="144" t="str">
        <f>"AY 2021 Exp Paid Claims between "&amp;$S$23&amp;" - "&amp;S24&amp;" months = "</f>
        <v xml:space="preserve">AY 2021 Exp Paid Claims between 24 - 36 months = </v>
      </c>
      <c r="S28" s="18">
        <f>$P$19+($O$19-$P$19)*(1/T24-1/$T$23)/(1-1/$S$18)</f>
        <v>231020.40816326527</v>
      </c>
      <c r="T28" s="7" t="s">
        <v>393</v>
      </c>
    </row>
    <row r="29" spans="2:21" x14ac:dyDescent="0.2">
      <c r="R29" s="144" t="str">
        <f>"AY 2021 Exp Paid Claims between "&amp;$S$23&amp;" - "&amp;S25&amp;" months = "</f>
        <v xml:space="preserve">AY 2021 Exp Paid Claims between 24 - 48 months = </v>
      </c>
      <c r="S29" s="18">
        <f>$P$19+($O$19-$P$19)*(1/T25-1/$T$23)/(1-1/$S$18)</f>
        <v>284013.60544217686</v>
      </c>
    </row>
    <row r="31" spans="2:21" x14ac:dyDescent="0.2">
      <c r="N31" s="12" t="s">
        <v>371</v>
      </c>
      <c r="O31" s="134">
        <v>2022</v>
      </c>
    </row>
    <row r="32" spans="2:21" x14ac:dyDescent="0.2">
      <c r="R32" s="12" t="str">
        <f>"AY 2021 Exp Paid Claims as of "&amp;S24+MONTH(O34)&amp;" months = "</f>
        <v xml:space="preserve">AY 2021 Exp Paid Claims as of 40 months = </v>
      </c>
      <c r="S32" s="25">
        <f>_xlfn.LET(_xlpm.m,(MONTH(O34)-1)/12,S28*(1-_xlpm.m)+S29*_xlpm.m)</f>
        <v>244268.70748299314</v>
      </c>
      <c r="T32" s="7" t="s">
        <v>394</v>
      </c>
    </row>
    <row r="34" spans="14:15" x14ac:dyDescent="0.2">
      <c r="N34" s="12" t="s">
        <v>381</v>
      </c>
      <c r="O34" s="141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6.1.1</vt:lpstr>
      <vt:lpstr>6.2.1</vt:lpstr>
      <vt:lpstr>6.3.1</vt:lpstr>
      <vt:lpstr>6.4.1</vt:lpstr>
      <vt:lpstr>6.4.2</vt:lpstr>
      <vt:lpstr>6.5.1</vt:lpstr>
      <vt:lpstr>6.6.1</vt:lpstr>
      <vt:lpstr>6.6.2</vt:lpstr>
      <vt:lpstr>6.6.3</vt:lpstr>
      <vt:lpstr>6.7.1</vt:lpstr>
      <vt:lpstr>6.7.2</vt:lpstr>
      <vt:lpstr>7.1.1</vt:lpstr>
      <vt:lpstr>7.1.2</vt:lpstr>
      <vt:lpstr>7.2.1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Gearhart, Colton</dc:creator>
  <cp:lastModifiedBy>Gearhart, Colton</cp:lastModifiedBy>
  <dcterms:created xsi:type="dcterms:W3CDTF">2025-01-24T19:52:59Z</dcterms:created>
  <dcterms:modified xsi:type="dcterms:W3CDTF">2025-08-21T17:30:56Z</dcterms:modified>
</cp:coreProperties>
</file>