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harts/chart4.xml" ContentType="application/vnd.openxmlformats-officedocument.drawingml.chart+xml"/>
  <Override PartName="/xl/comments9.xml" ContentType="application/vnd.openxmlformats-officedocument.spreadsheetml.comments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8960" windowHeight="11835" tabRatio="759" activeTab="6"/>
  </bookViews>
  <sheets>
    <sheet name="MB1-B2" sheetId="11" r:id="rId1"/>
    <sheet name="MB2-kmE28" sheetId="12" r:id="rId2"/>
    <sheet name="MB3" sheetId="14" r:id="rId3"/>
    <sheet name="MB8" sheetId="13" r:id="rId4"/>
    <sheet name="ACC1" sheetId="16" r:id="rId5"/>
    <sheet name="ACC2" sheetId="17" r:id="rId6"/>
    <sheet name="2011.08.29 Pit ACC1" sheetId="7" r:id="rId7"/>
    <sheet name="2011.08.29 PitCore KM14" sheetId="5" r:id="rId8"/>
    <sheet name="2011.08.29 PitCore Taz Divide" sheetId="4" r:id="rId9"/>
  </sheets>
  <externalReferences>
    <externalReference r:id="rId10"/>
    <externalReference r:id="rId11"/>
    <externalReference r:id="rId12"/>
  </externalReferences>
  <definedNames>
    <definedName name="a" localSheetId="6">#REF!</definedName>
    <definedName name="a" localSheetId="7">#REF!</definedName>
    <definedName name="a" localSheetId="8">#REF!</definedName>
    <definedName name="a" localSheetId="4">#REF!</definedName>
    <definedName name="a" localSheetId="5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>#REF!</definedName>
    <definedName name="b" localSheetId="6">#REF!</definedName>
    <definedName name="b" localSheetId="7">#REF!</definedName>
    <definedName name="b" localSheetId="8">#REF!</definedName>
    <definedName name="b" localSheetId="4">#REF!</definedName>
    <definedName name="b" localSheetId="5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>#REF!</definedName>
    <definedName name="BasAlt" localSheetId="6">{1181,1250,1350,1450,1550,1650,1750,1850,1950,2050,2150,2250,2350,2436.5}</definedName>
    <definedName name="BasAlt" localSheetId="7">{1181,1250,1350,1450,1550,1650,1750,1850,1950,2050,2150,2250,2350,2436.5}</definedName>
    <definedName name="BasAlt" localSheetId="8">{1181,1250,1350,1450,1550,1650,1750,1850,1950,2050,2150,2250,2350,2436.5}</definedName>
    <definedName name="BasAlt" localSheetId="4">{1181,1250,1350,1450,1550,1650,1750,1850,1950,2050,2150,2250,2350,2436.5}</definedName>
    <definedName name="BasAlt" localSheetId="5">{1181,1250,1350,1450,1550,1650,1750,1850,1950,2050,2150,2250,2350,2436.5}</definedName>
    <definedName name="BasAlt" localSheetId="0">{1181,1250,1350,1450,1550,1650,1750,1850,1950,2050,2150,2250,2350,2436.5}</definedName>
    <definedName name="BasAlt" localSheetId="1">{1181,1250,1350,1450,1550,1650,1750,1850,1950,2050,2150,2250,2350,2436.5}</definedName>
    <definedName name="BasAlt" localSheetId="2">{1181,1250,1350,1450,1550,1650,1750,1850,1950,2050,2150,2250,2350,2436.5}</definedName>
    <definedName name="BasAlt" localSheetId="3">{1181,1250,1350,1450,1550,1650,1750,1850,1950,2050,2150,2250,2350,2436.5}</definedName>
    <definedName name="BasAlt">{1181,1250,1350,1450,1550,1650,1750,1850,1950,2050,2150,2250,2350,2436.5}</definedName>
    <definedName name="BasAlt2009" localSheetId="6">{1181,1250,1350,1450,1550,1650,1750,1850,1950,2050,2150,2250,2350,2436.5}</definedName>
    <definedName name="BasAlt2009" localSheetId="7">{1181,1250,1350,1450,1550,1650,1750,1850,1950,2050,2150,2250,2350,2436.5}</definedName>
    <definedName name="BasAlt2009" localSheetId="8">{1181,1250,1350,1450,1550,1650,1750,1850,1950,2050,2150,2250,2350,2436.5}</definedName>
    <definedName name="BasAlt2009" localSheetId="4">{1181,1250,1350,1450,1550,1650,1750,1850,1950,2050,2150,2250,2350,2436.5}</definedName>
    <definedName name="BasAlt2009" localSheetId="5">{1181,1250,1350,1450,1550,1650,1750,1850,1950,2050,2150,2250,2350,2436.5}</definedName>
    <definedName name="BasAlt2009" localSheetId="0">{1181,1250,1350,1450,1550,1650,1750,1850,1950,2050,2150,2250,2350,2436.5}</definedName>
    <definedName name="BasAlt2009" localSheetId="1">{1181,1250,1350,1450,1550,1650,1750,1850,1950,2050,2150,2250,2350,2436.5}</definedName>
    <definedName name="BasAlt2009" localSheetId="2">{1181,1250,1350,1450,1550,1650,1750,1850,1950,2050,2150,2250,2350,2436.5}</definedName>
    <definedName name="BasAlt2009" localSheetId="3">{1181,1250,1350,1450,1550,1650,1750,1850,1950,2050,2150,2250,2350,2436.5}</definedName>
    <definedName name="BasAlt2009">{1181,1250,1350,1450,1550,1650,1750,1850,1950,2050,2150,2250,2350,2436.5}</definedName>
    <definedName name="Cerr">5</definedName>
    <definedName name="CSerr">10</definedName>
    <definedName name="DATA">'[1]Stake A'!$A$103:$CC$165</definedName>
    <definedName name="_xlnm.Data_Form">#NAME?</definedName>
    <definedName name="GlacAlt" localSheetId="6">{1181,1250,1350,1450,1550,1650,1750,1850,1950,2050,2150,2250,2350,2436.5}</definedName>
    <definedName name="GlacAlt" localSheetId="7">{1181,1250,1350,1450,1550,1650,1750,1850,1950,2050,2150,2250,2350,2436.5}</definedName>
    <definedName name="GlacAlt" localSheetId="8">{1181,1250,1350,1450,1550,1650,1750,1850,1950,2050,2150,2250,2350,2436.5}</definedName>
    <definedName name="GlacAlt" localSheetId="4">{1181,1250,1350,1450,1550,1650,1750,1850,1950,2050,2150,2250,2350,2436.5}</definedName>
    <definedName name="GlacAlt" localSheetId="5">{1181,1250,1350,1450,1550,1650,1750,1850,1950,2050,2150,2250,2350,2436.5}</definedName>
    <definedName name="GlacAlt" localSheetId="0">{1181,1250,1350,1450,1550,1650,1750,1850,1950,2050,2150,2250,2350,2436.5}</definedName>
    <definedName name="GlacAlt" localSheetId="1">{1181,1250,1350,1450,1550,1650,1750,1850,1950,2050,2150,2250,2350,2436.5}</definedName>
    <definedName name="GlacAlt" localSheetId="2">{1181,1250,1350,1450,1550,1650,1750,1850,1950,2050,2150,2250,2350,2436.5}</definedName>
    <definedName name="GlacAlt" localSheetId="3">{1181,1250,1350,1450,1550,1650,1750,1850,1950,2050,2150,2250,2350,2436.5}</definedName>
    <definedName name="GlacAlt">{1181,1250,1350,1450,1550,1650,1750,1850,1950,2050,2150,2250,2350,2436.5}</definedName>
    <definedName name="LapPer100mAvg">-0.55</definedName>
    <definedName name="LapPer100mDry">-0.986</definedName>
    <definedName name="LapPer100mWet">-0.66</definedName>
    <definedName name="name" localSheetId="6">{1181,1250,1350,1450,1550,1650,1750,1850,1950,2050,2150,2250,2350,2436.5}</definedName>
    <definedName name="name" localSheetId="7">{1181,1250,1350,1450,1550,1650,1750,1850,1950,2050,2150,2250,2350,2436.5}</definedName>
    <definedName name="name" localSheetId="8">{1181,1250,1350,1450,1550,1650,1750,1850,1950,2050,2150,2250,2350,2436.5}</definedName>
    <definedName name="name" localSheetId="4">{1181,1250,1350,1450,1550,1650,1750,1850,1950,2050,2150,2250,2350,2436.5}</definedName>
    <definedName name="name" localSheetId="5">{1181,1250,1350,1450,1550,1650,1750,1850,1950,2050,2150,2250,2350,2436.5}</definedName>
    <definedName name="name" localSheetId="0">{1181,1250,1350,1450,1550,1650,1750,1850,1950,2050,2150,2250,2350,2436.5}</definedName>
    <definedName name="name" localSheetId="1">{1181,1250,1350,1450,1550,1650,1750,1850,1950,2050,2150,2250,2350,2436.5}</definedName>
    <definedName name="name" localSheetId="2">{1181,1250,1350,1450,1550,1650,1750,1850,1950,2050,2150,2250,2350,2436.5}</definedName>
    <definedName name="name" localSheetId="3">{1181,1250,1350,1450,1550,1650,1750,1850,1950,2050,2150,2250,2350,2436.5}</definedName>
    <definedName name="name">{1181,1250,1350,1450,1550,1650,1750,1850,1950,2050,2150,2250,2350,2436.5}</definedName>
    <definedName name="Print_Area_A">'[1]Stake A'!$F$103:$CC$199</definedName>
    <definedName name="Radiuserr">0.1</definedName>
    <definedName name="SampleType" localSheetId="7">'2011.08.29 PitCore KM14'!$Y$1</definedName>
    <definedName name="SampleType" localSheetId="8">'2011.08.29 PitCore Taz Divide'!$Y$1</definedName>
    <definedName name="SampleType">'2011.08.29 Pit ACC1'!$Q$1</definedName>
    <definedName name="SBDerr">0.5</definedName>
    <definedName name="Serr">5</definedName>
    <definedName name="Sipri_xsection">'[2]99.05.14'!$M$3</definedName>
    <definedName name="SipriXsection">'[2]00.05.12'!$M$3</definedName>
    <definedName name="SiteA">'[1]Stake A'!$A$103:$CC$165</definedName>
    <definedName name="SKit_XSection">'[3]SCD May 97, 1998'!$K$4</definedName>
    <definedName name="TempArray">[2]SNOWPIT!$P$9:$Q$20</definedName>
    <definedName name="TempArray2006">'[3]2006.5.12 Pit'!$P$9:$Q$23</definedName>
    <definedName name="TempArray2008">'[3]2008.09.28 Pit'!$P$9:$Q$23</definedName>
    <definedName name="XSECTAREA">[2]SNOWPIT!$Q$1</definedName>
    <definedName name="XSECTION">'[2]98.05.27'!$K$3</definedName>
  </definedNames>
  <calcPr calcId="125725" iterate="1" iterateCount="50"/>
</workbook>
</file>

<file path=xl/calcChain.xml><?xml version="1.0" encoding="utf-8"?>
<calcChain xmlns="http://schemas.openxmlformats.org/spreadsheetml/2006/main">
  <c r="Y27" i="4"/>
  <c r="Y27" i="5"/>
  <c r="M13" i="17"/>
  <c r="E9"/>
  <c r="O8"/>
  <c r="H8"/>
  <c r="N7"/>
  <c r="O8" i="16"/>
  <c r="Q40" i="7"/>
  <c r="H8" i="16"/>
  <c r="G8"/>
  <c r="N7"/>
  <c r="O15" i="13"/>
  <c r="O8"/>
  <c r="P7"/>
  <c r="K7"/>
  <c r="H13" i="14"/>
  <c r="G13"/>
  <c r="O9"/>
  <c r="H9"/>
  <c r="I15"/>
  <c r="N7"/>
  <c r="K7"/>
  <c r="G7" i="12"/>
  <c r="E6"/>
  <c r="G7" i="11"/>
  <c r="K7" s="1"/>
  <c r="E10" l="1"/>
  <c r="E8"/>
  <c r="N7"/>
  <c r="G9" i="17" l="1"/>
  <c r="F9"/>
  <c r="F8" i="14"/>
  <c r="G15"/>
  <c r="E16" i="12"/>
  <c r="I16"/>
  <c r="G14"/>
  <c r="H14" s="1"/>
  <c r="F8"/>
  <c r="F10" i="11"/>
  <c r="F6"/>
  <c r="E6"/>
  <c r="G14" i="16"/>
  <c r="F14"/>
  <c r="G13" i="12"/>
  <c r="E19" i="11"/>
  <c r="G19" s="1"/>
  <c r="H19" s="1"/>
  <c r="O19" s="1"/>
  <c r="G12" l="1"/>
  <c r="G10"/>
  <c r="K10" s="1"/>
  <c r="H13" i="12"/>
  <c r="K12" i="11" l="1"/>
  <c r="H12"/>
  <c r="G14" i="13"/>
  <c r="I8"/>
  <c r="G15" i="11"/>
  <c r="E12" i="16"/>
  <c r="G12" s="1"/>
  <c r="H12" s="1"/>
  <c r="E10"/>
  <c r="E13" s="1"/>
  <c r="G11" i="12"/>
  <c r="E15" i="13"/>
  <c r="G15" s="1"/>
  <c r="G11"/>
  <c r="F9" i="14"/>
  <c r="E9"/>
  <c r="I14" i="17"/>
  <c r="G9" i="11"/>
  <c r="K9" s="1"/>
  <c r="I8" i="12"/>
  <c r="I7" i="17"/>
  <c r="I13"/>
  <c r="E13"/>
  <c r="E14" s="1"/>
  <c r="G14" s="1"/>
  <c r="H14" s="1"/>
  <c r="E7"/>
  <c r="E8" s="1"/>
  <c r="I7" i="13"/>
  <c r="E7" i="14"/>
  <c r="I7" i="12"/>
  <c r="E6" i="17"/>
  <c r="G6" s="1"/>
  <c r="E6" i="16"/>
  <c r="G6" s="1"/>
  <c r="E6" i="14"/>
  <c r="G6" s="1"/>
  <c r="E6" i="13"/>
  <c r="E7" s="1"/>
  <c r="AA24" i="4"/>
  <c r="P22"/>
  <c r="O19"/>
  <c r="O18"/>
  <c r="N7" i="12" l="1"/>
  <c r="K7"/>
  <c r="P7" s="1"/>
  <c r="G7" i="14"/>
  <c r="E8"/>
  <c r="G8" s="1"/>
  <c r="H8" s="1"/>
  <c r="G8" i="12"/>
  <c r="K8" s="1"/>
  <c r="E9"/>
  <c r="G9" s="1"/>
  <c r="E10" i="17"/>
  <c r="G10" s="1"/>
  <c r="G8"/>
  <c r="G7"/>
  <c r="H7" s="1"/>
  <c r="H7" i="14"/>
  <c r="G9"/>
  <c r="G16"/>
  <c r="G12"/>
  <c r="H8" i="12"/>
  <c r="E8" i="13"/>
  <c r="G7"/>
  <c r="H7" s="1"/>
  <c r="G6"/>
  <c r="H15"/>
  <c r="E14" i="16"/>
  <c r="G13"/>
  <c r="H13" s="1"/>
  <c r="G6" i="11"/>
  <c r="H7" s="1"/>
  <c r="H7" i="12"/>
  <c r="O18" i="5"/>
  <c r="D57" i="7"/>
  <c r="D56"/>
  <c r="P43"/>
  <c r="P42"/>
  <c r="P40"/>
  <c r="P41" s="1"/>
  <c r="P39"/>
  <c r="I20"/>
  <c r="J20" s="1"/>
  <c r="D20"/>
  <c r="I19"/>
  <c r="J19" s="1"/>
  <c r="I18"/>
  <c r="J18" s="1"/>
  <c r="J17"/>
  <c r="I17"/>
  <c r="I16"/>
  <c r="J16" s="1"/>
  <c r="G16"/>
  <c r="E15"/>
  <c r="D15"/>
  <c r="G14"/>
  <c r="F14"/>
  <c r="E14"/>
  <c r="D14"/>
  <c r="G13"/>
  <c r="F13"/>
  <c r="E13"/>
  <c r="D13"/>
  <c r="G12"/>
  <c r="F12"/>
  <c r="E12"/>
  <c r="D12"/>
  <c r="G11"/>
  <c r="F11"/>
  <c r="E11"/>
  <c r="D11"/>
  <c r="G10"/>
  <c r="F10"/>
  <c r="E10"/>
  <c r="D10"/>
  <c r="H9" i="11" l="1"/>
  <c r="K6"/>
  <c r="P7" s="1"/>
  <c r="O15" s="1"/>
  <c r="H10" i="17"/>
  <c r="H16" i="14"/>
  <c r="F8" i="13"/>
  <c r="G8"/>
  <c r="H8" s="1"/>
  <c r="H13" i="7"/>
  <c r="H12"/>
  <c r="H11"/>
  <c r="H10"/>
  <c r="I12" s="1"/>
  <c r="J12" s="1"/>
  <c r="H14"/>
  <c r="I10" l="1"/>
  <c r="J10" s="1"/>
  <c r="I14"/>
  <c r="J14" s="1"/>
  <c r="S40" s="1"/>
  <c r="I11"/>
  <c r="J11" s="1"/>
  <c r="I13"/>
  <c r="J13" s="1"/>
  <c r="Q23" i="5"/>
  <c r="P24"/>
  <c r="P25"/>
  <c r="P26"/>
  <c r="P27"/>
  <c r="O24"/>
  <c r="O25"/>
  <c r="O26"/>
  <c r="O27"/>
  <c r="D24"/>
  <c r="D25"/>
  <c r="D26"/>
  <c r="D27"/>
  <c r="M25"/>
  <c r="M26"/>
  <c r="M27"/>
  <c r="H25"/>
  <c r="N25" s="1"/>
  <c r="Q25" s="1"/>
  <c r="H26"/>
  <c r="N26" s="1"/>
  <c r="Q26" s="1"/>
  <c r="H27"/>
  <c r="N27" s="1"/>
  <c r="Q27" s="1"/>
  <c r="P22"/>
  <c r="P23"/>
  <c r="R23" s="1"/>
  <c r="O23"/>
  <c r="N23"/>
  <c r="M23"/>
  <c r="H23"/>
  <c r="D23"/>
  <c r="D55"/>
  <c r="D54"/>
  <c r="S53"/>
  <c r="T53" s="1"/>
  <c r="S52"/>
  <c r="T52" s="1"/>
  <c r="S51"/>
  <c r="T51" s="1"/>
  <c r="S50"/>
  <c r="T50" s="1"/>
  <c r="S49"/>
  <c r="T49" s="1"/>
  <c r="S48"/>
  <c r="T48" s="1"/>
  <c r="S47"/>
  <c r="T47" s="1"/>
  <c r="S46"/>
  <c r="T46" s="1"/>
  <c r="S45"/>
  <c r="T45" s="1"/>
  <c r="S44"/>
  <c r="T44" s="1"/>
  <c r="S43"/>
  <c r="T43" s="1"/>
  <c r="S42"/>
  <c r="T42" s="1"/>
  <c r="S41"/>
  <c r="T41" s="1"/>
  <c r="S40"/>
  <c r="T40" s="1"/>
  <c r="S39"/>
  <c r="T39" s="1"/>
  <c r="S38"/>
  <c r="T38" s="1"/>
  <c r="S37"/>
  <c r="T37" s="1"/>
  <c r="S36"/>
  <c r="T36" s="1"/>
  <c r="S35"/>
  <c r="T35" s="1"/>
  <c r="S34"/>
  <c r="T34" s="1"/>
  <c r="S33"/>
  <c r="T33" s="1"/>
  <c r="S32"/>
  <c r="T32" s="1"/>
  <c r="S31"/>
  <c r="T31" s="1"/>
  <c r="S30"/>
  <c r="T30" s="1"/>
  <c r="S29"/>
  <c r="T29" s="1"/>
  <c r="S28"/>
  <c r="T28" s="1"/>
  <c r="M22"/>
  <c r="H22"/>
  <c r="M21"/>
  <c r="H21"/>
  <c r="D21"/>
  <c r="O21"/>
  <c r="M19"/>
  <c r="H19"/>
  <c r="D19"/>
  <c r="M18"/>
  <c r="N18" s="1"/>
  <c r="Q18" s="1"/>
  <c r="D18"/>
  <c r="O19"/>
  <c r="T17"/>
  <c r="S16"/>
  <c r="T16" s="1"/>
  <c r="D16"/>
  <c r="Z15"/>
  <c r="D15"/>
  <c r="Z14"/>
  <c r="D14"/>
  <c r="D13"/>
  <c r="Z12"/>
  <c r="Z13" s="1"/>
  <c r="Q12"/>
  <c r="P12"/>
  <c r="O12"/>
  <c r="D12"/>
  <c r="Z11"/>
  <c r="Y24" s="1"/>
  <c r="Q11"/>
  <c r="P11"/>
  <c r="O11"/>
  <c r="D11"/>
  <c r="Q10"/>
  <c r="P10"/>
  <c r="O10"/>
  <c r="D10"/>
  <c r="D10" i="4"/>
  <c r="O10"/>
  <c r="P10"/>
  <c r="Q10"/>
  <c r="D11"/>
  <c r="O11"/>
  <c r="P11"/>
  <c r="Q11"/>
  <c r="Z11"/>
  <c r="D12"/>
  <c r="O12"/>
  <c r="P12"/>
  <c r="Q12"/>
  <c r="Z12"/>
  <c r="D13"/>
  <c r="O13"/>
  <c r="P13"/>
  <c r="Q13"/>
  <c r="Z13"/>
  <c r="D14"/>
  <c r="O14"/>
  <c r="P14"/>
  <c r="Q14"/>
  <c r="Z14"/>
  <c r="D15"/>
  <c r="O15"/>
  <c r="P15"/>
  <c r="Q15"/>
  <c r="Z15"/>
  <c r="D16"/>
  <c r="S16"/>
  <c r="T16" s="1"/>
  <c r="T17"/>
  <c r="D18"/>
  <c r="M18"/>
  <c r="N18" s="1"/>
  <c r="Q18" s="1"/>
  <c r="D19"/>
  <c r="H19"/>
  <c r="M19"/>
  <c r="N19" s="1"/>
  <c r="Q19" s="1"/>
  <c r="P19"/>
  <c r="D20"/>
  <c r="H20"/>
  <c r="M20"/>
  <c r="O20"/>
  <c r="P20"/>
  <c r="P21"/>
  <c r="D22"/>
  <c r="O22"/>
  <c r="S23"/>
  <c r="T23" s="1"/>
  <c r="S24"/>
  <c r="T24" s="1"/>
  <c r="Y24"/>
  <c r="S25"/>
  <c r="T25" s="1"/>
  <c r="S26"/>
  <c r="T26" s="1"/>
  <c r="S27"/>
  <c r="T27" s="1"/>
  <c r="S28"/>
  <c r="T28" s="1"/>
  <c r="S29"/>
  <c r="T29" s="1"/>
  <c r="S30"/>
  <c r="T30" s="1"/>
  <c r="S31"/>
  <c r="T31" s="1"/>
  <c r="S32"/>
  <c r="T32" s="1"/>
  <c r="S33"/>
  <c r="T33" s="1"/>
  <c r="S34"/>
  <c r="T34" s="1"/>
  <c r="S35"/>
  <c r="T35" s="1"/>
  <c r="S36"/>
  <c r="T36" s="1"/>
  <c r="S37"/>
  <c r="T37" s="1"/>
  <c r="S38"/>
  <c r="T38" s="1"/>
  <c r="S39"/>
  <c r="T39" s="1"/>
  <c r="S40"/>
  <c r="T40" s="1"/>
  <c r="S41"/>
  <c r="T41" s="1"/>
  <c r="S42"/>
  <c r="T42" s="1"/>
  <c r="S43"/>
  <c r="T43" s="1"/>
  <c r="S44"/>
  <c r="T44" s="1"/>
  <c r="S45"/>
  <c r="T45" s="1"/>
  <c r="S46"/>
  <c r="T46" s="1"/>
  <c r="S47"/>
  <c r="T47" s="1"/>
  <c r="S48"/>
  <c r="T48" s="1"/>
  <c r="S49"/>
  <c r="T49" s="1"/>
  <c r="S50"/>
  <c r="T50" s="1"/>
  <c r="S51"/>
  <c r="T51" s="1"/>
  <c r="S52"/>
  <c r="T52" s="1"/>
  <c r="S53"/>
  <c r="T53" s="1"/>
  <c r="D54"/>
  <c r="D55"/>
  <c r="U55"/>
  <c r="N20" l="1"/>
  <c r="Q20" s="1"/>
  <c r="R20" s="1"/>
  <c r="R15"/>
  <c r="R10"/>
  <c r="S10" s="1"/>
  <c r="T10" s="1"/>
  <c r="R27" i="5"/>
  <c r="R26"/>
  <c r="R25"/>
  <c r="N19"/>
  <c r="Q19" s="1"/>
  <c r="N21"/>
  <c r="Q21" s="1"/>
  <c r="N22"/>
  <c r="Q22" s="1"/>
  <c r="R12"/>
  <c r="R11"/>
  <c r="R10"/>
  <c r="S11" s="1"/>
  <c r="T11" s="1"/>
  <c r="R14" i="4"/>
  <c r="R13"/>
  <c r="R12"/>
  <c r="S12" s="1"/>
  <c r="T12" s="1"/>
  <c r="R11"/>
  <c r="S11" s="1"/>
  <c r="T11" s="1"/>
  <c r="S10" i="5"/>
  <c r="T10" s="1"/>
  <c r="P19"/>
  <c r="D20"/>
  <c r="O20"/>
  <c r="P21"/>
  <c r="D22"/>
  <c r="O22"/>
  <c r="U55"/>
  <c r="P18"/>
  <c r="R18" s="1"/>
  <c r="P20"/>
  <c r="S14" i="4"/>
  <c r="T14" s="1"/>
  <c r="S15"/>
  <c r="T15" s="1"/>
  <c r="O21"/>
  <c r="D21"/>
  <c r="R19"/>
  <c r="P18"/>
  <c r="R18" s="1"/>
  <c r="S23" i="5" l="1"/>
  <c r="T23" s="1"/>
  <c r="S22"/>
  <c r="T22" s="1"/>
  <c r="S24"/>
  <c r="T24" s="1"/>
  <c r="S26"/>
  <c r="T26" s="1"/>
  <c r="S25"/>
  <c r="T25" s="1"/>
  <c r="S27"/>
  <c r="T27" s="1"/>
  <c r="AA24" s="1"/>
  <c r="R22"/>
  <c r="R21"/>
  <c r="R19"/>
  <c r="S12"/>
  <c r="T12" s="1"/>
  <c r="S13" i="4"/>
  <c r="T13" s="1"/>
  <c r="S21" i="5"/>
  <c r="T21" s="1"/>
  <c r="S20"/>
  <c r="T20" s="1"/>
  <c r="S19"/>
  <c r="T19" s="1"/>
  <c r="S18"/>
  <c r="T18" s="1"/>
  <c r="S18" i="4"/>
  <c r="T18" s="1"/>
  <c r="S19"/>
  <c r="T19" s="1"/>
  <c r="S20"/>
  <c r="T20" s="1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sz val="7"/>
            <color indexed="81"/>
            <rFont val="Tahoma"/>
            <family val="2"/>
          </rPr>
          <t>Site A,1373m.(0.7C warmer)
T &amp; P gage, 1480 m.Site B,1687m.(1.4C colder)
Site D,1837m.(2.4C colder)
Adiabatic Lapse Rates:      Wet: -6.6 C/1000 m.            Dry:  -9.8 C/1000 m.</t>
        </r>
      </text>
    </comment>
    <comment ref="U4" authorId="0">
      <text>
        <r>
          <rPr>
            <b/>
            <sz val="8"/>
            <color indexed="81"/>
            <rFont val="Tahoma"/>
            <family val="2"/>
          </rPr>
          <t xml:space="preserve">Rod March: 
</t>
        </r>
        <r>
          <rPr>
            <sz val="8"/>
            <color indexed="81"/>
            <rFont val="Tahoma"/>
            <family val="2"/>
          </rPr>
          <t>Down dip direction;
0 is east; 
positive counterclockwise.</t>
        </r>
      </text>
    </comment>
    <comment ref="V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Dip angle of glacier surface;
0 is level;
positive is up from level.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sz val="7"/>
            <color indexed="81"/>
            <rFont val="Tahoma"/>
            <family val="2"/>
          </rPr>
          <t>Site A,1373m.(0.7C warmer)
T &amp; P gage, 1480 m.Site B,1687m.(1.4C colder)
Site D,1837m.(2.4C colder)
Adiabatic Lapse Rates:      Wet: -6.6 C/1000 m.            Dry:  -9.8 C/1000 m.</t>
        </r>
      </text>
    </comment>
    <comment ref="U4" authorId="0">
      <text>
        <r>
          <rPr>
            <b/>
            <sz val="8"/>
            <color indexed="81"/>
            <rFont val="Tahoma"/>
            <family val="2"/>
          </rPr>
          <t xml:space="preserve">Rod March: 
</t>
        </r>
        <r>
          <rPr>
            <sz val="8"/>
            <color indexed="81"/>
            <rFont val="Tahoma"/>
            <family val="2"/>
          </rPr>
          <t>Down dip direction;
0 is east; 
positive counterclockwise.</t>
        </r>
      </text>
    </comment>
    <comment ref="V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Dip angle of glacier surface;
0 is level;
positive is up from level.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sz val="7"/>
            <color indexed="81"/>
            <rFont val="Tahoma"/>
            <family val="2"/>
          </rPr>
          <t>Site A,1373m.(0.7C warmer)
T &amp; P gage, 1480 m.Site B,1687m.(1.4C colder)
Site D,1837m.(2.4C colder)
Adiabatic Lapse Rates:      Wet: -6.6 C/1000 m.            Dry:  -9.8 C/1000 m.</t>
        </r>
      </text>
    </comment>
    <comment ref="U4" authorId="0">
      <text>
        <r>
          <rPr>
            <b/>
            <sz val="8"/>
            <color indexed="81"/>
            <rFont val="Tahoma"/>
            <family val="2"/>
          </rPr>
          <t xml:space="preserve">Rod March: 
</t>
        </r>
        <r>
          <rPr>
            <sz val="8"/>
            <color indexed="81"/>
            <rFont val="Tahoma"/>
            <family val="2"/>
          </rPr>
          <t>Down dip direction;
0 is east; 
positive counterclockwise.</t>
        </r>
      </text>
    </comment>
    <comment ref="V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Dip angle of glacier surface;
0 is level;
positive is up from level.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sz val="7"/>
            <color indexed="81"/>
            <rFont val="Tahoma"/>
            <family val="2"/>
          </rPr>
          <t>Site A,1373m.(0.7C warmer)
T &amp; P gage, 1480 m.Site B,1687m.(1.4C colder)
Site D,1837m.(2.4C colder)
Adiabatic Lapse Rates:      Wet: -6.6 C/1000 m.            Dry:  -9.8 C/1000 m.</t>
        </r>
      </text>
    </comment>
    <comment ref="U4" authorId="0">
      <text>
        <r>
          <rPr>
            <b/>
            <sz val="8"/>
            <color indexed="81"/>
            <rFont val="Tahoma"/>
            <family val="2"/>
          </rPr>
          <t xml:space="preserve">Rod March: 
</t>
        </r>
        <r>
          <rPr>
            <sz val="8"/>
            <color indexed="81"/>
            <rFont val="Tahoma"/>
            <family val="2"/>
          </rPr>
          <t>Down dip direction;
0 is east; 
positive counterclockwise.</t>
        </r>
      </text>
    </comment>
    <comment ref="V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Dip angle of glacier surface;
0 is level;
positive is up from level.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sz val="7"/>
            <color indexed="81"/>
            <rFont val="Tahoma"/>
            <family val="2"/>
          </rPr>
          <t>Site A,1373m.(0.7C warmer)
T &amp; P gage, 1480 m.Site B,1687m.(1.4C colder)
Site D,1837m.(2.4C colder)
Adiabatic Lapse Rates:      Wet: -6.6 C/1000 m.            Dry:  -9.8 C/1000 m.</t>
        </r>
      </text>
    </comment>
    <comment ref="U4" authorId="0">
      <text>
        <r>
          <rPr>
            <b/>
            <sz val="8"/>
            <color indexed="81"/>
            <rFont val="Tahoma"/>
            <family val="2"/>
          </rPr>
          <t xml:space="preserve">Rod March: 
</t>
        </r>
        <r>
          <rPr>
            <sz val="8"/>
            <color indexed="81"/>
            <rFont val="Tahoma"/>
            <family val="2"/>
          </rPr>
          <t>Down dip direction;
0 is east; 
positive counterclockwise.</t>
        </r>
      </text>
    </comment>
    <comment ref="V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Dip angle of glacier surface;
0 is level;
positive is up from level.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sz val="7"/>
            <color indexed="81"/>
            <rFont val="Tahoma"/>
            <family val="2"/>
          </rPr>
          <t>Site A,1373m.(0.7C warmer)
T &amp; P gage, 1480 m.Site B,1687m.(1.4C colder)
Site D,1837m.(2.4C colder)
Adiabatic Lapse Rates:      Wet: -6.6 C/1000 m.            Dry:  -9.8 C/1000 m.</t>
        </r>
      </text>
    </comment>
    <comment ref="U4" authorId="0">
      <text>
        <r>
          <rPr>
            <b/>
            <sz val="8"/>
            <color indexed="81"/>
            <rFont val="Tahoma"/>
            <family val="2"/>
          </rPr>
          <t xml:space="preserve">Rod March: 
</t>
        </r>
        <r>
          <rPr>
            <sz val="8"/>
            <color indexed="81"/>
            <rFont val="Tahoma"/>
            <family val="2"/>
          </rPr>
          <t>Down dip direction;
0 is east; 
positive counterclockwise.</t>
        </r>
      </text>
    </comment>
    <comment ref="V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Dip angle of glacier surface;
0 is level;
positive is up from level.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Q1" authorId="0">
      <text>
        <r>
          <rPr>
            <sz val="8"/>
            <color indexed="81"/>
            <rFont val="Tahoma"/>
            <family val="2"/>
          </rPr>
          <t xml:space="preserve">Sipre coring auger=45.6cm2 
large tube 41.05 cm2       
small tube 25.6   cm2          
Snow Metrics 1000 cm^3
</t>
        </r>
      </text>
    </comment>
    <comment ref="Q3" authorId="0">
      <text>
        <r>
          <rPr>
            <sz val="8"/>
            <color indexed="81"/>
            <rFont val="Tahoma"/>
            <family val="2"/>
          </rPr>
          <t>Brooklyn Therm.Co. Digital Cat. No. 6661</t>
        </r>
      </text>
    </comment>
    <comment ref="E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formula assumes sample is in middle of layer with homogenous density. 
Can manually put data for other possibilities.</t>
        </r>
      </text>
    </comment>
    <comment ref="F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formula assumes sample is in middle of layer with homogenous density. 
Can manually put data for other possibilities.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Y1" authorId="0">
      <text>
        <r>
          <rPr>
            <sz val="8"/>
            <color indexed="81"/>
            <rFont val="Tahoma"/>
            <family val="2"/>
          </rPr>
          <t xml:space="preserve">Sipre coring auger=45.6cm2 
large tube 41.05 cm2       
small tube 25.6   cm2          
Snow Metrics 1000 cm^3
</t>
        </r>
      </text>
    </comment>
    <comment ref="Y3" authorId="0">
      <text>
        <r>
          <rPr>
            <sz val="8"/>
            <color indexed="81"/>
            <rFont val="Tahoma"/>
            <family val="2"/>
          </rPr>
          <t>Brooklyn Therm.Co. Digital Cat. No. 6661</t>
        </r>
      </text>
    </comment>
    <comment ref="AA3" authorId="0">
      <text>
        <r>
          <rPr>
            <sz val="8"/>
            <color indexed="81"/>
            <rFont val="Tahoma"/>
            <family val="2"/>
          </rPr>
          <t>Brooklyn Therm.Co. Digital Cat. No. 6661</t>
        </r>
      </text>
    </comment>
    <comment ref="A7" authorId="0">
      <text>
        <r>
          <rPr>
            <b/>
            <sz val="10"/>
            <color indexed="81"/>
            <rFont val="Tahoma"/>
            <family val="2"/>
          </rPr>
          <t>Author:</t>
        </r>
        <r>
          <rPr>
            <sz val="10"/>
            <color indexed="81"/>
            <rFont val="Tahoma"/>
            <family val="2"/>
          </rPr>
          <t xml:space="preserve">
C+S = Container+Sample</t>
        </r>
      </text>
    </comment>
    <comment ref="B7" authorId="0">
      <text>
        <r>
          <rPr>
            <b/>
            <sz val="10"/>
            <color indexed="81"/>
            <rFont val="Tahoma"/>
            <family val="2"/>
          </rPr>
          <t>Author:</t>
        </r>
        <r>
          <rPr>
            <sz val="10"/>
            <color indexed="81"/>
            <rFont val="Tahoma"/>
            <family val="2"/>
          </rPr>
          <t xml:space="preserve">
Container weight</t>
        </r>
      </text>
    </comment>
    <comment ref="C7" authorId="0">
      <text>
        <r>
          <rPr>
            <b/>
            <sz val="10"/>
            <color indexed="81"/>
            <rFont val="Tahoma"/>
            <family val="2"/>
          </rPr>
          <t>Author:</t>
        </r>
        <r>
          <rPr>
            <sz val="10"/>
            <color indexed="81"/>
            <rFont val="Tahoma"/>
            <family val="2"/>
          </rPr>
          <t xml:space="preserve">
Sample Bottom Depth</t>
        </r>
      </text>
    </comment>
    <comment ref="D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formula assumes sample is in middle of layer with homogenous density. 
Can manually put data for other possibilities.</t>
        </r>
      </text>
    </comment>
    <comment ref="S7" authorId="0">
      <text>
        <r>
          <rPr>
            <b/>
            <sz val="8"/>
            <color indexed="81"/>
            <rFont val="Tahoma"/>
            <family val="2"/>
          </rPr>
          <t xml:space="preserve">Author:
</t>
        </r>
        <r>
          <rPr>
            <sz val="8"/>
            <color indexed="81"/>
            <rFont val="Tahoma"/>
            <family val="2"/>
          </rPr>
          <t>water equivalent from top to bottom of current layer.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Y1" authorId="0">
      <text>
        <r>
          <rPr>
            <sz val="8"/>
            <color indexed="81"/>
            <rFont val="Tahoma"/>
            <family val="2"/>
          </rPr>
          <t xml:space="preserve">Sipre coring auger=45.6cm2 
large tube 41.05 cm2       
small tube 25.6   cm2          
Snow Metrics 1000 cm^3
</t>
        </r>
      </text>
    </comment>
    <comment ref="Y3" authorId="0">
      <text>
        <r>
          <rPr>
            <sz val="8"/>
            <color indexed="81"/>
            <rFont val="Tahoma"/>
            <family val="2"/>
          </rPr>
          <t>Brooklyn Therm.Co. Digital Cat. No. 6661</t>
        </r>
      </text>
    </comment>
    <comment ref="AA3" authorId="0">
      <text>
        <r>
          <rPr>
            <sz val="8"/>
            <color indexed="81"/>
            <rFont val="Tahoma"/>
            <family val="2"/>
          </rPr>
          <t>Brooklyn Therm.Co. Digital Cat. No. 6661</t>
        </r>
      </text>
    </comment>
    <comment ref="A7" authorId="0">
      <text>
        <r>
          <rPr>
            <b/>
            <sz val="10"/>
            <color indexed="81"/>
            <rFont val="Tahoma"/>
            <family val="2"/>
          </rPr>
          <t>Author:</t>
        </r>
        <r>
          <rPr>
            <sz val="10"/>
            <color indexed="81"/>
            <rFont val="Tahoma"/>
            <family val="2"/>
          </rPr>
          <t xml:space="preserve">
C+S = Container+Sample</t>
        </r>
      </text>
    </comment>
    <comment ref="B7" authorId="0">
      <text>
        <r>
          <rPr>
            <b/>
            <sz val="10"/>
            <color indexed="81"/>
            <rFont val="Tahoma"/>
            <family val="2"/>
          </rPr>
          <t>Author:</t>
        </r>
        <r>
          <rPr>
            <sz val="10"/>
            <color indexed="81"/>
            <rFont val="Tahoma"/>
            <family val="2"/>
          </rPr>
          <t xml:space="preserve">
Container weight</t>
        </r>
      </text>
    </comment>
    <comment ref="C7" authorId="0">
      <text>
        <r>
          <rPr>
            <b/>
            <sz val="10"/>
            <color indexed="81"/>
            <rFont val="Tahoma"/>
            <family val="2"/>
          </rPr>
          <t>Author:</t>
        </r>
        <r>
          <rPr>
            <sz val="10"/>
            <color indexed="81"/>
            <rFont val="Tahoma"/>
            <family val="2"/>
          </rPr>
          <t xml:space="preserve">
Sample Bottom Depth</t>
        </r>
      </text>
    </comment>
    <comment ref="D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formula assumes sample is in middle of layer with homogenous density. 
Can manually put data for other possibilities.</t>
        </r>
      </text>
    </comment>
    <comment ref="S7" authorId="0">
      <text>
        <r>
          <rPr>
            <b/>
            <sz val="8"/>
            <color indexed="81"/>
            <rFont val="Tahoma"/>
            <family val="2"/>
          </rPr>
          <t xml:space="preserve">Author:
</t>
        </r>
        <r>
          <rPr>
            <sz val="8"/>
            <color indexed="81"/>
            <rFont val="Tahoma"/>
            <family val="2"/>
          </rPr>
          <t>water equivalent from top to bottom of current layer.</t>
        </r>
      </text>
    </comment>
  </commentList>
</comments>
</file>

<file path=xl/sharedStrings.xml><?xml version="1.0" encoding="utf-8"?>
<sst xmlns="http://schemas.openxmlformats.org/spreadsheetml/2006/main" count="852" uniqueCount="184">
  <si>
    <t>Average Density</t>
  </si>
  <si>
    <t>SITE SNOW DEPTH</t>
  </si>
  <si>
    <t>ADD ROWS AS NEEDED IN MIDDLE, NOT AT BOTTOM</t>
  </si>
  <si>
    <t>Core Data from here down:</t>
  </si>
  <si>
    <t>Minimum =</t>
  </si>
  <si>
    <t>Maximum =</t>
  </si>
  <si>
    <t xml:space="preserve"> </t>
  </si>
  <si>
    <t>Std.Err.Mean =</t>
  </si>
  <si>
    <t>Stdev. =</t>
  </si>
  <si>
    <t>Average =</t>
  </si>
  <si>
    <t>Pit</t>
  </si>
  <si>
    <t>cm</t>
  </si>
  <si>
    <t>Meas.</t>
  </si>
  <si>
    <t>Number</t>
  </si>
  <si>
    <t xml:space="preserve"> Comments</t>
  </si>
  <si>
    <t>Deg.C</t>
  </si>
  <si>
    <r>
      <t>gm/cm</t>
    </r>
    <r>
      <rPr>
        <vertAlign val="superscript"/>
        <sz val="10"/>
        <rFont val="Arial"/>
        <family val="2"/>
      </rPr>
      <t>3</t>
    </r>
  </si>
  <si>
    <t>m w.e.</t>
  </si>
  <si>
    <t>m weq</t>
  </si>
  <si>
    <r>
      <t>cm</t>
    </r>
    <r>
      <rPr>
        <sz val="12"/>
        <color theme="1"/>
        <rFont val="Arial"/>
        <family val="2"/>
      </rPr>
      <t>³</t>
    </r>
  </si>
  <si>
    <t>gm</t>
  </si>
  <si>
    <t>Depths</t>
  </si>
  <si>
    <t>of</t>
  </si>
  <si>
    <t>Sample</t>
  </si>
  <si>
    <t>Temp.</t>
  </si>
  <si>
    <t>Zt</t>
  </si>
  <si>
    <t>Density</t>
  </si>
  <si>
    <t>SWE</t>
  </si>
  <si>
    <t>Denisty</t>
  </si>
  <si>
    <t>Bottom</t>
  </si>
  <si>
    <t>Top</t>
  </si>
  <si>
    <t>Volume</t>
  </si>
  <si>
    <t>diameter</t>
  </si>
  <si>
    <t>Core Diameters</t>
  </si>
  <si>
    <t>Length</t>
  </si>
  <si>
    <t>Core Lengths</t>
  </si>
  <si>
    <t>Range</t>
  </si>
  <si>
    <t>SBD</t>
  </si>
  <si>
    <t>C</t>
  </si>
  <si>
    <t>C+S</t>
  </si>
  <si>
    <t>Snow</t>
  </si>
  <si>
    <t>Type</t>
  </si>
  <si>
    <t>Obs.</t>
  </si>
  <si>
    <t>Depth</t>
  </si>
  <si>
    <t>Layer</t>
  </si>
  <si>
    <t>Average</t>
  </si>
  <si>
    <t>Other</t>
  </si>
  <si>
    <t>C o r e   D a t a</t>
  </si>
  <si>
    <t>= 45.6 cm^2</t>
  </si>
  <si>
    <t>Kovaks Core Drill</t>
  </si>
  <si>
    <t>Cumulative  Values</t>
  </si>
  <si>
    <t>Layer Values</t>
  </si>
  <si>
    <t>Field Data</t>
  </si>
  <si>
    <t>= 41.05 cm^2 = 7.2 cm diameter x 50 cm long; take 24.4 cm long sample to get 1000 cm^3 sample.</t>
  </si>
  <si>
    <t>7x50cm tube</t>
  </si>
  <si>
    <t>Brooklyn Therm.Co. Digital Cat. No. 6661</t>
  </si>
  <si>
    <t>Thermometer Type/Model:</t>
  </si>
  <si>
    <t>Detail:</t>
  </si>
  <si>
    <t xml:space="preserve">= 1000 cm^3 </t>
  </si>
  <si>
    <t>Snow Metrics RIP 1</t>
  </si>
  <si>
    <t>degrees C below 0 in ice bath.</t>
  </si>
  <si>
    <t>Thermometer Reads:</t>
  </si>
  <si>
    <t>volume of sampler is 1000cm^3</t>
  </si>
  <si>
    <t xml:space="preserve">  Notebook:</t>
  </si>
  <si>
    <t>Location:</t>
  </si>
  <si>
    <t>Valid Sampler List</t>
  </si>
  <si>
    <t>Sampler Type</t>
  </si>
  <si>
    <t>samples taken with snowmetrics sampler.</t>
  </si>
  <si>
    <t xml:space="preserve">    Date:</t>
  </si>
  <si>
    <t xml:space="preserve"> Glacier:</t>
  </si>
  <si>
    <t>Columbia</t>
  </si>
  <si>
    <t>ACC1</t>
  </si>
  <si>
    <t>11LS</t>
  </si>
  <si>
    <t>Very wet, saturated grains.</t>
  </si>
  <si>
    <t>Ice layer existant at 85cm depth</t>
  </si>
  <si>
    <t>Low density snow near the surface is not saturated.</t>
  </si>
  <si>
    <t>Slightly finer grains, no measurement.</t>
  </si>
  <si>
    <t>piece is unevenly cut</t>
  </si>
  <si>
    <t>Lost core, increasing grain size</t>
  </si>
  <si>
    <t>Pit to  ~2m continue by core to 6.2+m</t>
  </si>
  <si>
    <t>KM14</t>
  </si>
  <si>
    <t>Snow Metrics 1000 cm^3</t>
  </si>
  <si>
    <t>Valid Sampler Type List</t>
  </si>
  <si>
    <t>Snow Metrics</t>
  </si>
  <si>
    <t>= 41.05 cm^2 = 7.2 cm diameter x 50 cm long</t>
  </si>
  <si>
    <t>Analysis</t>
  </si>
  <si>
    <t>Layer Boundary</t>
  </si>
  <si>
    <t>Snow Depth</t>
  </si>
  <si>
    <r>
      <t>gm/cm</t>
    </r>
    <r>
      <rPr>
        <vertAlign val="superscript"/>
        <sz val="8"/>
        <rFont val="Arial"/>
        <family val="2"/>
      </rPr>
      <t>3</t>
    </r>
  </si>
  <si>
    <t>Average w/o pit =</t>
  </si>
  <si>
    <t>pit depth is ~2.4 m</t>
  </si>
  <si>
    <t>At about 200cm depth grain size is 3mm.</t>
  </si>
  <si>
    <t>Tazlina Divide</t>
  </si>
  <si>
    <t>1st ice layer, 4cm thick</t>
  </si>
  <si>
    <t>dirt layer at course crystals.</t>
  </si>
  <si>
    <t>Pit/Core</t>
  </si>
  <si>
    <t>bottom depth is an estimate. -EN</t>
  </si>
  <si>
    <t xml:space="preserve">No density measurements recorded in pit. </t>
  </si>
  <si>
    <t>Pit to ? m continue by core to 6.16m</t>
  </si>
  <si>
    <t>CHANGE</t>
  </si>
  <si>
    <t>Summer Surface</t>
  </si>
  <si>
    <t>Out of</t>
  </si>
  <si>
    <t>Stake  Location</t>
  </si>
  <si>
    <t>I n d e x     S i t e</t>
  </si>
  <si>
    <t>Total</t>
  </si>
  <si>
    <t>Stake length</t>
  </si>
  <si>
    <t>Stake Length</t>
  </si>
  <si>
    <t>Height</t>
  </si>
  <si>
    <t>Summer</t>
  </si>
  <si>
    <t>Winter</t>
  </si>
  <si>
    <t>Annual</t>
  </si>
  <si>
    <t>Year</t>
  </si>
  <si>
    <t>Glacier  Surface</t>
  </si>
  <si>
    <t>Stake</t>
  </si>
  <si>
    <t>Surface</t>
  </si>
  <si>
    <t xml:space="preserve">Stake </t>
  </si>
  <si>
    <t>Above</t>
  </si>
  <si>
    <t>Below</t>
  </si>
  <si>
    <t xml:space="preserve"> (Lb-snow)</t>
  </si>
  <si>
    <t>Firn</t>
  </si>
  <si>
    <t>Balance</t>
  </si>
  <si>
    <t>Comments</t>
  </si>
  <si>
    <t>UTM, zone 6  (WGS84)</t>
  </si>
  <si>
    <t>Slope</t>
  </si>
  <si>
    <t>Date</t>
  </si>
  <si>
    <t>Notebook</t>
  </si>
  <si>
    <t>Name</t>
  </si>
  <si>
    <t xml:space="preserve">  surface</t>
  </si>
  <si>
    <t>Easting</t>
  </si>
  <si>
    <t>Northing</t>
  </si>
  <si>
    <t>Ellipsoid</t>
  </si>
  <si>
    <t>Azimuth</t>
  </si>
  <si>
    <t>dip</t>
  </si>
  <si>
    <t>(mm/dd/yyyy)</t>
  </si>
  <si>
    <t>L (m)</t>
  </si>
  <si>
    <t>La (m)</t>
  </si>
  <si>
    <t>Lb (m)</t>
  </si>
  <si>
    <t>delta Lb (m)</t>
  </si>
  <si>
    <t>(meters)</t>
  </si>
  <si>
    <t>(m w.e.)</t>
  </si>
  <si>
    <t>(deg)</t>
  </si>
  <si>
    <t>10SO</t>
  </si>
  <si>
    <t>?</t>
  </si>
  <si>
    <t>snow</t>
  </si>
  <si>
    <t>Ice</t>
  </si>
  <si>
    <t>MB2/kmE28</t>
  </si>
  <si>
    <t>MB8</t>
  </si>
  <si>
    <t>MB3</t>
  </si>
  <si>
    <t>MB1</t>
  </si>
  <si>
    <t>MB2</t>
  </si>
  <si>
    <t>wire</t>
  </si>
  <si>
    <t>New wire drilled upstream of MB2 by 0.5mi. -SO</t>
  </si>
  <si>
    <t>11SO</t>
  </si>
  <si>
    <t>ACC-11</t>
  </si>
  <si>
    <t>MW25-ACC2</t>
  </si>
  <si>
    <t>ACC2</t>
  </si>
  <si>
    <t>New pole drilled. -SO</t>
  </si>
  <si>
    <t>ACC1 (11)</t>
  </si>
  <si>
    <t>Added 2.09m to existing pole. -EN</t>
  </si>
  <si>
    <t>New wire installed. -SO</t>
  </si>
  <si>
    <t>Surface type and hole depth not recorded. -EN</t>
  </si>
  <si>
    <t>Took off 1.5m +10ft. -SO</t>
  </si>
  <si>
    <t>ACC1-11</t>
  </si>
  <si>
    <t>New redrill, the name is ambiguous. -EN</t>
  </si>
  <si>
    <t>Nothing added or removed.</t>
  </si>
  <si>
    <t>1.5m section removed, replace with 3m, so La = 4.6m -SO</t>
  </si>
  <si>
    <t>New pole was installed, but no data is recorded on it. -EN</t>
  </si>
  <si>
    <t>SO</t>
  </si>
  <si>
    <t>ice</t>
  </si>
  <si>
    <t>melt out</t>
  </si>
  <si>
    <t>Constraint only</t>
  </si>
  <si>
    <t>Winter balance = 0.54 m</t>
  </si>
  <si>
    <t xml:space="preserve">Annual balance estimates suggest large variability, or errors.  Best estimate is with 2010-11 wire, which gives minimum estimate </t>
  </si>
  <si>
    <t>the numbers don’t add up.  There is a ph error somewherre</t>
  </si>
  <si>
    <t>NOT FOUND IN FALL</t>
  </si>
  <si>
    <t>snow depth likley underestimate</t>
  </si>
  <si>
    <t>Melted out</t>
  </si>
  <si>
    <t>CONSTRAINT ONLY</t>
  </si>
  <si>
    <t>Constraint, using snow estimate</t>
  </si>
  <si>
    <t>FIRN</t>
  </si>
  <si>
    <t>Buried</t>
  </si>
  <si>
    <t>minimum constraint</t>
  </si>
  <si>
    <t>LS</t>
  </si>
  <si>
    <t>probes likely under-represent snow</t>
  </si>
</sst>
</file>

<file path=xl/styles.xml><?xml version="1.0" encoding="utf-8"?>
<styleSheet xmlns="http://schemas.openxmlformats.org/spreadsheetml/2006/main">
  <numFmts count="14">
    <numFmt numFmtId="164" formatCode="??0"/>
    <numFmt numFmtId="165" formatCode="0.000"/>
    <numFmt numFmtId="166" formatCode=";;;"/>
    <numFmt numFmtId="167" formatCode="#,##0.0"/>
    <numFmt numFmtId="168" formatCode="?0.0"/>
    <numFmt numFmtId="169" formatCode="\(0.0\)"/>
    <numFmt numFmtId="170" formatCode="_-?0.0;\-?0.0"/>
    <numFmt numFmtId="171" formatCode="0.0"/>
    <numFmt numFmtId="172" formatCode="??0.0"/>
    <numFmt numFmtId="173" formatCode="?0.00"/>
    <numFmt numFmtId="174" formatCode="mm/dd/yy"/>
    <numFmt numFmtId="175" formatCode="mm/dd/yyyy"/>
    <numFmt numFmtId="176" formatCode="_-??0.00;\-??0.00"/>
    <numFmt numFmtId="177" formatCode="?,??0.00"/>
  </numFmts>
  <fonts count="46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name val="Helv"/>
    </font>
    <font>
      <b/>
      <sz val="8"/>
      <name val="Arial"/>
      <family val="2"/>
    </font>
    <font>
      <sz val="8"/>
      <color indexed="12"/>
      <name val="Arial"/>
      <family val="2"/>
    </font>
    <font>
      <b/>
      <sz val="8"/>
      <color indexed="8"/>
      <name val="Helv"/>
    </font>
    <font>
      <sz val="8"/>
      <color indexed="16"/>
      <name val="Arial"/>
      <family val="2"/>
    </font>
    <font>
      <b/>
      <sz val="8"/>
      <color indexed="16"/>
      <name val="Arial"/>
      <family val="2"/>
    </font>
    <font>
      <sz val="8"/>
      <color theme="5"/>
      <name val="Arial"/>
      <family val="2"/>
    </font>
    <font>
      <sz val="8"/>
      <color indexed="8"/>
      <name val="Arial"/>
      <family val="2"/>
    </font>
    <font>
      <sz val="8"/>
      <color rgb="FF0000FF"/>
      <name val="Arial"/>
      <family val="2"/>
    </font>
    <font>
      <b/>
      <sz val="8"/>
      <color rgb="FF0000FF"/>
      <name val="Arial"/>
      <family val="2"/>
    </font>
    <font>
      <b/>
      <u/>
      <sz val="8"/>
      <name val="Arial"/>
      <family val="2"/>
    </font>
    <font>
      <b/>
      <sz val="8"/>
      <color indexed="12"/>
      <name val="Arial"/>
      <family val="2"/>
    </font>
    <font>
      <i/>
      <sz val="8"/>
      <color rgb="FF0000FF"/>
      <name val="Arial"/>
      <family val="2"/>
    </font>
    <font>
      <vertAlign val="superscript"/>
      <sz val="10"/>
      <name val="Arial"/>
      <family val="2"/>
    </font>
    <font>
      <sz val="8"/>
      <color theme="1"/>
      <name val="Arial"/>
      <family val="2"/>
    </font>
    <font>
      <sz val="12"/>
      <color theme="1"/>
      <name val="Arial"/>
      <family val="2"/>
    </font>
    <font>
      <i/>
      <sz val="8"/>
      <name val="Arial"/>
      <family val="2"/>
    </font>
    <font>
      <b/>
      <sz val="8"/>
      <color theme="1"/>
      <name val="Arial"/>
      <family val="2"/>
    </font>
    <font>
      <b/>
      <u/>
      <sz val="8"/>
      <color indexed="12"/>
      <name val="Arial"/>
      <family val="2"/>
    </font>
    <font>
      <u/>
      <sz val="8"/>
      <name val="Arial"/>
      <family val="2"/>
    </font>
    <font>
      <u/>
      <sz val="8"/>
      <color indexed="12"/>
      <name val="Arial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8"/>
      <color indexed="9"/>
      <name val="Arial"/>
      <family val="2"/>
    </font>
    <font>
      <sz val="8"/>
      <color indexed="10"/>
      <name val="Arial"/>
      <family val="2"/>
    </font>
    <font>
      <i/>
      <sz val="8"/>
      <color indexed="10"/>
      <name val="Arial"/>
      <family val="2"/>
    </font>
    <font>
      <i/>
      <sz val="8"/>
      <color indexed="14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14"/>
      <name val="Arial"/>
      <family val="2"/>
    </font>
    <font>
      <vertAlign val="superscript"/>
      <sz val="8"/>
      <name val="Arial"/>
      <family val="2"/>
    </font>
    <font>
      <i/>
      <sz val="8"/>
      <color indexed="12"/>
      <name val="Arial"/>
      <family val="2"/>
    </font>
    <font>
      <sz val="11"/>
      <color theme="1"/>
      <name val="Calibri"/>
      <family val="2"/>
      <scheme val="minor"/>
    </font>
    <font>
      <b/>
      <sz val="8"/>
      <color indexed="15"/>
      <name val="Arial"/>
      <family val="2"/>
    </font>
    <font>
      <b/>
      <u/>
      <sz val="8"/>
      <color theme="1"/>
      <name val="Arial"/>
      <family val="2"/>
    </font>
    <font>
      <b/>
      <u/>
      <sz val="8"/>
      <color indexed="8"/>
      <name val="Arial"/>
      <family val="2"/>
    </font>
    <font>
      <u/>
      <sz val="8"/>
      <color theme="1"/>
      <name val="Arial"/>
      <family val="2"/>
    </font>
    <font>
      <b/>
      <i/>
      <sz val="8"/>
      <name val="Arial"/>
      <family val="2"/>
    </font>
    <font>
      <b/>
      <i/>
      <vertAlign val="subscript"/>
      <sz val="10"/>
      <name val="Arial"/>
      <family val="2"/>
    </font>
    <font>
      <sz val="7"/>
      <color indexed="81"/>
      <name val="Tahoma"/>
      <family val="2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12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auto="1"/>
      </right>
      <top/>
      <bottom style="medium">
        <color indexed="8"/>
      </bottom>
      <diagonal/>
    </border>
    <border>
      <left/>
      <right style="thin">
        <color indexed="64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</borders>
  <cellStyleXfs count="24">
    <xf numFmtId="0" fontId="0" fillId="0" borderId="0"/>
    <xf numFmtId="0" fontId="1" fillId="0" borderId="0" applyNumberFormat="0" applyFill="0" applyBorder="0" applyAlignment="0" applyProtection="0">
      <protection locked="0"/>
    </xf>
    <xf numFmtId="164" fontId="2" fillId="0" borderId="0" applyFont="0" applyFill="0" applyBorder="0" applyAlignment="0" applyProtection="0">
      <alignment horizontal="left"/>
      <protection locked="0"/>
    </xf>
    <xf numFmtId="165" fontId="2" fillId="0" borderId="0" applyFont="0" applyFill="0" applyBorder="0" applyAlignment="0" applyProtection="0"/>
    <xf numFmtId="0" fontId="1" fillId="0" borderId="0" applyNumberFormat="0" applyFill="0" applyBorder="0" applyAlignment="0" applyProtection="0">
      <alignment horizontal="left" vertical="top" wrapText="1"/>
      <protection locked="0"/>
    </xf>
    <xf numFmtId="0" fontId="4" fillId="0" borderId="0" applyNumberFormat="0" applyFill="0" applyBorder="0" applyAlignment="0" applyProtection="0">
      <alignment horizontal="left"/>
      <protection locked="0"/>
    </xf>
    <xf numFmtId="168" fontId="5" fillId="0" borderId="8" applyFont="0" applyFill="0" applyBorder="0" applyAlignment="0" applyProtection="0">
      <alignment horizontal="center" vertical="top" wrapText="1"/>
      <protection locked="0"/>
    </xf>
    <xf numFmtId="0" fontId="4" fillId="0" borderId="0" applyNumberFormat="0" applyFill="0" applyBorder="0" applyAlignment="0" applyProtection="0">
      <alignment horizontal="center" vertical="top" wrapText="1"/>
    </xf>
    <xf numFmtId="0" fontId="9" fillId="0" borderId="0" applyNumberFormat="0" applyFill="0" applyBorder="0" applyAlignment="0" applyProtection="0">
      <alignment horizontal="center" vertical="top" wrapText="1"/>
      <protection locked="0"/>
    </xf>
    <xf numFmtId="0" fontId="3" fillId="0" borderId="0" applyNumberFormat="0" applyFill="0" applyBorder="0" applyAlignment="0" applyProtection="0">
      <alignment horizontal="left"/>
      <protection locked="0"/>
    </xf>
    <xf numFmtId="0" fontId="1" fillId="0" borderId="0" applyNumberFormat="0" applyFill="0" applyBorder="0" applyAlignment="0" applyProtection="0"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172" fontId="2" fillId="0" borderId="0" applyFont="0" applyFill="0" applyBorder="0" applyAlignment="0" applyProtection="0">
      <alignment horizontal="left"/>
      <protection locked="0"/>
    </xf>
    <xf numFmtId="173" fontId="5" fillId="0" borderId="8" applyFont="0" applyFill="0" applyBorder="0" applyAlignment="0" applyProtection="0">
      <alignment horizontal="center" vertical="top" wrapText="1"/>
      <protection locked="0"/>
    </xf>
    <xf numFmtId="2" fontId="5" fillId="0" borderId="8" applyFont="0" applyFill="0" applyBorder="0" applyAlignment="0" applyProtection="0">
      <alignment horizontal="center" vertical="top" wrapText="1"/>
      <protection locked="0"/>
    </xf>
    <xf numFmtId="0" fontId="28" fillId="0" borderId="0" applyNumberFormat="0" applyFill="0" applyAlignment="0" applyProtection="0">
      <alignment horizontal="centerContinuous"/>
    </xf>
    <xf numFmtId="14" fontId="29" fillId="0" borderId="0" applyNumberFormat="0" applyBorder="0" applyAlignment="0" applyProtection="0">
      <alignment horizontal="center" vertical="top" wrapText="1"/>
      <protection locked="0"/>
    </xf>
    <xf numFmtId="14" fontId="30" fillId="0" borderId="0" applyNumberFormat="0" applyFill="0" applyBorder="0" applyAlignment="0" applyProtection="0">
      <alignment horizontal="center" vertical="top" wrapText="1"/>
      <protection locked="0"/>
    </xf>
    <xf numFmtId="14" fontId="31" fillId="0" borderId="10" applyNumberFormat="0" applyFill="0" applyBorder="0" applyAlignment="0" applyProtection="0">
      <alignment horizontal="center" vertical="center" wrapText="1"/>
    </xf>
    <xf numFmtId="172" fontId="2" fillId="0" borderId="0" applyNumberFormat="0" applyFill="0" applyBorder="0" applyAlignment="0" applyProtection="0">
      <alignment horizontal="left"/>
      <protection locked="0"/>
    </xf>
    <xf numFmtId="165" fontId="32" fillId="0" borderId="0" applyNumberFormat="0" applyFill="0" applyBorder="0" applyAlignment="0" applyProtection="0">
      <alignment horizontal="center" vertical="top" wrapText="1"/>
      <protection locked="0"/>
    </xf>
    <xf numFmtId="165" fontId="33" fillId="0" borderId="0" applyNumberFormat="0" applyFill="0" applyBorder="0" applyAlignment="0" applyProtection="0">
      <alignment horizontal="center" vertical="top" wrapText="1"/>
      <protection locked="0"/>
    </xf>
    <xf numFmtId="174" fontId="34" fillId="0" borderId="24" applyNumberFormat="0" applyFill="0" applyBorder="0" applyAlignment="0" applyProtection="0">
      <alignment horizontal="center" vertical="top" wrapText="1"/>
    </xf>
    <xf numFmtId="165" fontId="32" fillId="0" borderId="0" applyNumberFormat="0" applyFill="0" applyBorder="0" applyAlignment="0" applyProtection="0">
      <alignment horizontal="center" vertical="top" wrapText="1"/>
      <protection locked="0"/>
    </xf>
  </cellStyleXfs>
  <cellXfs count="585">
    <xf numFmtId="0" fontId="0" fillId="0" borderId="0" xfId="0"/>
    <xf numFmtId="0" fontId="1" fillId="0" borderId="0" xfId="1" applyFont="1" applyProtection="1"/>
    <xf numFmtId="0" fontId="1" fillId="0" borderId="0" xfId="1" applyFont="1" applyBorder="1" applyProtection="1"/>
    <xf numFmtId="0" fontId="1" fillId="0" borderId="0" xfId="1" applyFont="1" applyAlignment="1" applyProtection="1">
      <alignment horizontal="center"/>
    </xf>
    <xf numFmtId="164" fontId="1" fillId="0" borderId="0" xfId="2" applyFont="1" applyAlignment="1" applyProtection="1">
      <alignment horizontal="center"/>
    </xf>
    <xf numFmtId="165" fontId="1" fillId="0" borderId="0" xfId="3" applyFont="1" applyAlignment="1" applyProtection="1">
      <alignment horizontal="center"/>
    </xf>
    <xf numFmtId="2" fontId="1" fillId="0" borderId="0" xfId="3" applyNumberFormat="1" applyFont="1" applyAlignment="1" applyProtection="1">
      <alignment horizontal="center"/>
    </xf>
    <xf numFmtId="1" fontId="1" fillId="0" borderId="0" xfId="1" applyNumberFormat="1" applyFont="1" applyProtection="1"/>
    <xf numFmtId="165" fontId="3" fillId="0" borderId="0" xfId="3" applyFont="1" applyBorder="1" applyAlignment="1" applyProtection="1">
      <alignment horizontal="center"/>
    </xf>
    <xf numFmtId="165" fontId="3" fillId="0" borderId="0" xfId="3" applyFont="1" applyAlignment="1" applyProtection="1">
      <alignment horizontal="center"/>
    </xf>
    <xf numFmtId="165" fontId="1" fillId="0" borderId="0" xfId="3" applyFont="1" applyBorder="1" applyAlignment="1" applyProtection="1">
      <alignment horizontal="center"/>
    </xf>
    <xf numFmtId="2" fontId="1" fillId="0" borderId="0" xfId="3" applyNumberFormat="1" applyFont="1" applyBorder="1" applyAlignment="1" applyProtection="1">
      <alignment horizontal="center"/>
    </xf>
    <xf numFmtId="1" fontId="1" fillId="0" borderId="0" xfId="1" applyNumberFormat="1" applyFont="1" applyBorder="1" applyProtection="1"/>
    <xf numFmtId="2" fontId="1" fillId="0" borderId="0" xfId="1" applyNumberFormat="1" applyFont="1" applyProtection="1"/>
    <xf numFmtId="165" fontId="4" fillId="0" borderId="0" xfId="3" applyFont="1" applyBorder="1" applyAlignment="1" applyProtection="1">
      <alignment horizontal="center"/>
    </xf>
    <xf numFmtId="164" fontId="1" fillId="0" borderId="0" xfId="4" applyNumberFormat="1" applyFont="1" applyBorder="1" applyAlignment="1" applyProtection="1">
      <alignment horizontal="center"/>
    </xf>
    <xf numFmtId="164" fontId="4" fillId="0" borderId="0" xfId="2" applyFont="1" applyBorder="1" applyAlignment="1" applyProtection="1">
      <alignment horizontal="center"/>
    </xf>
    <xf numFmtId="0" fontId="4" fillId="0" borderId="0" xfId="5" applyFont="1" applyBorder="1" applyAlignment="1" applyProtection="1">
      <alignment horizontal="center"/>
    </xf>
    <xf numFmtId="0" fontId="1" fillId="0" borderId="1" xfId="1" applyFont="1" applyBorder="1" applyAlignment="1" applyProtection="1">
      <alignment vertical="center"/>
    </xf>
    <xf numFmtId="0" fontId="1" fillId="0" borderId="2" xfId="1" applyFont="1" applyBorder="1" applyAlignment="1" applyProtection="1">
      <alignment horizontal="center"/>
    </xf>
    <xf numFmtId="166" fontId="1" fillId="0" borderId="3" xfId="2" applyNumberFormat="1" applyFont="1" applyBorder="1" applyAlignment="1" applyProtection="1">
      <alignment horizontal="center"/>
    </xf>
    <xf numFmtId="165" fontId="1" fillId="0" borderId="4" xfId="3" applyFont="1" applyBorder="1" applyAlignment="1" applyProtection="1">
      <alignment horizontal="center" vertical="center"/>
    </xf>
    <xf numFmtId="165" fontId="1" fillId="0" borderId="3" xfId="3" applyFont="1" applyBorder="1" applyAlignment="1" applyProtection="1">
      <alignment horizontal="center" vertical="center"/>
    </xf>
    <xf numFmtId="2" fontId="1" fillId="0" borderId="4" xfId="3" applyNumberFormat="1" applyFont="1" applyBorder="1" applyAlignment="1" applyProtection="1">
      <alignment horizontal="center" vertical="center"/>
    </xf>
    <xf numFmtId="165" fontId="4" fillId="0" borderId="3" xfId="3" applyFont="1" applyBorder="1" applyAlignment="1" applyProtection="1">
      <alignment horizontal="center" vertical="center"/>
    </xf>
    <xf numFmtId="164" fontId="1" fillId="0" borderId="4" xfId="4" applyNumberFormat="1" applyFont="1" applyBorder="1" applyAlignment="1" applyProtection="1">
      <alignment horizontal="center" vertical="center"/>
    </xf>
    <xf numFmtId="167" fontId="1" fillId="0" borderId="4" xfId="4" applyNumberFormat="1" applyFont="1" applyBorder="1" applyAlignment="1" applyProtection="1">
      <alignment horizontal="center" vertical="center"/>
    </xf>
    <xf numFmtId="3" fontId="1" fillId="0" borderId="5" xfId="4" applyNumberFormat="1" applyFont="1" applyBorder="1" applyAlignment="1" applyProtection="1">
      <alignment horizontal="center" vertical="center"/>
    </xf>
    <xf numFmtId="167" fontId="1" fillId="0" borderId="5" xfId="4" applyNumberFormat="1" applyFont="1" applyBorder="1" applyAlignment="1" applyProtection="1">
      <alignment horizontal="center" vertical="center"/>
    </xf>
    <xf numFmtId="167" fontId="1" fillId="0" borderId="6" xfId="4" applyNumberFormat="1" applyFont="1" applyBorder="1" applyAlignment="1" applyProtection="1">
      <alignment horizontal="center" vertical="center"/>
    </xf>
    <xf numFmtId="164" fontId="1" fillId="0" borderId="5" xfId="4" applyNumberFormat="1" applyFont="1" applyBorder="1" applyAlignment="1" applyProtection="1">
      <alignment horizontal="center" vertical="center"/>
    </xf>
    <xf numFmtId="164" fontId="4" fillId="0" borderId="4" xfId="2" applyFont="1" applyBorder="1" applyAlignment="1" applyProtection="1">
      <alignment horizontal="center" vertical="center"/>
    </xf>
    <xf numFmtId="0" fontId="4" fillId="0" borderId="4" xfId="5" applyFont="1" applyBorder="1" applyAlignment="1" applyProtection="1">
      <alignment horizontal="center" vertical="center"/>
    </xf>
    <xf numFmtId="0" fontId="4" fillId="0" borderId="3" xfId="5" applyFont="1" applyBorder="1" applyAlignment="1" applyProtection="1">
      <alignment horizontal="center" vertical="center"/>
    </xf>
    <xf numFmtId="0" fontId="1" fillId="0" borderId="7" xfId="1" applyFont="1" applyBorder="1" applyAlignment="1" applyProtection="1">
      <alignment vertical="center"/>
    </xf>
    <xf numFmtId="168" fontId="4" fillId="0" borderId="9" xfId="6" applyFont="1" applyBorder="1" applyAlignment="1" applyProtection="1">
      <alignment horizontal="center" vertical="center"/>
    </xf>
    <xf numFmtId="164" fontId="4" fillId="0" borderId="10" xfId="2" applyFont="1" applyBorder="1" applyAlignment="1" applyProtection="1">
      <alignment horizontal="center" vertical="center"/>
    </xf>
    <xf numFmtId="165" fontId="1" fillId="0" borderId="0" xfId="3" applyFont="1" applyBorder="1" applyAlignment="1" applyProtection="1">
      <alignment horizontal="center" vertical="center"/>
    </xf>
    <xf numFmtId="165" fontId="1" fillId="0" borderId="10" xfId="3" applyFont="1" applyBorder="1" applyAlignment="1" applyProtection="1">
      <alignment horizontal="center" vertical="center"/>
    </xf>
    <xf numFmtId="2" fontId="1" fillId="0" borderId="0" xfId="3" applyNumberFormat="1" applyFont="1" applyBorder="1" applyAlignment="1" applyProtection="1">
      <alignment horizontal="center" vertical="center"/>
    </xf>
    <xf numFmtId="165" fontId="4" fillId="0" borderId="10" xfId="3" applyFont="1" applyBorder="1" applyAlignment="1" applyProtection="1">
      <alignment horizontal="center" vertical="center"/>
    </xf>
    <xf numFmtId="164" fontId="1" fillId="0" borderId="0" xfId="4" applyNumberFormat="1" applyFont="1" applyBorder="1" applyAlignment="1" applyProtection="1">
      <alignment horizontal="center" vertical="center"/>
    </xf>
    <xf numFmtId="167" fontId="1" fillId="0" borderId="0" xfId="4" applyNumberFormat="1" applyFont="1" applyBorder="1" applyAlignment="1" applyProtection="1">
      <alignment horizontal="center" vertical="center"/>
    </xf>
    <xf numFmtId="3" fontId="1" fillId="0" borderId="11" xfId="4" applyNumberFormat="1" applyFont="1" applyBorder="1" applyAlignment="1" applyProtection="1">
      <alignment horizontal="center" vertical="center"/>
    </xf>
    <xf numFmtId="167" fontId="1" fillId="0" borderId="11" xfId="4" applyNumberFormat="1" applyFont="1" applyBorder="1" applyAlignment="1" applyProtection="1">
      <alignment horizontal="center" vertical="center"/>
    </xf>
    <xf numFmtId="167" fontId="1" fillId="0" borderId="12" xfId="4" applyNumberFormat="1" applyFont="1" applyBorder="1" applyAlignment="1" applyProtection="1">
      <alignment horizontal="center" vertical="center"/>
    </xf>
    <xf numFmtId="164" fontId="1" fillId="0" borderId="11" xfId="4" applyNumberFormat="1" applyFont="1" applyBorder="1" applyAlignment="1" applyProtection="1">
      <alignment horizontal="center" vertical="center"/>
    </xf>
    <xf numFmtId="164" fontId="4" fillId="0" borderId="0" xfId="2" applyFont="1" applyBorder="1" applyAlignment="1" applyProtection="1">
      <alignment horizontal="center" vertical="center"/>
    </xf>
    <xf numFmtId="0" fontId="4" fillId="0" borderId="0" xfId="5" applyFont="1" applyBorder="1" applyAlignment="1" applyProtection="1">
      <alignment horizontal="center" vertical="center"/>
    </xf>
    <xf numFmtId="0" fontId="4" fillId="0" borderId="10" xfId="5" applyFont="1" applyBorder="1" applyAlignment="1" applyProtection="1">
      <alignment horizontal="center" vertical="center"/>
    </xf>
    <xf numFmtId="0" fontId="6" fillId="0" borderId="7" xfId="1" applyNumberFormat="1" applyFont="1" applyBorder="1" applyAlignment="1" applyProtection="1">
      <alignment vertical="center"/>
    </xf>
    <xf numFmtId="168" fontId="6" fillId="0" borderId="9" xfId="6" applyFont="1" applyBorder="1" applyAlignment="1" applyProtection="1">
      <alignment horizontal="center" vertical="center"/>
      <protection locked="0"/>
    </xf>
    <xf numFmtId="164" fontId="6" fillId="0" borderId="10" xfId="2" applyFont="1" applyBorder="1" applyAlignment="1" applyProtection="1">
      <alignment horizontal="center" vertical="center"/>
      <protection locked="0"/>
    </xf>
    <xf numFmtId="165" fontId="6" fillId="0" borderId="0" xfId="3" applyFont="1" applyFill="1" applyBorder="1" applyAlignment="1" applyProtection="1">
      <alignment horizontal="center" vertical="center"/>
    </xf>
    <xf numFmtId="2" fontId="6" fillId="0" borderId="10" xfId="3" applyNumberFormat="1" applyFont="1" applyBorder="1" applyAlignment="1" applyProtection="1">
      <alignment horizontal="center" vertical="center"/>
    </xf>
    <xf numFmtId="2" fontId="6" fillId="0" borderId="0" xfId="3" applyNumberFormat="1" applyFont="1" applyBorder="1" applyAlignment="1" applyProtection="1">
      <alignment horizontal="center" vertical="center"/>
    </xf>
    <xf numFmtId="165" fontId="6" fillId="0" borderId="10" xfId="3" applyFont="1" applyBorder="1" applyAlignment="1" applyProtection="1">
      <alignment horizontal="center" vertical="center"/>
    </xf>
    <xf numFmtId="164" fontId="6" fillId="0" borderId="0" xfId="4" applyNumberFormat="1" applyFont="1" applyBorder="1" applyAlignment="1" applyProtection="1">
      <alignment horizontal="center" vertical="center" wrapText="1"/>
    </xf>
    <xf numFmtId="3" fontId="6" fillId="0" borderId="11" xfId="4" applyNumberFormat="1" applyFont="1" applyBorder="1" applyAlignment="1" applyProtection="1">
      <alignment horizontal="center" vertical="center" wrapText="1"/>
    </xf>
    <xf numFmtId="167" fontId="6" fillId="0" borderId="11" xfId="4" applyNumberFormat="1" applyFont="1" applyBorder="1" applyAlignment="1" applyProtection="1">
      <alignment horizontal="center" vertical="center" wrapText="1"/>
    </xf>
    <xf numFmtId="167" fontId="6" fillId="0" borderId="12" xfId="4" applyNumberFormat="1" applyFont="1" applyBorder="1" applyAlignment="1" applyProtection="1">
      <alignment horizontal="center" vertical="center" wrapText="1"/>
    </xf>
    <xf numFmtId="167" fontId="6" fillId="0" borderId="0" xfId="4" applyNumberFormat="1" applyFont="1" applyBorder="1" applyAlignment="1" applyProtection="1">
      <alignment horizontal="center" vertical="center" wrapText="1"/>
    </xf>
    <xf numFmtId="164" fontId="6" fillId="0" borderId="11" xfId="4" applyNumberFormat="1" applyFont="1" applyBorder="1" applyAlignment="1" applyProtection="1">
      <alignment horizontal="center" vertical="center" wrapText="1"/>
    </xf>
    <xf numFmtId="164" fontId="6" fillId="0" borderId="0" xfId="2" applyFont="1" applyBorder="1" applyAlignment="1" applyProtection="1">
      <alignment horizontal="center" vertical="center"/>
    </xf>
    <xf numFmtId="0" fontId="6" fillId="0" borderId="0" xfId="5" applyFont="1" applyBorder="1" applyAlignment="1" applyProtection="1">
      <alignment horizontal="center" vertical="center"/>
    </xf>
    <xf numFmtId="0" fontId="7" fillId="0" borderId="0" xfId="1" applyFont="1" applyFill="1" applyBorder="1" applyAlignment="1">
      <alignment horizontal="center" vertical="center"/>
      <protection locked="0"/>
    </xf>
    <xf numFmtId="165" fontId="6" fillId="0" borderId="0" xfId="3" applyFont="1" applyBorder="1" applyAlignment="1" applyProtection="1">
      <alignment horizontal="center" vertical="center"/>
    </xf>
    <xf numFmtId="2" fontId="1" fillId="0" borderId="0" xfId="1" applyNumberFormat="1" applyFont="1" applyAlignment="1" applyProtection="1">
      <alignment horizontal="center"/>
    </xf>
    <xf numFmtId="2" fontId="1" fillId="0" borderId="0" xfId="1" applyNumberFormat="1" applyFont="1" applyBorder="1" applyAlignment="1" applyProtection="1">
      <alignment horizontal="center" vertical="center"/>
    </xf>
    <xf numFmtId="2" fontId="1" fillId="0" borderId="0" xfId="4" applyNumberFormat="1" applyFont="1" applyFill="1" applyBorder="1" applyAlignment="1" applyProtection="1">
      <alignment horizontal="center" vertical="center" wrapText="1"/>
    </xf>
    <xf numFmtId="0" fontId="1" fillId="0" borderId="0" xfId="1" applyFont="1" applyBorder="1" applyAlignment="1" applyProtection="1">
      <alignment vertical="center"/>
    </xf>
    <xf numFmtId="0" fontId="6" fillId="0" borderId="0" xfId="5" applyFont="1" applyBorder="1" applyAlignment="1" applyProtection="1">
      <alignment horizontal="center" vertical="center"/>
      <protection locked="0"/>
    </xf>
    <xf numFmtId="0" fontId="6" fillId="0" borderId="7" xfId="1" applyFont="1" applyFill="1" applyBorder="1" applyAlignment="1" applyProtection="1">
      <alignment vertical="center"/>
      <protection locked="0"/>
    </xf>
    <xf numFmtId="169" fontId="6" fillId="0" borderId="9" xfId="6" applyNumberFormat="1" applyFont="1" applyBorder="1" applyAlignment="1" applyProtection="1">
      <alignment horizontal="center" vertical="center"/>
      <protection locked="0"/>
    </xf>
    <xf numFmtId="0" fontId="6" fillId="0" borderId="10" xfId="2" applyNumberFormat="1" applyFont="1" applyBorder="1" applyAlignment="1" applyProtection="1">
      <alignment horizontal="center" vertical="center"/>
      <protection locked="0"/>
    </xf>
    <xf numFmtId="2" fontId="3" fillId="2" borderId="0" xfId="1" applyNumberFormat="1" applyFont="1" applyFill="1" applyAlignment="1" applyProtection="1">
      <alignment horizontal="center"/>
    </xf>
    <xf numFmtId="0" fontId="1" fillId="2" borderId="0" xfId="1" applyFont="1" applyFill="1" applyProtection="1"/>
    <xf numFmtId="4" fontId="3" fillId="2" borderId="0" xfId="1" applyNumberFormat="1" applyFont="1" applyFill="1" applyBorder="1" applyAlignment="1" applyProtection="1">
      <alignment horizontal="center"/>
    </xf>
    <xf numFmtId="0" fontId="1" fillId="0" borderId="0" xfId="1" applyFont="1" applyAlignment="1" applyProtection="1">
      <alignment vertical="center"/>
    </xf>
    <xf numFmtId="0" fontId="3" fillId="2" borderId="0" xfId="1" applyFont="1" applyFill="1" applyProtection="1"/>
    <xf numFmtId="0" fontId="6" fillId="0" borderId="7" xfId="1" applyFont="1" applyBorder="1" applyAlignment="1" applyProtection="1">
      <alignment vertical="center"/>
      <protection locked="0"/>
    </xf>
    <xf numFmtId="2" fontId="1" fillId="0" borderId="10" xfId="3" applyNumberFormat="1" applyFont="1" applyBorder="1" applyAlignment="1" applyProtection="1">
      <alignment horizontal="center" vertical="center"/>
    </xf>
    <xf numFmtId="164" fontId="1" fillId="0" borderId="0" xfId="4" applyNumberFormat="1" applyFont="1" applyBorder="1" applyAlignment="1" applyProtection="1">
      <alignment horizontal="center" vertical="center" wrapText="1"/>
    </xf>
    <xf numFmtId="3" fontId="1" fillId="0" borderId="11" xfId="4" applyNumberFormat="1" applyFont="1" applyBorder="1" applyAlignment="1" applyProtection="1">
      <alignment horizontal="center" vertical="center" wrapText="1"/>
    </xf>
    <xf numFmtId="167" fontId="1" fillId="0" borderId="11" xfId="4" applyNumberFormat="1" applyFont="1" applyBorder="1" applyAlignment="1" applyProtection="1">
      <alignment horizontal="center" vertical="center" wrapText="1"/>
    </xf>
    <xf numFmtId="167" fontId="1" fillId="0" borderId="12" xfId="4" applyNumberFormat="1" applyFont="1" applyBorder="1" applyAlignment="1" applyProtection="1">
      <alignment horizontal="center" vertical="center" wrapText="1"/>
    </xf>
    <xf numFmtId="167" fontId="1" fillId="0" borderId="0" xfId="4" applyNumberFormat="1" applyFont="1" applyBorder="1" applyAlignment="1" applyProtection="1">
      <alignment horizontal="center" vertical="center" wrapText="1"/>
    </xf>
    <xf numFmtId="164" fontId="1" fillId="0" borderId="11" xfId="4" applyNumberFormat="1" applyFont="1" applyBorder="1" applyAlignment="1" applyProtection="1">
      <alignment horizontal="center" vertical="center" wrapText="1"/>
    </xf>
    <xf numFmtId="164" fontId="8" fillId="0" borderId="0" xfId="2" applyFont="1" applyBorder="1" applyAlignment="1" applyProtection="1">
      <alignment horizontal="center" vertical="center"/>
    </xf>
    <xf numFmtId="0" fontId="8" fillId="0" borderId="0" xfId="5" applyFont="1" applyBorder="1" applyAlignment="1" applyProtection="1">
      <alignment horizontal="center" vertical="center"/>
      <protection locked="0"/>
    </xf>
    <xf numFmtId="0" fontId="8" fillId="0" borderId="0" xfId="1" applyFont="1" applyFill="1" applyBorder="1" applyAlignment="1">
      <alignment horizontal="center" vertical="center"/>
      <protection locked="0"/>
    </xf>
    <xf numFmtId="2" fontId="1" fillId="0" borderId="0" xfId="4" applyNumberFormat="1" applyFont="1" applyBorder="1" applyAlignment="1" applyProtection="1">
      <alignment horizontal="center" vertical="center" wrapText="1"/>
    </xf>
    <xf numFmtId="165" fontId="1" fillId="0" borderId="10" xfId="3" applyNumberFormat="1" applyFont="1" applyBorder="1" applyAlignment="1" applyProtection="1">
      <alignment horizontal="center" vertical="center" wrapText="1"/>
    </xf>
    <xf numFmtId="165" fontId="1" fillId="0" borderId="0" xfId="3" applyNumberFormat="1" applyFont="1" applyBorder="1" applyAlignment="1" applyProtection="1">
      <alignment horizontal="center" vertical="center" wrapText="1"/>
    </xf>
    <xf numFmtId="2" fontId="9" fillId="0" borderId="10" xfId="3" applyNumberFormat="1" applyFont="1" applyBorder="1" applyAlignment="1" applyProtection="1">
      <alignment horizontal="center" vertical="center" wrapText="1"/>
    </xf>
    <xf numFmtId="167" fontId="8" fillId="0" borderId="12" xfId="4" applyNumberFormat="1" applyFont="1" applyBorder="1" applyAlignment="1" applyProtection="1">
      <alignment horizontal="center" vertical="center" wrapText="1"/>
    </xf>
    <xf numFmtId="167" fontId="8" fillId="0" borderId="0" xfId="4" applyNumberFormat="1" applyFont="1" applyBorder="1" applyAlignment="1" applyProtection="1">
      <alignment horizontal="center" vertical="center" wrapText="1"/>
    </xf>
    <xf numFmtId="170" fontId="6" fillId="0" borderId="9" xfId="6" applyNumberFormat="1" applyFont="1" applyBorder="1" applyAlignment="1" applyProtection="1">
      <alignment horizontal="center" vertical="center" wrapText="1"/>
      <protection locked="0"/>
    </xf>
    <xf numFmtId="164" fontId="6" fillId="0" borderId="10" xfId="2" applyFont="1" applyBorder="1" applyAlignment="1" applyProtection="1">
      <alignment horizontal="center" vertical="center" wrapText="1"/>
      <protection locked="0"/>
    </xf>
    <xf numFmtId="164" fontId="8" fillId="0" borderId="0" xfId="2" applyFont="1" applyBorder="1" applyAlignment="1" applyProtection="1">
      <alignment horizontal="center" vertical="center"/>
      <protection locked="0"/>
    </xf>
    <xf numFmtId="2" fontId="1" fillId="0" borderId="0" xfId="7" applyNumberFormat="1" applyFont="1" applyBorder="1" applyAlignment="1">
      <alignment horizontal="center" vertical="center"/>
    </xf>
    <xf numFmtId="0" fontId="8" fillId="0" borderId="0" xfId="5" applyFont="1" applyFill="1" applyBorder="1" applyAlignment="1" applyProtection="1">
      <alignment horizontal="center" vertical="center"/>
      <protection locked="0"/>
    </xf>
    <xf numFmtId="0" fontId="1" fillId="0" borderId="0" xfId="1" applyFont="1" applyAlignment="1" applyProtection="1">
      <alignment vertical="center" wrapText="1"/>
    </xf>
    <xf numFmtId="2" fontId="1" fillId="0" borderId="0" xfId="1" applyNumberFormat="1" applyFont="1" applyBorder="1" applyAlignment="1" applyProtection="1">
      <alignment horizontal="center"/>
    </xf>
    <xf numFmtId="0" fontId="3" fillId="0" borderId="0" xfId="1" applyFont="1" applyAlignment="1" applyProtection="1">
      <alignment horizontal="right"/>
    </xf>
    <xf numFmtId="0" fontId="1" fillId="0" borderId="0" xfId="1" applyFont="1" applyBorder="1" applyAlignment="1" applyProtection="1">
      <alignment horizontal="center"/>
    </xf>
    <xf numFmtId="0" fontId="3" fillId="2" borderId="13" xfId="1" applyFont="1" applyFill="1" applyBorder="1" applyAlignment="1" applyProtection="1">
      <alignment vertical="center" wrapText="1"/>
      <protection locked="0"/>
    </xf>
    <xf numFmtId="170" fontId="10" fillId="0" borderId="14" xfId="6" applyNumberFormat="1" applyFont="1" applyFill="1" applyBorder="1" applyAlignment="1" applyProtection="1">
      <alignment horizontal="center" vertical="center" wrapText="1"/>
      <protection locked="0"/>
    </xf>
    <xf numFmtId="164" fontId="10" fillId="0" borderId="15" xfId="2" applyFont="1" applyFill="1" applyBorder="1" applyAlignment="1" applyProtection="1">
      <alignment horizontal="center" vertical="center" wrapText="1"/>
      <protection locked="0"/>
    </xf>
    <xf numFmtId="2" fontId="6" fillId="0" borderId="16" xfId="4" applyNumberFormat="1" applyFont="1" applyFill="1" applyBorder="1" applyAlignment="1" applyProtection="1">
      <alignment horizontal="center" vertical="center" wrapText="1"/>
    </xf>
    <xf numFmtId="2" fontId="6" fillId="0" borderId="15" xfId="3" applyNumberFormat="1" applyFont="1" applyFill="1" applyBorder="1" applyAlignment="1" applyProtection="1">
      <alignment horizontal="center" vertical="center" wrapText="1"/>
    </xf>
    <xf numFmtId="2" fontId="6" fillId="0" borderId="16" xfId="3" applyNumberFormat="1" applyFont="1" applyBorder="1" applyAlignment="1" applyProtection="1">
      <alignment horizontal="center" vertical="center" wrapText="1"/>
    </xf>
    <xf numFmtId="2" fontId="6" fillId="0" borderId="15" xfId="3" applyNumberFormat="1" applyFont="1" applyBorder="1" applyAlignment="1" applyProtection="1">
      <alignment horizontal="center" vertical="center" wrapText="1"/>
    </xf>
    <xf numFmtId="164" fontId="6" fillId="0" borderId="16" xfId="4" applyNumberFormat="1" applyFont="1" applyBorder="1" applyAlignment="1" applyProtection="1">
      <alignment horizontal="center" vertical="center" wrapText="1"/>
    </xf>
    <xf numFmtId="164" fontId="11" fillId="0" borderId="16" xfId="2" applyFont="1" applyFill="1" applyBorder="1" applyAlignment="1" applyProtection="1">
      <alignment horizontal="center" vertical="center" wrapText="1"/>
      <protection locked="0"/>
    </xf>
    <xf numFmtId="0" fontId="10" fillId="0" borderId="16" xfId="5" applyFont="1" applyBorder="1" applyAlignment="1" applyProtection="1">
      <alignment horizontal="center" vertical="center" wrapText="1"/>
      <protection locked="0"/>
    </xf>
    <xf numFmtId="0" fontId="12" fillId="0" borderId="15" xfId="5" applyFont="1" applyFill="1" applyBorder="1" applyAlignment="1" applyProtection="1">
      <alignment horizontal="left" vertical="center"/>
      <protection locked="0"/>
    </xf>
    <xf numFmtId="2" fontId="9" fillId="0" borderId="0" xfId="8" applyNumberFormat="1" applyFont="1" applyBorder="1" applyAlignment="1" applyProtection="1">
      <alignment horizontal="center" vertical="center"/>
    </xf>
    <xf numFmtId="0" fontId="1" fillId="0" borderId="0" xfId="1" applyFont="1" applyBorder="1" applyAlignment="1" applyProtection="1">
      <alignment horizontal="left"/>
    </xf>
    <xf numFmtId="0" fontId="1" fillId="0" borderId="7" xfId="1" applyFont="1" applyBorder="1" applyAlignment="1" applyProtection="1">
      <alignment vertical="center" wrapText="1"/>
    </xf>
    <xf numFmtId="170" fontId="10" fillId="0" borderId="9" xfId="6" applyNumberFormat="1" applyFont="1" applyBorder="1" applyAlignment="1" applyProtection="1">
      <alignment horizontal="center" vertical="center" wrapText="1"/>
      <protection locked="0"/>
    </xf>
    <xf numFmtId="164" fontId="10" fillId="0" borderId="10" xfId="2" applyFont="1" applyBorder="1" applyAlignment="1" applyProtection="1">
      <alignment horizontal="center" vertical="center" wrapText="1"/>
      <protection locked="0"/>
    </xf>
    <xf numFmtId="2" fontId="1" fillId="0" borderId="10" xfId="3" applyNumberFormat="1" applyFont="1" applyFill="1" applyBorder="1" applyAlignment="1" applyProtection="1">
      <alignment horizontal="center" vertical="center" wrapText="1"/>
    </xf>
    <xf numFmtId="2" fontId="1" fillId="0" borderId="0" xfId="3" applyNumberFormat="1" applyFont="1" applyBorder="1" applyAlignment="1" applyProtection="1">
      <alignment horizontal="center" vertical="center" wrapText="1"/>
    </xf>
    <xf numFmtId="2" fontId="1" fillId="0" borderId="10" xfId="3" applyNumberFormat="1" applyFont="1" applyBorder="1" applyAlignment="1" applyProtection="1">
      <alignment horizontal="center" vertical="center" wrapText="1"/>
    </xf>
    <xf numFmtId="164" fontId="1" fillId="0" borderId="17" xfId="4" applyNumberFormat="1" applyFont="1" applyBorder="1" applyAlignment="1" applyProtection="1">
      <alignment horizontal="center" vertical="center" wrapText="1"/>
    </xf>
    <xf numFmtId="164" fontId="1" fillId="0" borderId="18" xfId="4" applyNumberFormat="1" applyFont="1" applyBorder="1" applyAlignment="1" applyProtection="1">
      <alignment horizontal="center" vertical="center" wrapText="1"/>
    </xf>
    <xf numFmtId="164" fontId="1" fillId="0" borderId="0" xfId="2" applyFont="1" applyBorder="1" applyAlignment="1" applyProtection="1">
      <alignment horizontal="center" vertical="center" wrapText="1"/>
      <protection locked="0"/>
    </xf>
    <xf numFmtId="0" fontId="1" fillId="0" borderId="0" xfId="5" applyFont="1" applyBorder="1" applyAlignment="1" applyProtection="1">
      <alignment horizontal="center" vertical="center" wrapText="1"/>
      <protection locked="0"/>
    </xf>
    <xf numFmtId="3" fontId="1" fillId="0" borderId="10" xfId="5" applyNumberFormat="1" applyFont="1" applyFill="1" applyBorder="1" applyAlignment="1" applyProtection="1">
      <alignment horizontal="center" vertical="center" wrapText="1"/>
      <protection locked="0"/>
    </xf>
    <xf numFmtId="3" fontId="1" fillId="0" borderId="2" xfId="1" applyNumberFormat="1" applyFont="1" applyBorder="1" applyAlignment="1" applyProtection="1">
      <alignment horizontal="center"/>
    </xf>
    <xf numFmtId="0" fontId="1" fillId="0" borderId="4" xfId="1" applyFont="1" applyBorder="1" applyAlignment="1" applyProtection="1">
      <alignment horizontal="center"/>
    </xf>
    <xf numFmtId="0" fontId="3" fillId="0" borderId="4" xfId="1" applyFont="1" applyBorder="1" applyAlignment="1" applyProtection="1">
      <alignment horizontal="left"/>
    </xf>
    <xf numFmtId="164" fontId="1" fillId="0" borderId="12" xfId="4" applyNumberFormat="1" applyFont="1" applyBorder="1" applyAlignment="1" applyProtection="1">
      <alignment horizontal="center" vertical="center" wrapText="1"/>
    </xf>
    <xf numFmtId="164" fontId="8" fillId="0" borderId="0" xfId="2" applyFont="1" applyBorder="1" applyAlignment="1" applyProtection="1">
      <alignment horizontal="center" vertical="center" wrapText="1"/>
      <protection locked="0"/>
    </xf>
    <xf numFmtId="0" fontId="8" fillId="0" borderId="0" xfId="5" applyFont="1" applyBorder="1" applyAlignment="1" applyProtection="1">
      <alignment horizontal="center" vertical="center" wrapText="1"/>
      <protection locked="0"/>
    </xf>
    <xf numFmtId="0" fontId="8" fillId="0" borderId="10" xfId="5" applyFont="1" applyFill="1" applyBorder="1" applyAlignment="1" applyProtection="1">
      <alignment horizontal="center" vertical="center" wrapText="1"/>
      <protection locked="0"/>
    </xf>
    <xf numFmtId="3" fontId="1" fillId="0" borderId="9" xfId="1" applyNumberFormat="1" applyFont="1" applyBorder="1" applyAlignment="1" applyProtection="1">
      <alignment horizontal="center"/>
    </xf>
    <xf numFmtId="0" fontId="3" fillId="0" borderId="0" xfId="1" applyFont="1" applyBorder="1" applyProtection="1"/>
    <xf numFmtId="0" fontId="13" fillId="0" borderId="7" xfId="1" applyFont="1" applyBorder="1" applyAlignment="1" applyProtection="1">
      <alignment vertical="center" wrapText="1"/>
      <protection locked="0"/>
    </xf>
    <xf numFmtId="0" fontId="4" fillId="0" borderId="7" xfId="1" applyFont="1" applyBorder="1" applyAlignment="1" applyProtection="1">
      <alignment vertical="center" wrapText="1"/>
      <protection locked="0"/>
    </xf>
    <xf numFmtId="2" fontId="4" fillId="0" borderId="0" xfId="7" applyNumberFormat="1" applyFont="1" applyBorder="1" applyAlignment="1">
      <alignment horizontal="center" vertical="center" wrapText="1"/>
    </xf>
    <xf numFmtId="0" fontId="8" fillId="0" borderId="10" xfId="5" applyFont="1" applyBorder="1" applyAlignment="1" applyProtection="1">
      <alignment horizontal="center" vertical="center" wrapText="1"/>
      <protection locked="0"/>
    </xf>
    <xf numFmtId="3" fontId="1" fillId="0" borderId="19" xfId="1" applyNumberFormat="1" applyFont="1" applyBorder="1" applyAlignment="1" applyProtection="1">
      <alignment horizontal="center"/>
    </xf>
    <xf numFmtId="0" fontId="1" fillId="0" borderId="20" xfId="1" applyFont="1" applyBorder="1" applyProtection="1"/>
    <xf numFmtId="0" fontId="3" fillId="0" borderId="20" xfId="1" applyFont="1" applyBorder="1" applyProtection="1"/>
    <xf numFmtId="0" fontId="10" fillId="0" borderId="9" xfId="1" applyFont="1" applyBorder="1" applyAlignment="1" applyProtection="1">
      <alignment horizontal="center" vertical="center" wrapText="1"/>
    </xf>
    <xf numFmtId="0" fontId="9" fillId="0" borderId="0" xfId="8" applyNumberFormat="1" applyFont="1" applyBorder="1" applyAlignment="1" applyProtection="1">
      <alignment horizontal="center" vertical="center" wrapText="1"/>
      <protection locked="0"/>
    </xf>
    <xf numFmtId="0" fontId="1" fillId="0" borderId="0" xfId="1" applyFont="1" applyBorder="1" applyAlignment="1" applyProtection="1">
      <alignment horizontal="center" vertical="center" wrapText="1"/>
    </xf>
    <xf numFmtId="2" fontId="1" fillId="0" borderId="0" xfId="1" applyNumberFormat="1" applyFont="1" applyBorder="1" applyAlignment="1" applyProtection="1">
      <alignment horizontal="center" vertical="center" wrapText="1"/>
    </xf>
    <xf numFmtId="0" fontId="10" fillId="0" borderId="19" xfId="1" applyFont="1" applyBorder="1" applyAlignment="1" applyProtection="1">
      <alignment horizontal="center" vertical="center" wrapText="1"/>
    </xf>
    <xf numFmtId="0" fontId="9" fillId="0" borderId="20" xfId="8" applyNumberFormat="1" applyFont="1" applyBorder="1" applyAlignment="1" applyProtection="1">
      <alignment horizontal="center" vertical="center" wrapText="1"/>
      <protection locked="0"/>
    </xf>
    <xf numFmtId="0" fontId="1" fillId="0" borderId="21" xfId="1" applyFont="1" applyBorder="1" applyAlignment="1" applyProtection="1">
      <alignment horizontal="center" vertical="center" wrapText="1"/>
    </xf>
    <xf numFmtId="0" fontId="4" fillId="0" borderId="22" xfId="1" applyFont="1" applyBorder="1" applyAlignment="1" applyProtection="1">
      <alignment vertical="center" wrapText="1"/>
      <protection locked="0"/>
    </xf>
    <xf numFmtId="170" fontId="14" fillId="0" borderId="9" xfId="6" applyNumberFormat="1" applyFont="1" applyBorder="1" applyAlignment="1" applyProtection="1">
      <alignment horizontal="center" vertical="center" wrapText="1"/>
      <protection locked="0"/>
    </xf>
    <xf numFmtId="165" fontId="1" fillId="0" borderId="0" xfId="3" applyFont="1" applyBorder="1" applyAlignment="1" applyProtection="1">
      <alignment horizontal="center" vertical="center" wrapText="1"/>
    </xf>
    <xf numFmtId="165" fontId="1" fillId="0" borderId="10" xfId="3" applyFont="1" applyBorder="1" applyAlignment="1" applyProtection="1">
      <alignment horizontal="center" vertical="center" wrapText="1"/>
    </xf>
    <xf numFmtId="164" fontId="1" fillId="0" borderId="0" xfId="2" applyFont="1" applyBorder="1" applyAlignment="1" applyProtection="1">
      <alignment horizontal="center" vertical="center" wrapText="1"/>
    </xf>
    <xf numFmtId="164" fontId="1" fillId="0" borderId="23" xfId="2" applyFont="1" applyBorder="1" applyAlignment="1" applyProtection="1">
      <alignment horizontal="center" vertical="center" wrapText="1"/>
    </xf>
    <xf numFmtId="164" fontId="1" fillId="0" borderId="12" xfId="2" applyFont="1" applyBorder="1" applyAlignment="1" applyProtection="1">
      <alignment horizontal="center" vertical="center" wrapText="1"/>
    </xf>
    <xf numFmtId="164" fontId="1" fillId="0" borderId="11" xfId="2" applyFont="1" applyBorder="1" applyAlignment="1" applyProtection="1">
      <alignment horizontal="center" vertical="center" wrapText="1"/>
    </xf>
    <xf numFmtId="0" fontId="1" fillId="0" borderId="10" xfId="5" applyFont="1" applyBorder="1" applyAlignment="1" applyProtection="1">
      <alignment horizontal="center" vertical="center" wrapText="1"/>
      <protection locked="0"/>
    </xf>
    <xf numFmtId="0" fontId="3" fillId="0" borderId="0" xfId="9" applyFont="1" applyBorder="1" applyAlignment="1" applyProtection="1"/>
    <xf numFmtId="0" fontId="1" fillId="0" borderId="0" xfId="9" applyFont="1" applyBorder="1" applyAlignment="1" applyProtection="1"/>
    <xf numFmtId="2" fontId="3" fillId="0" borderId="0" xfId="9" applyNumberFormat="1" applyFont="1" applyBorder="1" applyAlignment="1" applyProtection="1">
      <alignment horizontal="center" vertical="top" wrapText="1"/>
    </xf>
    <xf numFmtId="2" fontId="1" fillId="0" borderId="2" xfId="9" applyNumberFormat="1" applyFont="1" applyBorder="1" applyAlignment="1" applyProtection="1">
      <alignment horizontal="center" vertical="top" wrapText="1"/>
    </xf>
    <xf numFmtId="0" fontId="3" fillId="0" borderId="4" xfId="9" applyFont="1" applyBorder="1" applyAlignment="1" applyProtection="1">
      <alignment horizontal="center" vertical="top" wrapText="1"/>
    </xf>
    <xf numFmtId="0" fontId="3" fillId="0" borderId="3" xfId="9" applyFont="1" applyBorder="1" applyAlignment="1" applyProtection="1">
      <alignment horizontal="center" vertical="top" wrapText="1"/>
    </xf>
    <xf numFmtId="0" fontId="3" fillId="0" borderId="1" xfId="9" applyFont="1" applyBorder="1" applyAlignment="1" applyProtection="1">
      <alignment horizontal="left"/>
    </xf>
    <xf numFmtId="0" fontId="1" fillId="0" borderId="2" xfId="9" applyFont="1" applyBorder="1" applyAlignment="1" applyProtection="1">
      <alignment horizontal="center"/>
    </xf>
    <xf numFmtId="164" fontId="1" fillId="0" borderId="3" xfId="2" applyFont="1" applyBorder="1" applyAlignment="1" applyProtection="1">
      <alignment horizontal="center"/>
    </xf>
    <xf numFmtId="165" fontId="1" fillId="0" borderId="4" xfId="3" applyFont="1" applyBorder="1" applyAlignment="1" applyProtection="1">
      <alignment horizontal="center"/>
    </xf>
    <xf numFmtId="0" fontId="3" fillId="0" borderId="2" xfId="9" applyFont="1" applyBorder="1" applyAlignment="1" applyProtection="1"/>
    <xf numFmtId="2" fontId="1" fillId="0" borderId="3" xfId="3" applyNumberFormat="1" applyFont="1" applyBorder="1" applyAlignment="1" applyProtection="1">
      <alignment horizontal="center"/>
    </xf>
    <xf numFmtId="164" fontId="1" fillId="0" borderId="4" xfId="2" applyFont="1" applyBorder="1" applyAlignment="1" applyProtection="1">
      <alignment horizontal="center"/>
    </xf>
    <xf numFmtId="171" fontId="16" fillId="0" borderId="5" xfId="10" applyNumberFormat="1" applyFont="1" applyBorder="1" applyAlignment="1" applyProtection="1">
      <alignment horizontal="center"/>
    </xf>
    <xf numFmtId="171" fontId="4" fillId="0" borderId="5" xfId="10" applyNumberFormat="1" applyFont="1" applyBorder="1" applyAlignment="1" applyProtection="1">
      <alignment horizontal="center"/>
    </xf>
    <xf numFmtId="171" fontId="4" fillId="0" borderId="6" xfId="10" applyNumberFormat="1" applyFont="1" applyBorder="1" applyAlignment="1" applyProtection="1">
      <alignment horizontal="center"/>
    </xf>
    <xf numFmtId="171" fontId="4" fillId="0" borderId="4" xfId="10" applyNumberFormat="1" applyFont="1" applyBorder="1" applyAlignment="1" applyProtection="1">
      <alignment horizontal="center"/>
    </xf>
    <xf numFmtId="0" fontId="4" fillId="0" borderId="6" xfId="10" applyFont="1" applyBorder="1" applyAlignment="1" applyProtection="1">
      <alignment horizontal="center"/>
    </xf>
    <xf numFmtId="0" fontId="4" fillId="0" borderId="4" xfId="10" applyFont="1" applyBorder="1" applyAlignment="1" applyProtection="1">
      <alignment horizontal="center"/>
    </xf>
    <xf numFmtId="164" fontId="1" fillId="0" borderId="5" xfId="2" applyFont="1" applyBorder="1" applyAlignment="1" applyProtection="1">
      <alignment horizontal="center"/>
    </xf>
    <xf numFmtId="0" fontId="1" fillId="0" borderId="4" xfId="9" applyFont="1" applyBorder="1" applyAlignment="1" applyProtection="1">
      <alignment horizontal="center"/>
    </xf>
    <xf numFmtId="0" fontId="1" fillId="0" borderId="3" xfId="9" applyFont="1" applyBorder="1" applyAlignment="1" applyProtection="1">
      <alignment horizontal="center"/>
    </xf>
    <xf numFmtId="0" fontId="3" fillId="0" borderId="0" xfId="9" applyFont="1" applyAlignment="1" applyProtection="1"/>
    <xf numFmtId="0" fontId="1" fillId="0" borderId="0" xfId="9" applyFont="1" applyAlignment="1" applyProtection="1"/>
    <xf numFmtId="0" fontId="3" fillId="0" borderId="9" xfId="9" applyFont="1" applyBorder="1" applyAlignment="1" applyProtection="1">
      <alignment horizontal="center"/>
    </xf>
    <xf numFmtId="0" fontId="3" fillId="0" borderId="0" xfId="9" applyFont="1" applyBorder="1" applyAlignment="1" applyProtection="1">
      <alignment horizontal="center"/>
    </xf>
    <xf numFmtId="0" fontId="3" fillId="0" borderId="10" xfId="9" applyFont="1" applyBorder="1" applyAlignment="1" applyProtection="1">
      <alignment horizontal="center"/>
    </xf>
    <xf numFmtId="0" fontId="18" fillId="0" borderId="7" xfId="9" applyFont="1" applyBorder="1" applyAlignment="1" applyProtection="1">
      <alignment horizontal="right"/>
    </xf>
    <xf numFmtId="164" fontId="3" fillId="0" borderId="10" xfId="2" applyFont="1" applyBorder="1" applyAlignment="1" applyProtection="1">
      <alignment horizontal="center"/>
    </xf>
    <xf numFmtId="2" fontId="3" fillId="0" borderId="9" xfId="3" applyNumberFormat="1" applyFont="1" applyBorder="1" applyAlignment="1" applyProtection="1">
      <alignment horizontal="center"/>
    </xf>
    <xf numFmtId="165" fontId="3" fillId="0" borderId="10" xfId="3" applyFont="1" applyBorder="1" applyAlignment="1" applyProtection="1">
      <alignment horizontal="center"/>
    </xf>
    <xf numFmtId="164" fontId="3" fillId="0" borderId="0" xfId="2" applyFont="1" applyBorder="1" applyAlignment="1" applyProtection="1">
      <alignment horizontal="center"/>
    </xf>
    <xf numFmtId="171" fontId="19" fillId="0" borderId="11" xfId="10" applyNumberFormat="1" applyFont="1" applyBorder="1" applyAlignment="1" applyProtection="1">
      <alignment horizontal="center"/>
    </xf>
    <xf numFmtId="171" fontId="13" fillId="0" borderId="11" xfId="10" applyNumberFormat="1" applyFont="1" applyBorder="1" applyAlignment="1" applyProtection="1">
      <alignment horizontal="center"/>
    </xf>
    <xf numFmtId="171" fontId="13" fillId="0" borderId="12" xfId="10" applyNumberFormat="1" applyFont="1" applyBorder="1" applyAlignment="1" applyProtection="1">
      <alignment horizontal="centerContinuous"/>
    </xf>
    <xf numFmtId="171" fontId="13" fillId="0" borderId="0" xfId="10" applyNumberFormat="1" applyFont="1" applyBorder="1" applyAlignment="1" applyProtection="1">
      <alignment horizontal="centerContinuous"/>
    </xf>
    <xf numFmtId="0" fontId="13" fillId="0" borderId="12" xfId="10" applyFont="1" applyBorder="1" applyAlignment="1" applyProtection="1">
      <alignment horizontal="centerContinuous"/>
    </xf>
    <xf numFmtId="0" fontId="13" fillId="0" borderId="0" xfId="10" applyFont="1" applyBorder="1" applyAlignment="1" applyProtection="1">
      <alignment horizontal="centerContinuous"/>
    </xf>
    <xf numFmtId="164" fontId="3" fillId="0" borderId="11" xfId="2" applyFont="1" applyBorder="1" applyAlignment="1" applyProtection="1">
      <alignment horizontal="center"/>
    </xf>
    <xf numFmtId="0" fontId="3" fillId="0" borderId="9" xfId="9" applyFont="1" applyBorder="1" applyAlignment="1" applyProtection="1">
      <alignment horizontal="centerContinuous"/>
    </xf>
    <xf numFmtId="1" fontId="3" fillId="0" borderId="0" xfId="9" applyNumberFormat="1" applyFont="1" applyBorder="1" applyAlignment="1" applyProtection="1">
      <alignment horizontal="centerContinuous"/>
    </xf>
    <xf numFmtId="171" fontId="13" fillId="0" borderId="12" xfId="10" applyNumberFormat="1" applyFont="1" applyBorder="1" applyAlignment="1" applyProtection="1">
      <alignment horizontal="center"/>
    </xf>
    <xf numFmtId="171" fontId="13" fillId="0" borderId="0" xfId="10" applyNumberFormat="1" applyFont="1" applyBorder="1" applyAlignment="1" applyProtection="1">
      <alignment horizontal="center"/>
    </xf>
    <xf numFmtId="0" fontId="13" fillId="0" borderId="12" xfId="10" applyFont="1" applyBorder="1" applyAlignment="1" applyProtection="1">
      <alignment horizontal="center"/>
    </xf>
    <xf numFmtId="0" fontId="13" fillId="0" borderId="0" xfId="10" applyFont="1" applyBorder="1" applyAlignment="1" applyProtection="1">
      <alignment horizontal="center"/>
    </xf>
    <xf numFmtId="1" fontId="3" fillId="0" borderId="11" xfId="9" applyNumberFormat="1" applyFont="1" applyBorder="1" applyAlignment="1" applyProtection="1">
      <alignment horizontal="center"/>
    </xf>
    <xf numFmtId="1" fontId="3" fillId="0" borderId="0" xfId="9" applyNumberFormat="1" applyFont="1" applyBorder="1" applyAlignment="1" applyProtection="1"/>
    <xf numFmtId="0" fontId="3" fillId="0" borderId="10" xfId="9" applyFont="1" applyBorder="1" applyAlignment="1" applyProtection="1"/>
    <xf numFmtId="0" fontId="3" fillId="0" borderId="9" xfId="9" applyFont="1" applyBorder="1" applyAlignment="1" applyProtection="1"/>
    <xf numFmtId="164" fontId="12" fillId="0" borderId="10" xfId="2" applyFont="1" applyBorder="1" applyAlignment="1" applyProtection="1">
      <alignment horizontal="centerContinuous"/>
    </xf>
    <xf numFmtId="1" fontId="3" fillId="0" borderId="0" xfId="9" applyNumberFormat="1" applyFont="1" applyBorder="1" applyAlignment="1" applyProtection="1">
      <alignment horizontal="center"/>
    </xf>
    <xf numFmtId="171" fontId="13" fillId="0" borderId="11" xfId="10" applyNumberFormat="1" applyFont="1" applyBorder="1" applyAlignment="1" applyProtection="1">
      <alignment horizontal="centerContinuous"/>
    </xf>
    <xf numFmtId="171" fontId="20" fillId="0" borderId="0" xfId="10" applyNumberFormat="1" applyFont="1" applyBorder="1" applyAlignment="1" applyProtection="1">
      <alignment horizontal="centerContinuous"/>
    </xf>
    <xf numFmtId="0" fontId="20" fillId="0" borderId="0" xfId="10" applyFont="1" applyBorder="1" applyAlignment="1" applyProtection="1">
      <alignment horizontal="centerContinuous"/>
    </xf>
    <xf numFmtId="1" fontId="3" fillId="0" borderId="11" xfId="9" applyNumberFormat="1" applyFont="1" applyBorder="1" applyAlignment="1" applyProtection="1">
      <alignment horizontal="centerContinuous"/>
    </xf>
    <xf numFmtId="0" fontId="3" fillId="0" borderId="0" xfId="9" applyFont="1" applyBorder="1" applyAlignment="1" applyProtection="1">
      <alignment horizontal="centerContinuous"/>
    </xf>
    <xf numFmtId="0" fontId="12" fillId="0" borderId="10" xfId="9" applyFont="1" applyBorder="1" applyAlignment="1" applyProtection="1">
      <alignment horizontal="centerContinuous"/>
    </xf>
    <xf numFmtId="0" fontId="3" fillId="0" borderId="0" xfId="1" applyFont="1" applyProtection="1"/>
    <xf numFmtId="0" fontId="1" fillId="0" borderId="0" xfId="1" quotePrefix="1" applyFont="1" applyProtection="1"/>
    <xf numFmtId="0" fontId="3" fillId="0" borderId="19" xfId="1" applyFont="1" applyBorder="1" applyAlignment="1" applyProtection="1">
      <alignment horizontal="left"/>
    </xf>
    <xf numFmtId="0" fontId="1" fillId="0" borderId="21" xfId="1" applyFont="1" applyBorder="1" applyProtection="1"/>
    <xf numFmtId="0" fontId="18" fillId="0" borderId="22" xfId="1" applyFont="1" applyBorder="1" applyAlignment="1" applyProtection="1">
      <alignment horizontal="right"/>
    </xf>
    <xf numFmtId="0" fontId="21" fillId="0" borderId="19" xfId="1" applyFont="1" applyBorder="1" applyAlignment="1" applyProtection="1">
      <alignment horizontal="centerContinuous"/>
    </xf>
    <xf numFmtId="0" fontId="12" fillId="0" borderId="21" xfId="1" applyFont="1" applyBorder="1" applyAlignment="1" applyProtection="1">
      <alignment horizontal="center"/>
    </xf>
    <xf numFmtId="165" fontId="12" fillId="0" borderId="20" xfId="3" applyFont="1" applyBorder="1" applyAlignment="1" applyProtection="1">
      <alignment horizontal="centerContinuous"/>
    </xf>
    <xf numFmtId="2" fontId="12" fillId="0" borderId="19" xfId="3" applyNumberFormat="1" applyFont="1" applyBorder="1" applyAlignment="1" applyProtection="1">
      <alignment horizontal="centerContinuous"/>
    </xf>
    <xf numFmtId="2" fontId="12" fillId="0" borderId="21" xfId="3" applyNumberFormat="1" applyFont="1" applyBorder="1" applyAlignment="1" applyProtection="1">
      <alignment horizontal="centerContinuous"/>
    </xf>
    <xf numFmtId="1" fontId="22" fillId="0" borderId="20" xfId="5" applyNumberFormat="1" applyFont="1" applyBorder="1" applyAlignment="1" applyProtection="1">
      <alignment horizontal="centerContinuous"/>
    </xf>
    <xf numFmtId="1" fontId="22" fillId="0" borderId="19" xfId="5" applyNumberFormat="1" applyFont="1" applyBorder="1" applyAlignment="1" applyProtection="1">
      <alignment horizontal="centerContinuous"/>
    </xf>
    <xf numFmtId="1" fontId="22" fillId="0" borderId="20" xfId="5" applyNumberFormat="1" applyFont="1" applyBorder="1" applyAlignment="1" applyProtection="1">
      <alignment horizontal="centerContinuous"/>
      <protection locked="0"/>
    </xf>
    <xf numFmtId="0" fontId="12" fillId="0" borderId="20" xfId="9" applyFont="1" applyBorder="1" applyAlignment="1" applyProtection="1">
      <alignment horizontal="centerContinuous"/>
    </xf>
    <xf numFmtId="0" fontId="12" fillId="0" borderId="21" xfId="9" applyFont="1" applyBorder="1" applyAlignment="1" applyProtection="1">
      <alignment horizontal="centerContinuous"/>
    </xf>
    <xf numFmtId="0" fontId="1" fillId="0" borderId="0" xfId="4" applyFont="1" applyAlignment="1" applyProtection="1">
      <alignment vertical="top"/>
    </xf>
    <xf numFmtId="0" fontId="1" fillId="0" borderId="0" xfId="4" quotePrefix="1" applyFont="1" applyAlignment="1" applyProtection="1">
      <alignment vertical="top"/>
    </xf>
    <xf numFmtId="0" fontId="4" fillId="0" borderId="0" xfId="4" applyFont="1" applyBorder="1" applyAlignment="1" applyProtection="1">
      <alignment horizontal="left" vertical="top"/>
    </xf>
    <xf numFmtId="0" fontId="3" fillId="0" borderId="4" xfId="4" applyFont="1" applyBorder="1" applyAlignment="1" applyProtection="1">
      <alignment horizontal="right" vertical="top"/>
    </xf>
    <xf numFmtId="0" fontId="4" fillId="0" borderId="4" xfId="4" applyFont="1" applyBorder="1" applyAlignment="1" applyProtection="1">
      <alignment horizontal="left" vertical="top"/>
    </xf>
    <xf numFmtId="165" fontId="1" fillId="0" borderId="4" xfId="4" applyNumberFormat="1" applyFont="1" applyBorder="1" applyAlignment="1" applyProtection="1">
      <alignment vertical="top"/>
    </xf>
    <xf numFmtId="165" fontId="23" fillId="0" borderId="4" xfId="4" applyNumberFormat="1" applyFont="1" applyBorder="1" applyAlignment="1" applyProtection="1">
      <alignment vertical="top"/>
    </xf>
    <xf numFmtId="0" fontId="1" fillId="0" borderId="4" xfId="4" applyFont="1" applyBorder="1" applyAlignment="1" applyProtection="1">
      <alignment vertical="top"/>
      <protection locked="0"/>
    </xf>
    <xf numFmtId="2" fontId="1" fillId="0" borderId="4" xfId="4" applyNumberFormat="1" applyFont="1" applyBorder="1" applyAlignment="1" applyProtection="1">
      <alignment vertical="top"/>
    </xf>
    <xf numFmtId="1" fontId="1" fillId="0" borderId="4" xfId="4" applyNumberFormat="1" applyFont="1" applyBorder="1" applyAlignment="1" applyProtection="1">
      <alignment vertical="top"/>
    </xf>
    <xf numFmtId="1" fontId="10" fillId="0" borderId="4" xfId="4" applyNumberFormat="1" applyFont="1" applyBorder="1" applyAlignment="1" applyProtection="1">
      <alignment vertical="top"/>
      <protection locked="0"/>
    </xf>
    <xf numFmtId="165" fontId="23" fillId="0" borderId="3" xfId="4" applyNumberFormat="1" applyFont="1" applyBorder="1" applyAlignment="1" applyProtection="1">
      <alignment vertical="top"/>
    </xf>
    <xf numFmtId="0" fontId="3" fillId="0" borderId="0" xfId="1" applyFont="1" applyBorder="1" applyAlignment="1" applyProtection="1">
      <alignment horizontal="left"/>
    </xf>
    <xf numFmtId="0" fontId="4" fillId="0" borderId="0" xfId="1" applyFont="1" applyBorder="1" applyAlignment="1" applyProtection="1">
      <alignment horizontal="center"/>
    </xf>
    <xf numFmtId="0" fontId="3" fillId="0" borderId="0" xfId="1" applyFont="1" applyBorder="1" applyAlignment="1" applyProtection="1">
      <alignment horizontal="right"/>
    </xf>
    <xf numFmtId="165" fontId="1" fillId="0" borderId="0" xfId="3" applyFont="1" applyFill="1" applyBorder="1" applyAlignment="1" applyProtection="1">
      <alignment horizontal="center"/>
    </xf>
    <xf numFmtId="165" fontId="1" fillId="0" borderId="0" xfId="3" applyFont="1" applyFill="1" applyBorder="1" applyAlignment="1" applyProtection="1">
      <alignment horizontal="left"/>
    </xf>
    <xf numFmtId="165" fontId="1" fillId="0" borderId="0" xfId="3" applyFont="1" applyBorder="1"/>
    <xf numFmtId="0" fontId="10" fillId="0" borderId="0" xfId="0" applyFont="1" applyAlignment="1">
      <alignment horizontal="center"/>
    </xf>
    <xf numFmtId="2" fontId="3" fillId="0" borderId="0" xfId="9" applyNumberFormat="1" applyFont="1" applyBorder="1" applyAlignment="1" applyProtection="1">
      <alignment horizontal="right"/>
    </xf>
    <xf numFmtId="1" fontId="4" fillId="0" borderId="0" xfId="5" applyNumberFormat="1" applyFont="1" applyBorder="1" applyAlignment="1" applyProtection="1">
      <alignment horizontal="left"/>
    </xf>
    <xf numFmtId="1" fontId="4" fillId="0" borderId="0" xfId="5" applyNumberFormat="1" applyFont="1" applyBorder="1" applyAlignment="1" applyProtection="1">
      <alignment horizontal="left"/>
      <protection locked="0"/>
    </xf>
    <xf numFmtId="0" fontId="3" fillId="0" borderId="0" xfId="9" applyFont="1" applyBorder="1" applyAlignment="1" applyProtection="1">
      <alignment horizontal="right"/>
    </xf>
    <xf numFmtId="0" fontId="12" fillId="0" borderId="0" xfId="1" applyFont="1" applyProtection="1"/>
    <xf numFmtId="0" fontId="4" fillId="0" borderId="20" xfId="5" applyFont="1" applyBorder="1" applyAlignment="1" applyProtection="1">
      <alignment horizontal="left"/>
      <protection locked="0"/>
    </xf>
    <xf numFmtId="0" fontId="3" fillId="0" borderId="20" xfId="9" applyFont="1" applyBorder="1" applyAlignment="1" applyProtection="1">
      <alignment horizontal="right"/>
    </xf>
    <xf numFmtId="165" fontId="1" fillId="0" borderId="20" xfId="3" applyFont="1" applyFill="1" applyBorder="1" applyAlignment="1" applyProtection="1">
      <alignment horizontal="center"/>
    </xf>
    <xf numFmtId="165" fontId="22" fillId="0" borderId="20" xfId="11" applyNumberFormat="1" applyFill="1" applyBorder="1" applyAlignment="1" applyProtection="1">
      <alignment horizontal="left"/>
    </xf>
    <xf numFmtId="165" fontId="1" fillId="0" borderId="20" xfId="3" applyFont="1" applyBorder="1"/>
    <xf numFmtId="14" fontId="4" fillId="0" borderId="20" xfId="5" applyNumberFormat="1" applyFont="1" applyBorder="1" applyAlignment="1" applyProtection="1">
      <alignment horizontal="center"/>
      <protection locked="0"/>
    </xf>
    <xf numFmtId="2" fontId="3" fillId="0" borderId="20" xfId="9" applyNumberFormat="1" applyFont="1" applyBorder="1" applyAlignment="1" applyProtection="1">
      <alignment horizontal="right"/>
    </xf>
    <xf numFmtId="1" fontId="4" fillId="0" borderId="20" xfId="5" applyNumberFormat="1" applyFont="1" applyBorder="1" applyAlignment="1" applyProtection="1">
      <alignment horizontal="left"/>
    </xf>
    <xf numFmtId="1" fontId="4" fillId="0" borderId="20" xfId="5" applyNumberFormat="1" applyFont="1" applyBorder="1" applyAlignment="1" applyProtection="1">
      <alignment horizontal="left"/>
      <protection locked="0"/>
    </xf>
    <xf numFmtId="0" fontId="3" fillId="0" borderId="21" xfId="9" applyFont="1" applyBorder="1" applyAlignment="1" applyProtection="1"/>
    <xf numFmtId="0" fontId="16" fillId="0" borderId="0" xfId="0" applyFont="1" applyAlignment="1">
      <alignment horizontal="center"/>
    </xf>
    <xf numFmtId="1" fontId="4" fillId="0" borderId="4" xfId="4" applyNumberFormat="1" applyFont="1" applyBorder="1" applyAlignment="1" applyProtection="1">
      <alignment vertical="top"/>
      <protection locked="0"/>
    </xf>
    <xf numFmtId="0" fontId="1" fillId="0" borderId="0" xfId="4" applyFont="1" applyBorder="1" applyAlignment="1" applyProtection="1">
      <alignment vertical="top"/>
    </xf>
    <xf numFmtId="0" fontId="3" fillId="0" borderId="19" xfId="1" applyFont="1" applyBorder="1" applyProtection="1"/>
    <xf numFmtId="1" fontId="12" fillId="0" borderId="20" xfId="5" applyNumberFormat="1" applyFont="1" applyBorder="1" applyAlignment="1" applyProtection="1">
      <alignment horizontal="centerContinuous"/>
    </xf>
    <xf numFmtId="1" fontId="3" fillId="0" borderId="9" xfId="9" applyNumberFormat="1" applyFont="1" applyBorder="1" applyAlignment="1" applyProtection="1">
      <alignment horizontal="centerContinuous"/>
    </xf>
    <xf numFmtId="1" fontId="3" fillId="0" borderId="9" xfId="9" applyNumberFormat="1" applyFont="1" applyBorder="1" applyAlignment="1" applyProtection="1"/>
    <xf numFmtId="0" fontId="3" fillId="0" borderId="25" xfId="9" applyFont="1" applyBorder="1" applyAlignment="1" applyProtection="1">
      <alignment horizontal="center"/>
    </xf>
    <xf numFmtId="0" fontId="3" fillId="0" borderId="11" xfId="9" applyFont="1" applyBorder="1" applyAlignment="1" applyProtection="1">
      <alignment horizontal="center"/>
    </xf>
    <xf numFmtId="14" fontId="3" fillId="0" borderId="9" xfId="9" applyNumberFormat="1" applyFont="1" applyBorder="1" applyAlignment="1" applyProtection="1">
      <alignment horizontal="centerContinuous"/>
    </xf>
    <xf numFmtId="164" fontId="3" fillId="0" borderId="9" xfId="2" applyFont="1" applyBorder="1" applyAlignment="1" applyProtection="1">
      <alignment horizontal="center"/>
    </xf>
    <xf numFmtId="0" fontId="1" fillId="0" borderId="3" xfId="9" applyFont="1" applyBorder="1" applyAlignment="1" applyProtection="1">
      <alignment horizontal="center" vertical="center"/>
    </xf>
    <xf numFmtId="0" fontId="1" fillId="0" borderId="4" xfId="9" applyFont="1" applyBorder="1" applyAlignment="1" applyProtection="1">
      <alignment horizontal="center" vertical="center"/>
    </xf>
    <xf numFmtId="164" fontId="1" fillId="0" borderId="4" xfId="2" applyFont="1" applyBorder="1" applyAlignment="1" applyProtection="1">
      <alignment horizontal="center" vertical="center"/>
    </xf>
    <xf numFmtId="164" fontId="1" fillId="0" borderId="2" xfId="2" applyFont="1" applyBorder="1" applyAlignment="1" applyProtection="1">
      <alignment horizontal="center" vertical="center"/>
    </xf>
    <xf numFmtId="2" fontId="1" fillId="0" borderId="2" xfId="3" applyNumberFormat="1" applyFont="1" applyBorder="1" applyAlignment="1" applyProtection="1">
      <alignment horizontal="center" vertical="center"/>
    </xf>
    <xf numFmtId="164" fontId="1" fillId="0" borderId="3" xfId="2" applyFont="1" applyBorder="1" applyAlignment="1" applyProtection="1">
      <alignment horizontal="center" vertical="center"/>
    </xf>
    <xf numFmtId="0" fontId="1" fillId="0" borderId="2" xfId="9" applyFont="1" applyBorder="1" applyAlignment="1" applyProtection="1">
      <alignment horizontal="center" vertical="center"/>
    </xf>
    <xf numFmtId="0" fontId="3" fillId="0" borderId="1" xfId="9" applyFont="1" applyBorder="1" applyAlignment="1" applyProtection="1">
      <alignment horizontal="center" vertical="center"/>
    </xf>
    <xf numFmtId="0" fontId="3" fillId="0" borderId="26" xfId="9" applyFont="1" applyBorder="1" applyAlignment="1" applyProtection="1">
      <alignment horizontal="center" vertical="center" wrapText="1"/>
    </xf>
    <xf numFmtId="0" fontId="3" fillId="0" borderId="5" xfId="9" applyFont="1" applyBorder="1" applyAlignment="1" applyProtection="1">
      <alignment horizontal="center" vertical="center" wrapText="1"/>
    </xf>
    <xf numFmtId="2" fontId="3" fillId="0" borderId="0" xfId="9" applyNumberFormat="1" applyFont="1" applyBorder="1" applyAlignment="1" applyProtection="1">
      <alignment horizontal="center" vertical="center" wrapText="1"/>
    </xf>
    <xf numFmtId="0" fontId="3" fillId="0" borderId="0" xfId="9" applyFont="1" applyBorder="1" applyAlignment="1" applyProtection="1">
      <alignment vertical="center"/>
    </xf>
    <xf numFmtId="0" fontId="4" fillId="0" borderId="10" xfId="5" applyFont="1" applyBorder="1" applyAlignment="1" applyProtection="1">
      <alignment horizontal="center" vertical="center" wrapText="1"/>
      <protection locked="0"/>
    </xf>
    <xf numFmtId="0" fontId="4" fillId="0" borderId="0" xfId="5" applyFont="1" applyBorder="1" applyAlignment="1" applyProtection="1">
      <alignment horizontal="center" vertical="center" wrapText="1"/>
      <protection locked="0"/>
    </xf>
    <xf numFmtId="164" fontId="4" fillId="0" borderId="0" xfId="2" applyFont="1" applyBorder="1" applyAlignment="1" applyProtection="1">
      <alignment horizontal="center" vertical="center" wrapText="1"/>
      <protection locked="0"/>
    </xf>
    <xf numFmtId="164" fontId="4" fillId="0" borderId="19" xfId="2" applyFont="1" applyBorder="1" applyAlignment="1" applyProtection="1">
      <alignment horizontal="center" vertical="center" wrapText="1"/>
    </xf>
    <xf numFmtId="164" fontId="4" fillId="0" borderId="0" xfId="2" applyFont="1" applyBorder="1" applyAlignment="1" applyProtection="1">
      <alignment horizontal="center" vertical="center" wrapText="1"/>
    </xf>
    <xf numFmtId="165" fontId="4" fillId="0" borderId="10" xfId="3" applyFont="1" applyBorder="1" applyAlignment="1" applyProtection="1">
      <alignment horizontal="center" vertical="center" wrapText="1"/>
    </xf>
    <xf numFmtId="164" fontId="4" fillId="0" borderId="10" xfId="2" applyNumberFormat="1" applyFont="1" applyBorder="1" applyAlignment="1" applyProtection="1">
      <alignment horizontal="center" vertical="center" wrapText="1"/>
      <protection locked="0"/>
    </xf>
    <xf numFmtId="170" fontId="36" fillId="0" borderId="9" xfId="6" applyNumberFormat="1" applyFont="1" applyBorder="1" applyAlignment="1" applyProtection="1">
      <alignment horizontal="center" vertical="center" wrapText="1"/>
      <protection locked="0"/>
    </xf>
    <xf numFmtId="0" fontId="4" fillId="0" borderId="7" xfId="1" applyFont="1" applyBorder="1" applyAlignment="1" applyProtection="1">
      <alignment horizontal="left" vertical="center" wrapText="1"/>
      <protection locked="0"/>
    </xf>
    <xf numFmtId="0" fontId="1" fillId="0" borderId="27" xfId="1" applyFont="1" applyBorder="1" applyAlignment="1" applyProtection="1">
      <alignment horizontal="center" vertical="center" wrapText="1"/>
    </xf>
    <xf numFmtId="0" fontId="9" fillId="0" borderId="23" xfId="8" applyNumberFormat="1" applyFont="1" applyBorder="1" applyAlignment="1" applyProtection="1">
      <alignment horizontal="center" vertical="center" wrapText="1"/>
      <protection locked="0"/>
    </xf>
    <xf numFmtId="164" fontId="1" fillId="0" borderId="19" xfId="1" applyNumberFormat="1" applyFont="1" applyBorder="1" applyAlignment="1" applyProtection="1">
      <alignment horizontal="center" vertical="center" wrapText="1"/>
    </xf>
    <xf numFmtId="0" fontId="1" fillId="0" borderId="0" xfId="1" applyFont="1" applyBorder="1" applyAlignment="1" applyProtection="1">
      <alignment vertical="center" wrapText="1"/>
    </xf>
    <xf numFmtId="164" fontId="1" fillId="0" borderId="9" xfId="4" applyNumberFormat="1" applyFont="1" applyBorder="1" applyAlignment="1" applyProtection="1">
      <alignment horizontal="center" vertical="center" wrapText="1"/>
    </xf>
    <xf numFmtId="170" fontId="4" fillId="0" borderId="9" xfId="6" applyNumberFormat="1" applyFont="1" applyBorder="1" applyAlignment="1" applyProtection="1">
      <alignment horizontal="center" vertical="center" wrapText="1"/>
      <protection locked="0"/>
    </xf>
    <xf numFmtId="0" fontId="1" fillId="0" borderId="25" xfId="1" applyFont="1" applyBorder="1" applyAlignment="1" applyProtection="1">
      <alignment horizontal="center" vertical="center" wrapText="1"/>
    </xf>
    <xf numFmtId="0" fontId="9" fillId="0" borderId="11" xfId="8" applyNumberFormat="1" applyFont="1" applyBorder="1" applyAlignment="1" applyProtection="1">
      <alignment horizontal="center" vertical="center" wrapText="1"/>
      <protection locked="0"/>
    </xf>
    <xf numFmtId="164" fontId="1" fillId="0" borderId="9" xfId="1" applyNumberFormat="1" applyFont="1" applyBorder="1" applyAlignment="1" applyProtection="1">
      <alignment horizontal="center" vertical="center"/>
    </xf>
    <xf numFmtId="0" fontId="4" fillId="0" borderId="25" xfId="7" applyFont="1" applyBorder="1" applyAlignment="1" applyProtection="1">
      <alignment horizontal="center" vertical="center" wrapText="1"/>
    </xf>
    <xf numFmtId="164" fontId="1" fillId="0" borderId="9" xfId="1" applyNumberFormat="1" applyFont="1" applyBorder="1" applyAlignment="1" applyProtection="1">
      <alignment horizontal="center" vertical="center" wrapText="1"/>
    </xf>
    <xf numFmtId="0" fontId="1" fillId="0" borderId="0" xfId="1" applyFont="1" applyAlignment="1" applyProtection="1">
      <alignment horizontal="left" vertical="center" wrapText="1"/>
    </xf>
    <xf numFmtId="3" fontId="4" fillId="0" borderId="10" xfId="5" applyNumberFormat="1" applyFont="1" applyFill="1" applyBorder="1" applyAlignment="1" applyProtection="1">
      <alignment horizontal="center" vertical="center" wrapText="1"/>
      <protection locked="0"/>
    </xf>
    <xf numFmtId="165" fontId="9" fillId="0" borderId="10" xfId="3" applyFont="1" applyBorder="1" applyAlignment="1" applyProtection="1">
      <alignment horizontal="center" vertical="center" wrapText="1"/>
    </xf>
    <xf numFmtId="165" fontId="1" fillId="0" borderId="0" xfId="4" applyNumberFormat="1" applyFont="1" applyFill="1" applyBorder="1" applyAlignment="1" applyProtection="1">
      <alignment horizontal="center" vertical="center" wrapText="1"/>
    </xf>
    <xf numFmtId="0" fontId="4" fillId="0" borderId="10" xfId="5" applyFont="1" applyFill="1" applyBorder="1" applyAlignment="1" applyProtection="1">
      <alignment horizontal="center" vertical="center" wrapText="1"/>
      <protection locked="0"/>
    </xf>
    <xf numFmtId="172" fontId="1" fillId="0" borderId="7" xfId="4" applyNumberFormat="1" applyFont="1" applyBorder="1" applyAlignment="1" applyProtection="1">
      <alignment horizontal="left" vertical="center" wrapText="1"/>
      <protection locked="0"/>
    </xf>
    <xf numFmtId="164" fontId="1" fillId="0" borderId="9" xfId="7" applyNumberFormat="1" applyFont="1" applyBorder="1" applyAlignment="1">
      <alignment horizontal="center" vertical="center" wrapText="1"/>
    </xf>
    <xf numFmtId="2" fontId="1" fillId="0" borderId="0" xfId="7" applyNumberFormat="1" applyFont="1" applyBorder="1" applyAlignment="1">
      <alignment horizontal="center" vertical="center" wrapText="1"/>
    </xf>
    <xf numFmtId="0" fontId="6" fillId="0" borderId="10" xfId="5" applyFont="1" applyFill="1" applyBorder="1" applyAlignment="1" applyProtection="1">
      <alignment horizontal="center" vertical="center" wrapText="1"/>
      <protection locked="0"/>
    </xf>
    <xf numFmtId="0" fontId="6" fillId="0" borderId="0" xfId="5" applyFont="1" applyBorder="1" applyAlignment="1" applyProtection="1">
      <alignment horizontal="center" vertical="center" wrapText="1"/>
      <protection locked="0"/>
    </xf>
    <xf numFmtId="164" fontId="7" fillId="0" borderId="0" xfId="2" applyFont="1" applyFill="1" applyBorder="1" applyAlignment="1" applyProtection="1">
      <alignment horizontal="center" vertical="center" wrapText="1"/>
      <protection locked="0"/>
    </xf>
    <xf numFmtId="164" fontId="6" fillId="0" borderId="9" xfId="4" applyNumberFormat="1" applyFont="1" applyBorder="1" applyAlignment="1" applyProtection="1">
      <alignment horizontal="center" vertical="center" wrapText="1"/>
    </xf>
    <xf numFmtId="165" fontId="6" fillId="0" borderId="10" xfId="3" applyFont="1" applyBorder="1" applyAlignment="1" applyProtection="1">
      <alignment horizontal="center" vertical="center" wrapText="1"/>
    </xf>
    <xf numFmtId="2" fontId="6" fillId="0" borderId="0" xfId="3" applyNumberFormat="1" applyFont="1" applyBorder="1" applyAlignment="1" applyProtection="1">
      <alignment horizontal="center" vertical="center" wrapText="1"/>
    </xf>
    <xf numFmtId="2" fontId="6" fillId="0" borderId="10" xfId="3" applyNumberFormat="1" applyFont="1" applyFill="1" applyBorder="1" applyAlignment="1" applyProtection="1">
      <alignment horizontal="center" vertical="center" wrapText="1"/>
    </xf>
    <xf numFmtId="165" fontId="6" fillId="0" borderId="0" xfId="4" applyNumberFormat="1" applyFont="1" applyFill="1" applyBorder="1" applyAlignment="1" applyProtection="1">
      <alignment horizontal="center" vertical="center" wrapText="1"/>
    </xf>
    <xf numFmtId="164" fontId="4" fillId="0" borderId="10" xfId="2" applyNumberFormat="1" applyFont="1" applyFill="1" applyBorder="1" applyAlignment="1" applyProtection="1">
      <alignment horizontal="center" vertical="center" wrapText="1"/>
      <protection locked="0"/>
    </xf>
    <xf numFmtId="170" fontId="4" fillId="0" borderId="9" xfId="6" applyNumberFormat="1" applyFont="1" applyFill="1" applyBorder="1" applyAlignment="1" applyProtection="1">
      <alignment horizontal="center" vertical="center" wrapText="1"/>
      <protection locked="0"/>
    </xf>
    <xf numFmtId="0" fontId="1" fillId="0" borderId="7" xfId="1" applyFont="1" applyBorder="1" applyAlignment="1" applyProtection="1">
      <alignment horizontal="left" vertical="center" wrapText="1"/>
      <protection locked="0"/>
    </xf>
    <xf numFmtId="0" fontId="1" fillId="0" borderId="25" xfId="1" applyFont="1" applyBorder="1" applyAlignment="1" applyProtection="1">
      <alignment horizontal="center" vertical="center"/>
    </xf>
    <xf numFmtId="164" fontId="1" fillId="0" borderId="9" xfId="7" applyNumberFormat="1" applyFont="1" applyBorder="1" applyAlignment="1">
      <alignment horizontal="center" vertical="center"/>
    </xf>
    <xf numFmtId="164" fontId="6" fillId="0" borderId="0" xfId="2" applyFont="1" applyBorder="1" applyAlignment="1" applyProtection="1">
      <alignment horizontal="center" vertical="center"/>
      <protection locked="0"/>
    </xf>
    <xf numFmtId="2" fontId="6" fillId="0" borderId="9" xfId="3" applyNumberFormat="1" applyFont="1" applyBorder="1" applyAlignment="1" applyProtection="1">
      <alignment horizontal="center" vertical="center"/>
    </xf>
    <xf numFmtId="165" fontId="6" fillId="0" borderId="9" xfId="4" applyNumberFormat="1" applyFont="1" applyBorder="1" applyAlignment="1" applyProtection="1">
      <alignment horizontal="center" vertical="center"/>
    </xf>
    <xf numFmtId="164" fontId="6" fillId="0" borderId="0" xfId="2" applyNumberFormat="1" applyFont="1" applyBorder="1" applyAlignment="1" applyProtection="1">
      <alignment horizontal="center" vertical="center" wrapText="1"/>
      <protection locked="0"/>
    </xf>
    <xf numFmtId="0" fontId="6" fillId="0" borderId="7" xfId="1" applyFont="1" applyBorder="1" applyAlignment="1" applyProtection="1">
      <alignment horizontal="left" vertical="center"/>
      <protection locked="0"/>
    </xf>
    <xf numFmtId="164" fontId="6" fillId="0" borderId="0" xfId="2" applyNumberFormat="1" applyFont="1" applyBorder="1" applyAlignment="1" applyProtection="1">
      <alignment horizontal="center" vertical="center"/>
      <protection locked="0"/>
    </xf>
    <xf numFmtId="0" fontId="6" fillId="0" borderId="7" xfId="1" applyFont="1" applyFill="1" applyBorder="1" applyAlignment="1" applyProtection="1">
      <alignment horizontal="left" vertical="center"/>
      <protection locked="0"/>
    </xf>
    <xf numFmtId="164" fontId="7" fillId="0" borderId="0" xfId="2" applyFont="1" applyFill="1" applyBorder="1" applyAlignment="1" applyProtection="1">
      <alignment horizontal="center" vertical="center"/>
      <protection locked="0"/>
    </xf>
    <xf numFmtId="2" fontId="7" fillId="0" borderId="0" xfId="3" applyNumberFormat="1" applyFont="1" applyFill="1" applyBorder="1" applyAlignment="1" applyProtection="1">
      <alignment horizontal="center" vertical="center"/>
    </xf>
    <xf numFmtId="165" fontId="7" fillId="0" borderId="9" xfId="4" applyNumberFormat="1" applyFont="1" applyFill="1" applyBorder="1" applyAlignment="1" applyProtection="1">
      <alignment horizontal="center" vertical="center"/>
    </xf>
    <xf numFmtId="0" fontId="1" fillId="0" borderId="7" xfId="1" applyFont="1" applyBorder="1" applyAlignment="1" applyProtection="1">
      <alignment horizontal="left" vertical="center"/>
    </xf>
    <xf numFmtId="165" fontId="6" fillId="0" borderId="9" xfId="3" applyFont="1" applyBorder="1" applyAlignment="1" applyProtection="1">
      <alignment horizontal="center" vertical="center"/>
    </xf>
    <xf numFmtId="0" fontId="6" fillId="0" borderId="7" xfId="1" applyNumberFormat="1" applyFont="1" applyBorder="1" applyAlignment="1" applyProtection="1">
      <alignment horizontal="left" vertical="center"/>
    </xf>
    <xf numFmtId="0" fontId="7" fillId="0" borderId="0" xfId="1" applyFont="1" applyFill="1" applyBorder="1" applyAlignment="1">
      <alignment horizontal="center" vertical="center" textRotation="90"/>
      <protection locked="0"/>
    </xf>
    <xf numFmtId="164" fontId="6" fillId="0" borderId="10" xfId="2" applyNumberFormat="1" applyFont="1" applyBorder="1" applyAlignment="1" applyProtection="1">
      <alignment horizontal="center" vertical="center"/>
      <protection locked="0"/>
    </xf>
    <xf numFmtId="4" fontId="1" fillId="0" borderId="0" xfId="1" applyNumberFormat="1" applyFont="1" applyBorder="1" applyAlignment="1" applyProtection="1">
      <alignment horizontal="center"/>
    </xf>
    <xf numFmtId="0" fontId="1" fillId="0" borderId="26" xfId="1" applyFont="1" applyBorder="1" applyAlignment="1" applyProtection="1">
      <alignment horizontal="center"/>
    </xf>
    <xf numFmtId="164" fontId="1" fillId="0" borderId="9" xfId="1" applyNumberFormat="1" applyFont="1" applyBorder="1" applyAlignment="1" applyProtection="1">
      <alignment horizontal="center"/>
    </xf>
    <xf numFmtId="0" fontId="3" fillId="0" borderId="21" xfId="1" applyFont="1" applyBorder="1" applyProtection="1"/>
    <xf numFmtId="0" fontId="1" fillId="0" borderId="23" xfId="1" applyFont="1" applyBorder="1" applyProtection="1"/>
    <xf numFmtId="164" fontId="3" fillId="0" borderId="19" xfId="1" applyNumberFormat="1" applyFont="1" applyFill="1" applyBorder="1" applyAlignment="1" applyProtection="1">
      <alignment horizontal="center"/>
    </xf>
    <xf numFmtId="0" fontId="1" fillId="0" borderId="0" xfId="1" applyFont="1" applyFill="1" applyProtection="1"/>
    <xf numFmtId="0" fontId="3" fillId="0" borderId="10" xfId="1" applyFont="1" applyBorder="1" applyProtection="1"/>
    <xf numFmtId="0" fontId="1" fillId="0" borderId="11" xfId="1" applyFont="1" applyBorder="1" applyProtection="1"/>
    <xf numFmtId="0" fontId="3" fillId="0" borderId="3" xfId="1" applyFont="1" applyBorder="1" applyAlignment="1" applyProtection="1">
      <alignment horizontal="left"/>
    </xf>
    <xf numFmtId="0" fontId="1" fillId="0" borderId="5" xfId="1" applyFont="1" applyBorder="1" applyAlignment="1" applyProtection="1">
      <alignment horizontal="center"/>
    </xf>
    <xf numFmtId="164" fontId="1" fillId="0" borderId="2" xfId="1" applyNumberFormat="1" applyFont="1" applyBorder="1" applyAlignment="1" applyProtection="1">
      <alignment horizontal="center"/>
    </xf>
    <xf numFmtId="164" fontId="1" fillId="0" borderId="9" xfId="4" applyNumberFormat="1" applyFont="1" applyBorder="1" applyAlignment="1" applyProtection="1">
      <alignment horizontal="center" vertical="center"/>
    </xf>
    <xf numFmtId="164" fontId="4" fillId="0" borderId="10" xfId="2" applyNumberFormat="1" applyFont="1" applyBorder="1" applyAlignment="1" applyProtection="1">
      <alignment horizontal="center" vertical="center"/>
    </xf>
    <xf numFmtId="164" fontId="1" fillId="0" borderId="2" xfId="4" applyNumberFormat="1" applyFont="1" applyBorder="1" applyAlignment="1" applyProtection="1">
      <alignment horizontal="center" vertical="center"/>
    </xf>
    <xf numFmtId="164" fontId="1" fillId="0" borderId="3" xfId="2" applyNumberFormat="1" applyFont="1" applyBorder="1" applyAlignment="1" applyProtection="1">
      <alignment horizontal="center"/>
    </xf>
    <xf numFmtId="0" fontId="1" fillId="0" borderId="1" xfId="1" applyFont="1" applyBorder="1" applyAlignment="1" applyProtection="1">
      <alignment horizontal="left" vertical="center"/>
    </xf>
    <xf numFmtId="175" fontId="38" fillId="0" borderId="22" xfId="23" applyNumberFormat="1" applyFont="1" applyBorder="1" applyAlignment="1" applyProtection="1">
      <alignment horizontal="center"/>
    </xf>
    <xf numFmtId="0" fontId="32" fillId="0" borderId="20" xfId="23" applyNumberFormat="1" applyFont="1" applyBorder="1" applyAlignment="1" applyProtection="1">
      <alignment horizontal="center"/>
    </xf>
    <xf numFmtId="0" fontId="32" fillId="0" borderId="19" xfId="23" applyNumberFormat="1" applyFont="1" applyBorder="1" applyAlignment="1" applyProtection="1">
      <alignment horizontal="center"/>
    </xf>
    <xf numFmtId="4" fontId="32" fillId="0" borderId="9" xfId="23" applyNumberFormat="1" applyFont="1" applyBorder="1" applyAlignment="1" applyProtection="1">
      <alignment horizontal="center"/>
    </xf>
    <xf numFmtId="4" fontId="32" fillId="0" borderId="0" xfId="23" applyNumberFormat="1" applyFont="1" applyBorder="1" applyAlignment="1" applyProtection="1">
      <alignment horizontal="center"/>
    </xf>
    <xf numFmtId="4" fontId="39" fillId="0" borderId="0" xfId="0" applyNumberFormat="1" applyFont="1" applyBorder="1" applyAlignment="1">
      <alignment horizontal="centerContinuous"/>
    </xf>
    <xf numFmtId="4" fontId="40" fillId="0" borderId="20" xfId="23" applyNumberFormat="1" applyFont="1" applyBorder="1" applyAlignment="1" applyProtection="1">
      <alignment horizontal="center"/>
      <protection locked="0"/>
    </xf>
    <xf numFmtId="4" fontId="40" fillId="0" borderId="19" xfId="23" applyNumberFormat="1" applyFont="1" applyBorder="1" applyAlignment="1" applyProtection="1">
      <alignment horizontal="centerContinuous"/>
      <protection locked="0"/>
    </xf>
    <xf numFmtId="4" fontId="32" fillId="0" borderId="21" xfId="23" applyNumberFormat="1" applyFont="1" applyBorder="1" applyAlignment="1" applyProtection="1">
      <alignment horizontal="center"/>
      <protection locked="0"/>
    </xf>
    <xf numFmtId="4" fontId="16" fillId="0" borderId="0" xfId="0" applyNumberFormat="1" applyFont="1" applyAlignment="1">
      <alignment horizontal="center"/>
    </xf>
    <xf numFmtId="4" fontId="16" fillId="0" borderId="0" xfId="0" applyNumberFormat="1" applyFont="1" applyBorder="1" applyAlignment="1">
      <alignment horizontal="center"/>
    </xf>
    <xf numFmtId="4" fontId="19" fillId="0" borderId="9" xfId="0" applyNumberFormat="1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39" fillId="0" borderId="0" xfId="0" applyFont="1" applyBorder="1" applyAlignment="1">
      <alignment horizontal="centerContinuous"/>
    </xf>
    <xf numFmtId="0" fontId="41" fillId="0" borderId="0" xfId="0" applyFont="1" applyBorder="1" applyAlignment="1">
      <alignment horizontal="centerContinuous"/>
    </xf>
    <xf numFmtId="0" fontId="41" fillId="0" borderId="9" xfId="0" applyFont="1" applyBorder="1" applyAlignment="1">
      <alignment horizontal="centerContinuous"/>
    </xf>
    <xf numFmtId="176" fontId="12" fillId="0" borderId="0" xfId="0" applyNumberFormat="1" applyFont="1" applyBorder="1" applyAlignment="1">
      <alignment horizontal="centerContinuous"/>
    </xf>
    <xf numFmtId="0" fontId="16" fillId="0" borderId="0" xfId="0" applyFont="1" applyBorder="1" applyAlignment="1">
      <alignment horizontal="centerContinuous"/>
    </xf>
    <xf numFmtId="0" fontId="19" fillId="0" borderId="9" xfId="0" applyFont="1" applyBorder="1" applyAlignment="1">
      <alignment horizontal="centerContinuous"/>
    </xf>
    <xf numFmtId="175" fontId="38" fillId="0" borderId="7" xfId="23" applyNumberFormat="1" applyFont="1" applyBorder="1" applyAlignment="1" applyProtection="1">
      <alignment horizontal="center"/>
    </xf>
    <xf numFmtId="0" fontId="32" fillId="0" borderId="0" xfId="23" applyNumberFormat="1" applyFont="1" applyBorder="1" applyAlignment="1" applyProtection="1">
      <alignment horizontal="center"/>
    </xf>
    <xf numFmtId="0" fontId="32" fillId="0" borderId="9" xfId="23" applyNumberFormat="1" applyFont="1" applyBorder="1" applyAlignment="1" applyProtection="1">
      <alignment horizontal="center"/>
    </xf>
    <xf numFmtId="0" fontId="19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4" fontId="19" fillId="0" borderId="0" xfId="0" applyNumberFormat="1" applyFont="1" applyBorder="1" applyAlignment="1">
      <alignment horizontal="centerContinuous"/>
    </xf>
    <xf numFmtId="4" fontId="39" fillId="0" borderId="0" xfId="0" applyNumberFormat="1" applyFont="1" applyBorder="1" applyAlignment="1">
      <alignment horizontal="center"/>
    </xf>
    <xf numFmtId="4" fontId="39" fillId="0" borderId="9" xfId="0" applyNumberFormat="1" applyFont="1" applyBorder="1" applyAlignment="1">
      <alignment horizontal="centerContinuous"/>
    </xf>
    <xf numFmtId="4" fontId="19" fillId="0" borderId="10" xfId="0" applyNumberFormat="1" applyFont="1" applyBorder="1" applyAlignment="1">
      <alignment horizontal="center"/>
    </xf>
    <xf numFmtId="4" fontId="19" fillId="0" borderId="0" xfId="0" applyNumberFormat="1" applyFont="1" applyAlignment="1">
      <alignment horizontal="center"/>
    </xf>
    <xf numFmtId="4" fontId="19" fillId="0" borderId="0" xfId="0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176" fontId="3" fillId="0" borderId="0" xfId="0" applyNumberFormat="1" applyFont="1" applyBorder="1" applyAlignment="1">
      <alignment horizontal="centerContinuous"/>
    </xf>
    <xf numFmtId="0" fontId="19" fillId="0" borderId="0" xfId="0" applyFont="1" applyAlignment="1">
      <alignment horizontal="center"/>
    </xf>
    <xf numFmtId="0" fontId="19" fillId="0" borderId="7" xfId="0" applyFont="1" applyBorder="1" applyAlignment="1">
      <alignment horizontal="center"/>
    </xf>
    <xf numFmtId="177" fontId="12" fillId="0" borderId="0" xfId="0" applyNumberFormat="1" applyFont="1" applyBorder="1" applyAlignment="1">
      <alignment horizontal="centerContinuous"/>
    </xf>
    <xf numFmtId="2" fontId="3" fillId="0" borderId="0" xfId="0" applyNumberFormat="1" applyFont="1" applyBorder="1" applyAlignment="1">
      <alignment horizontal="centerContinuous"/>
    </xf>
    <xf numFmtId="175" fontId="32" fillId="0" borderId="7" xfId="23" applyNumberFormat="1" applyFont="1" applyBorder="1" applyAlignment="1" applyProtection="1">
      <alignment horizontal="center" vertical="center"/>
    </xf>
    <xf numFmtId="0" fontId="32" fillId="0" borderId="0" xfId="23" applyNumberFormat="1" applyFont="1" applyBorder="1" applyAlignment="1" applyProtection="1">
      <alignment horizontal="center" vertical="center"/>
    </xf>
    <xf numFmtId="0" fontId="32" fillId="0" borderId="9" xfId="23" applyNumberFormat="1" applyFont="1" applyBorder="1" applyAlignment="1" applyProtection="1">
      <alignment horizontal="center" vertical="center"/>
    </xf>
    <xf numFmtId="4" fontId="32" fillId="0" borderId="9" xfId="23" applyNumberFormat="1" applyFont="1" applyBorder="1" applyAlignment="1" applyProtection="1">
      <alignment horizontal="center" vertical="center"/>
      <protection locked="0"/>
    </xf>
    <xf numFmtId="4" fontId="32" fillId="0" borderId="0" xfId="23" applyNumberFormat="1" applyFont="1" applyBorder="1" applyAlignment="1" applyProtection="1">
      <alignment horizontal="center" vertical="center"/>
      <protection locked="0"/>
    </xf>
    <xf numFmtId="4" fontId="16" fillId="0" borderId="9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177" fontId="3" fillId="0" borderId="9" xfId="0" applyNumberFormat="1" applyFont="1" applyBorder="1" applyAlignment="1">
      <alignment horizontal="centerContinuous"/>
    </xf>
    <xf numFmtId="176" fontId="42" fillId="0" borderId="0" xfId="0" applyNumberFormat="1" applyFont="1" applyBorder="1" applyAlignment="1" applyProtection="1">
      <alignment horizontal="center" vertical="center"/>
      <protection locked="0"/>
    </xf>
    <xf numFmtId="2" fontId="43" fillId="0" borderId="0" xfId="0" applyNumberFormat="1" applyFont="1" applyBorder="1" applyAlignment="1" applyProtection="1">
      <alignment horizontal="center" vertical="center"/>
      <protection locked="0"/>
    </xf>
    <xf numFmtId="175" fontId="9" fillId="0" borderId="1" xfId="23" applyNumberFormat="1" applyFont="1" applyBorder="1" applyAlignment="1" applyProtection="1">
      <alignment horizontal="center"/>
    </xf>
    <xf numFmtId="0" fontId="9" fillId="0" borderId="4" xfId="23" applyNumberFormat="1" applyFont="1" applyBorder="1" applyAlignment="1" applyProtection="1">
      <alignment horizontal="center"/>
    </xf>
    <xf numFmtId="0" fontId="9" fillId="0" borderId="2" xfId="23" applyNumberFormat="1" applyFont="1" applyBorder="1" applyAlignment="1" applyProtection="1">
      <alignment horizontal="center"/>
    </xf>
    <xf numFmtId="0" fontId="16" fillId="0" borderId="4" xfId="0" applyFont="1" applyBorder="1" applyAlignment="1">
      <alignment horizontal="center"/>
    </xf>
    <xf numFmtId="0" fontId="16" fillId="0" borderId="4" xfId="0" applyNumberFormat="1" applyFont="1" applyBorder="1" applyAlignment="1">
      <alignment horizontal="center"/>
    </xf>
    <xf numFmtId="4" fontId="1" fillId="0" borderId="28" xfId="0" applyNumberFormat="1" applyFont="1" applyBorder="1" applyAlignment="1">
      <alignment horizontal="center"/>
    </xf>
    <xf numFmtId="4" fontId="1" fillId="0" borderId="29" xfId="0" applyNumberFormat="1" applyFont="1" applyBorder="1" applyAlignment="1">
      <alignment horizontal="center"/>
    </xf>
    <xf numFmtId="4" fontId="1" fillId="0" borderId="30" xfId="0" applyNumberFormat="1" applyFont="1" applyBorder="1" applyAlignment="1">
      <alignment horizontal="center"/>
    </xf>
    <xf numFmtId="4" fontId="9" fillId="0" borderId="4" xfId="6" applyNumberFormat="1" applyFont="1" applyBorder="1" applyAlignment="1" applyProtection="1">
      <alignment horizontal="center"/>
    </xf>
    <xf numFmtId="4" fontId="9" fillId="0" borderId="2" xfId="6" applyNumberFormat="1" applyFont="1" applyBorder="1" applyAlignment="1" applyProtection="1">
      <alignment horizontal="center"/>
    </xf>
    <xf numFmtId="4" fontId="9" fillId="0" borderId="3" xfId="6" applyNumberFormat="1" applyFont="1" applyBorder="1" applyAlignment="1" applyProtection="1">
      <alignment horizontal="centerContinuous"/>
    </xf>
    <xf numFmtId="4" fontId="16" fillId="0" borderId="4" xfId="0" applyNumberFormat="1" applyFont="1" applyBorder="1" applyAlignment="1">
      <alignment horizontal="center"/>
    </xf>
    <xf numFmtId="4" fontId="16" fillId="0" borderId="2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2" fontId="1" fillId="0" borderId="30" xfId="0" applyNumberFormat="1" applyFont="1" applyBorder="1" applyAlignment="1">
      <alignment horizontal="center"/>
    </xf>
    <xf numFmtId="2" fontId="1" fillId="0" borderId="28" xfId="0" applyNumberFormat="1" applyFont="1" applyBorder="1" applyAlignment="1">
      <alignment horizontal="center"/>
    </xf>
    <xf numFmtId="176" fontId="1" fillId="0" borderId="4" xfId="0" applyNumberFormat="1" applyFont="1" applyBorder="1" applyAlignment="1" applyProtection="1">
      <alignment horizontal="centerContinuous"/>
      <protection locked="0"/>
    </xf>
    <xf numFmtId="2" fontId="1" fillId="0" borderId="4" xfId="0" applyNumberFormat="1" applyFont="1" applyBorder="1" applyAlignment="1" applyProtection="1">
      <alignment horizontal="centerContinuous"/>
      <protection locked="0"/>
    </xf>
    <xf numFmtId="0" fontId="16" fillId="0" borderId="2" xfId="0" applyFon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7" xfId="0" applyBorder="1"/>
    <xf numFmtId="2" fontId="0" fillId="0" borderId="0" xfId="0" applyNumberFormat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9" xfId="0" applyNumberFormat="1" applyBorder="1"/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left" wrapText="1"/>
    </xf>
    <xf numFmtId="2" fontId="0" fillId="0" borderId="0" xfId="0" applyNumberFormat="1"/>
    <xf numFmtId="2" fontId="0" fillId="0" borderId="0" xfId="0" applyNumberFormat="1" applyFill="1" applyAlignment="1">
      <alignment horizontal="center"/>
    </xf>
    <xf numFmtId="0" fontId="0" fillId="0" borderId="9" xfId="0" applyFill="1" applyBorder="1" applyAlignment="1">
      <alignment horizontal="center"/>
    </xf>
    <xf numFmtId="14" fontId="0" fillId="3" borderId="9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9" xfId="0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9" xfId="0" applyNumberFormat="1" applyFill="1" applyBorder="1" applyAlignment="1">
      <alignment horizontal="center"/>
    </xf>
    <xf numFmtId="0" fontId="0" fillId="3" borderId="0" xfId="0" applyFill="1"/>
    <xf numFmtId="14" fontId="0" fillId="4" borderId="9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9" xfId="0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4" borderId="9" xfId="0" applyNumberFormat="1" applyFill="1" applyBorder="1" applyAlignment="1">
      <alignment horizontal="center"/>
    </xf>
    <xf numFmtId="0" fontId="0" fillId="4" borderId="0" xfId="0" applyFill="1"/>
    <xf numFmtId="14" fontId="0" fillId="0" borderId="9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9" xfId="0" applyNumberForma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0" xfId="0" applyFill="1"/>
    <xf numFmtId="14" fontId="0" fillId="5" borderId="9" xfId="0" applyNumberForma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9" xfId="0" applyFill="1" applyBorder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5" borderId="9" xfId="0" applyNumberFormat="1" applyFill="1" applyBorder="1" applyAlignment="1">
      <alignment horizontal="center"/>
    </xf>
    <xf numFmtId="0" fontId="0" fillId="5" borderId="7" xfId="0" applyFill="1" applyBorder="1" applyAlignment="1">
      <alignment horizontal="left"/>
    </xf>
    <xf numFmtId="0" fontId="0" fillId="5" borderId="0" xfId="0" applyFill="1"/>
    <xf numFmtId="14" fontId="0" fillId="6" borderId="9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9" xfId="0" applyFill="1" applyBorder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6" borderId="9" xfId="0" applyNumberFormat="1" applyFill="1" applyBorder="1" applyAlignment="1">
      <alignment horizontal="center"/>
    </xf>
    <xf numFmtId="0" fontId="0" fillId="6" borderId="0" xfId="0" applyFill="1"/>
    <xf numFmtId="0" fontId="0" fillId="3" borderId="7" xfId="0" applyFill="1" applyBorder="1" applyAlignment="1">
      <alignment horizontal="left"/>
    </xf>
    <xf numFmtId="0" fontId="45" fillId="0" borderId="7" xfId="0" applyFont="1" applyFill="1" applyBorder="1" applyAlignment="1">
      <alignment horizontal="left" wrapText="1"/>
    </xf>
    <xf numFmtId="14" fontId="0" fillId="7" borderId="9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9" xfId="0" applyFill="1" applyBorder="1" applyAlignment="1">
      <alignment horizontal="center"/>
    </xf>
    <xf numFmtId="2" fontId="0" fillId="7" borderId="0" xfId="0" applyNumberFormat="1" applyFill="1" applyAlignment="1">
      <alignment horizontal="center"/>
    </xf>
    <xf numFmtId="2" fontId="0" fillId="7" borderId="9" xfId="0" applyNumberFormat="1" applyFill="1" applyBorder="1" applyAlignment="1">
      <alignment horizontal="center"/>
    </xf>
    <xf numFmtId="0" fontId="0" fillId="7" borderId="7" xfId="0" applyFill="1" applyBorder="1" applyAlignment="1">
      <alignment horizontal="left" wrapText="1"/>
    </xf>
    <xf numFmtId="0" fontId="0" fillId="7" borderId="0" xfId="0" applyFill="1"/>
    <xf numFmtId="14" fontId="0" fillId="8" borderId="9" xfId="0" applyNumberForma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9" xfId="0" applyFill="1" applyBorder="1" applyAlignment="1">
      <alignment horizontal="center"/>
    </xf>
    <xf numFmtId="2" fontId="0" fillId="8" borderId="0" xfId="0" applyNumberFormat="1" applyFill="1" applyAlignment="1">
      <alignment horizontal="center"/>
    </xf>
    <xf numFmtId="2" fontId="0" fillId="8" borderId="9" xfId="0" applyNumberFormat="1" applyFill="1" applyBorder="1" applyAlignment="1">
      <alignment horizontal="center"/>
    </xf>
    <xf numFmtId="0" fontId="0" fillId="8" borderId="7" xfId="0" applyFill="1" applyBorder="1" applyAlignment="1">
      <alignment horizontal="left" wrapText="1"/>
    </xf>
    <xf numFmtId="0" fontId="0" fillId="8" borderId="0" xfId="0" applyFill="1"/>
    <xf numFmtId="14" fontId="0" fillId="9" borderId="9" xfId="0" applyNumberForma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9" xfId="0" applyFill="1" applyBorder="1" applyAlignment="1">
      <alignment horizontal="center"/>
    </xf>
    <xf numFmtId="2" fontId="0" fillId="9" borderId="0" xfId="0" applyNumberFormat="1" applyFill="1" applyAlignment="1">
      <alignment horizontal="center"/>
    </xf>
    <xf numFmtId="2" fontId="0" fillId="9" borderId="9" xfId="0" applyNumberFormat="1" applyFill="1" applyBorder="1" applyAlignment="1">
      <alignment horizontal="center"/>
    </xf>
    <xf numFmtId="0" fontId="0" fillId="9" borderId="7" xfId="0" applyFill="1" applyBorder="1" applyAlignment="1">
      <alignment horizontal="left" wrapText="1"/>
    </xf>
    <xf numFmtId="0" fontId="0" fillId="9" borderId="0" xfId="0" applyFill="1"/>
    <xf numFmtId="0" fontId="45" fillId="7" borderId="7" xfId="0" applyFont="1" applyFill="1" applyBorder="1" applyAlignment="1">
      <alignment horizontal="left" wrapText="1"/>
    </xf>
    <xf numFmtId="14" fontId="0" fillId="10" borderId="9" xfId="0" applyNumberForma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9" xfId="0" applyFill="1" applyBorder="1" applyAlignment="1">
      <alignment horizontal="center"/>
    </xf>
    <xf numFmtId="2" fontId="0" fillId="10" borderId="0" xfId="0" applyNumberFormat="1" applyFill="1" applyAlignment="1">
      <alignment horizontal="center"/>
    </xf>
    <xf numFmtId="2" fontId="0" fillId="10" borderId="9" xfId="0" applyNumberFormat="1" applyFill="1" applyBorder="1" applyAlignment="1">
      <alignment horizontal="center"/>
    </xf>
    <xf numFmtId="0" fontId="0" fillId="10" borderId="7" xfId="0" applyFill="1" applyBorder="1" applyAlignment="1">
      <alignment horizontal="left" wrapText="1"/>
    </xf>
    <xf numFmtId="0" fontId="0" fillId="10" borderId="0" xfId="0" applyFill="1"/>
    <xf numFmtId="14" fontId="0" fillId="11" borderId="9" xfId="0" applyNumberForma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9" xfId="0" applyFill="1" applyBorder="1" applyAlignment="1">
      <alignment horizontal="center"/>
    </xf>
    <xf numFmtId="2" fontId="0" fillId="11" borderId="0" xfId="0" applyNumberFormat="1" applyFill="1" applyAlignment="1">
      <alignment horizontal="center"/>
    </xf>
    <xf numFmtId="2" fontId="0" fillId="11" borderId="9" xfId="0" applyNumberFormat="1" applyFill="1" applyBorder="1" applyAlignment="1">
      <alignment horizontal="center"/>
    </xf>
    <xf numFmtId="0" fontId="0" fillId="11" borderId="0" xfId="0" applyFill="1"/>
    <xf numFmtId="0" fontId="0" fillId="11" borderId="7" xfId="0" applyFill="1" applyBorder="1"/>
    <xf numFmtId="14" fontId="0" fillId="12" borderId="9" xfId="0" applyNumberForma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2" borderId="9" xfId="0" applyFill="1" applyBorder="1" applyAlignment="1">
      <alignment horizontal="center"/>
    </xf>
    <xf numFmtId="2" fontId="0" fillId="12" borderId="0" xfId="0" applyNumberFormat="1" applyFill="1" applyAlignment="1">
      <alignment horizontal="center"/>
    </xf>
    <xf numFmtId="2" fontId="0" fillId="12" borderId="9" xfId="0" applyNumberFormat="1" applyFill="1" applyBorder="1" applyAlignment="1">
      <alignment horizontal="center"/>
    </xf>
    <xf numFmtId="0" fontId="0" fillId="12" borderId="7" xfId="0" applyFill="1" applyBorder="1" applyAlignment="1">
      <alignment horizontal="left" wrapText="1"/>
    </xf>
    <xf numFmtId="0" fontId="0" fillId="12" borderId="0" xfId="0" applyFill="1"/>
    <xf numFmtId="14" fontId="0" fillId="13" borderId="9" xfId="0" applyNumberForma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3" borderId="9" xfId="0" applyFill="1" applyBorder="1" applyAlignment="1">
      <alignment horizontal="center"/>
    </xf>
    <xf numFmtId="2" fontId="0" fillId="13" borderId="0" xfId="0" applyNumberFormat="1" applyFill="1" applyAlignment="1">
      <alignment horizontal="center"/>
    </xf>
    <xf numFmtId="2" fontId="0" fillId="13" borderId="9" xfId="0" applyNumberFormat="1" applyFill="1" applyBorder="1" applyAlignment="1">
      <alignment horizontal="center"/>
    </xf>
    <xf numFmtId="0" fontId="0" fillId="13" borderId="7" xfId="0" applyFill="1" applyBorder="1" applyAlignment="1">
      <alignment horizontal="left" wrapText="1"/>
    </xf>
    <xf numFmtId="0" fontId="0" fillId="13" borderId="0" xfId="0" applyFill="1"/>
    <xf numFmtId="14" fontId="0" fillId="14" borderId="9" xfId="0" applyNumberFormat="1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9" xfId="0" applyFill="1" applyBorder="1" applyAlignment="1">
      <alignment horizontal="center"/>
    </xf>
    <xf numFmtId="2" fontId="0" fillId="14" borderId="0" xfId="0" applyNumberFormat="1" applyFill="1" applyAlignment="1">
      <alignment horizontal="center"/>
    </xf>
    <xf numFmtId="2" fontId="0" fillId="14" borderId="9" xfId="0" applyNumberFormat="1" applyFill="1" applyBorder="1" applyAlignment="1">
      <alignment horizontal="center"/>
    </xf>
    <xf numFmtId="0" fontId="0" fillId="14" borderId="7" xfId="0" applyFill="1" applyBorder="1" applyAlignment="1">
      <alignment horizontal="left"/>
    </xf>
    <xf numFmtId="0" fontId="0" fillId="14" borderId="0" xfId="0" applyFill="1"/>
    <xf numFmtId="0" fontId="0" fillId="2" borderId="7" xfId="0" applyFill="1" applyBorder="1" applyAlignment="1">
      <alignment horizontal="left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/>
    <xf numFmtId="14" fontId="0" fillId="2" borderId="9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9" xfId="0" applyNumberFormat="1" applyFill="1" applyBorder="1" applyAlignment="1">
      <alignment horizontal="center"/>
    </xf>
    <xf numFmtId="2" fontId="0" fillId="14" borderId="0" xfId="0" applyNumberFormat="1" applyFill="1"/>
    <xf numFmtId="14" fontId="0" fillId="15" borderId="9" xfId="0" applyNumberFormat="1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9" xfId="0" applyFill="1" applyBorder="1" applyAlignment="1">
      <alignment horizontal="center"/>
    </xf>
    <xf numFmtId="2" fontId="0" fillId="15" borderId="0" xfId="0" applyNumberFormat="1" applyFill="1" applyAlignment="1">
      <alignment horizontal="center"/>
    </xf>
    <xf numFmtId="2" fontId="0" fillId="15" borderId="9" xfId="0" applyNumberFormat="1" applyFill="1" applyBorder="1" applyAlignment="1">
      <alignment horizontal="center"/>
    </xf>
    <xf numFmtId="0" fontId="0" fillId="15" borderId="7" xfId="0" applyFill="1" applyBorder="1" applyAlignment="1">
      <alignment horizontal="left"/>
    </xf>
    <xf numFmtId="2" fontId="45" fillId="15" borderId="0" xfId="0" applyNumberFormat="1" applyFont="1" applyFill="1" applyBorder="1" applyAlignment="1">
      <alignment horizontal="center"/>
    </xf>
    <xf numFmtId="2" fontId="45" fillId="15" borderId="9" xfId="0" applyNumberFormat="1" applyFont="1" applyFill="1" applyBorder="1" applyAlignment="1">
      <alignment horizontal="center"/>
    </xf>
    <xf numFmtId="176" fontId="45" fillId="15" borderId="0" xfId="0" applyNumberFormat="1" applyFont="1" applyFill="1" applyBorder="1" applyAlignment="1" applyProtection="1">
      <alignment horizontal="centerContinuous"/>
      <protection locked="0"/>
    </xf>
    <xf numFmtId="2" fontId="45" fillId="15" borderId="0" xfId="0" applyNumberFormat="1" applyFont="1" applyFill="1" applyBorder="1" applyAlignment="1" applyProtection="1">
      <alignment horizontal="centerContinuous"/>
      <protection locked="0"/>
    </xf>
    <xf numFmtId="0" fontId="37" fillId="15" borderId="9" xfId="0" applyFont="1" applyFill="1" applyBorder="1" applyAlignment="1">
      <alignment horizontal="center"/>
    </xf>
    <xf numFmtId="0" fontId="37" fillId="15" borderId="0" xfId="0" applyFont="1" applyFill="1" applyAlignment="1">
      <alignment horizontal="center"/>
    </xf>
    <xf numFmtId="0" fontId="0" fillId="15" borderId="0" xfId="0" applyFill="1"/>
    <xf numFmtId="14" fontId="0" fillId="16" borderId="9" xfId="0" applyNumberFormat="1" applyFill="1" applyBorder="1" applyAlignment="1">
      <alignment horizontal="center"/>
    </xf>
    <xf numFmtId="0" fontId="0" fillId="16" borderId="0" xfId="0" applyFill="1" applyAlignment="1">
      <alignment horizontal="center"/>
    </xf>
    <xf numFmtId="0" fontId="0" fillId="16" borderId="9" xfId="0" applyFill="1" applyBorder="1" applyAlignment="1">
      <alignment horizontal="center"/>
    </xf>
    <xf numFmtId="2" fontId="0" fillId="16" borderId="0" xfId="0" applyNumberFormat="1" applyFill="1" applyAlignment="1">
      <alignment horizontal="center"/>
    </xf>
    <xf numFmtId="2" fontId="0" fillId="16" borderId="9" xfId="0" applyNumberFormat="1" applyFill="1" applyBorder="1" applyAlignment="1">
      <alignment horizontal="center"/>
    </xf>
    <xf numFmtId="0" fontId="0" fillId="16" borderId="7" xfId="0" applyFill="1" applyBorder="1" applyAlignment="1">
      <alignment horizontal="left"/>
    </xf>
    <xf numFmtId="0" fontId="0" fillId="16" borderId="0" xfId="0" applyFill="1"/>
    <xf numFmtId="14" fontId="0" fillId="17" borderId="9" xfId="0" applyNumberFormat="1" applyFill="1" applyBorder="1" applyAlignment="1">
      <alignment horizontal="center"/>
    </xf>
    <xf numFmtId="0" fontId="0" fillId="17" borderId="0" xfId="0" applyFill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7" borderId="7" xfId="0" applyFill="1" applyBorder="1" applyAlignment="1">
      <alignment horizontal="left"/>
    </xf>
    <xf numFmtId="0" fontId="0" fillId="17" borderId="0" xfId="0" applyFill="1"/>
    <xf numFmtId="0" fontId="0" fillId="4" borderId="7" xfId="0" applyFill="1" applyBorder="1" applyAlignment="1">
      <alignment horizontal="left" wrapText="1"/>
    </xf>
    <xf numFmtId="0" fontId="0" fillId="6" borderId="7" xfId="0" applyFill="1" applyBorder="1" applyAlignment="1">
      <alignment horizontal="left" wrapText="1"/>
    </xf>
    <xf numFmtId="0" fontId="0" fillId="6" borderId="7" xfId="0" applyFill="1" applyBorder="1"/>
    <xf numFmtId="0" fontId="0" fillId="4" borderId="7" xfId="0" applyFill="1" applyBorder="1" applyAlignment="1">
      <alignment horizontal="left" wrapText="1"/>
    </xf>
    <xf numFmtId="0" fontId="0" fillId="4" borderId="7" xfId="0" applyFill="1" applyBorder="1" applyAlignment="1">
      <alignment horizontal="left" wrapText="1"/>
    </xf>
    <xf numFmtId="0" fontId="7" fillId="0" borderId="0" xfId="5" applyFont="1" applyFill="1" applyBorder="1" applyAlignment="1" applyProtection="1">
      <alignment horizontal="center" vertical="center" textRotation="90"/>
      <protection locked="0"/>
    </xf>
    <xf numFmtId="0" fontId="7" fillId="0" borderId="0" xfId="1" applyFont="1" applyFill="1" applyBorder="1" applyAlignment="1">
      <alignment horizontal="center" vertical="center" textRotation="90"/>
      <protection locked="0"/>
    </xf>
    <xf numFmtId="14" fontId="0" fillId="18" borderId="9" xfId="0" applyNumberFormat="1" applyFill="1" applyBorder="1" applyAlignment="1">
      <alignment horizontal="center"/>
    </xf>
    <xf numFmtId="0" fontId="0" fillId="18" borderId="0" xfId="0" applyFill="1" applyAlignment="1">
      <alignment horizontal="center"/>
    </xf>
    <xf numFmtId="0" fontId="0" fillId="18" borderId="9" xfId="0" applyFill="1" applyBorder="1" applyAlignment="1">
      <alignment horizontal="center"/>
    </xf>
    <xf numFmtId="2" fontId="0" fillId="18" borderId="0" xfId="0" applyNumberFormat="1" applyFill="1" applyAlignment="1">
      <alignment horizontal="center"/>
    </xf>
    <xf numFmtId="2" fontId="0" fillId="18" borderId="9" xfId="0" applyNumberFormat="1" applyFill="1" applyBorder="1" applyAlignment="1">
      <alignment horizontal="center"/>
    </xf>
    <xf numFmtId="0" fontId="0" fillId="18" borderId="7" xfId="0" applyFill="1" applyBorder="1" applyAlignment="1">
      <alignment horizontal="left"/>
    </xf>
    <xf numFmtId="0" fontId="0" fillId="18" borderId="0" xfId="0" applyFill="1"/>
    <xf numFmtId="2" fontId="0" fillId="0" borderId="9" xfId="0" applyNumberFormat="1" applyBorder="1" applyAlignment="1">
      <alignment horizontal="left"/>
    </xf>
    <xf numFmtId="2" fontId="0" fillId="0" borderId="0" xfId="0" applyNumberFormat="1" applyAlignment="1">
      <alignment horizontal="left"/>
    </xf>
    <xf numFmtId="2" fontId="0" fillId="2" borderId="0" xfId="0" applyNumberFormat="1" applyFill="1" applyAlignment="1">
      <alignment horizontal="left"/>
    </xf>
    <xf numFmtId="2" fontId="0" fillId="2" borderId="9" xfId="0" applyNumberFormat="1" applyFill="1" applyBorder="1" applyAlignment="1">
      <alignment horizontal="left"/>
    </xf>
    <xf numFmtId="14" fontId="0" fillId="0" borderId="9" xfId="0" applyNumberFormat="1" applyBorder="1" applyAlignment="1">
      <alignment horizontal="left"/>
    </xf>
  </cellXfs>
  <cellStyles count="24">
    <cellStyle name="??0" xfId="2"/>
    <cellStyle name="??0.0" xfId="12"/>
    <cellStyle name="?0.0" xfId="6"/>
    <cellStyle name="?0.00" xfId="13"/>
    <cellStyle name="0.00" xfId="14"/>
    <cellStyle name="0.000" xfId="3"/>
    <cellStyle name="Blank" xfId="15"/>
    <cellStyle name="EndYear" xfId="16"/>
    <cellStyle name="est. Annual Balance" xfId="17"/>
    <cellStyle name="est. bw(s)" xfId="18"/>
    <cellStyle name="hel8" xfId="4"/>
    <cellStyle name="hel8 blue" xfId="5"/>
    <cellStyle name="hel8_PD860330" xfId="19"/>
    <cellStyle name="hel8b" xfId="20"/>
    <cellStyle name="hel8b_Snow Pit1" xfId="9"/>
    <cellStyle name="hel8b_StakeDat" xfId="23"/>
    <cellStyle name="hel8i" xfId="21"/>
    <cellStyle name="Hyperlink" xfId="11" builtinId="8"/>
    <cellStyle name="McCall" xfId="7"/>
    <cellStyle name="Normal" xfId="0" builtinId="0"/>
    <cellStyle name="Normal 2" xfId="1"/>
    <cellStyle name="Normal_C-snowpits" xfId="10"/>
    <cellStyle name="OldStuff" xfId="22"/>
    <cellStyle name="Probes" xfId="8"/>
  </cellStyles>
  <dxfs count="0"/>
  <tableStyles count="0" defaultTableStyle="TableStyleMedium9" defaultPivotStyle="PivotStyleLight16"/>
  <colors>
    <mruColors>
      <color rgb="FFFFFF00"/>
      <color rgb="FFFFFFCC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plotArea>
      <c:layout>
        <c:manualLayout>
          <c:layoutTarget val="inner"/>
          <c:xMode val="edge"/>
          <c:yMode val="edge"/>
          <c:x val="0.14497462817147871"/>
          <c:y val="0.1771143190434529"/>
          <c:w val="0.66843460192475945"/>
          <c:h val="0.77148512685914261"/>
        </c:manualLayout>
      </c:layout>
      <c:scatterChart>
        <c:scatterStyle val="smoothMarker"/>
        <c:ser>
          <c:idx val="0"/>
          <c:order val="0"/>
          <c:xVal>
            <c:numRef>
              <c:f>'2011.08.29 Pit ACC1'!$G$10:$G$15</c:f>
              <c:numCache>
                <c:formatCode>0.00</c:formatCode>
                <c:ptCount val="6"/>
                <c:pt idx="0">
                  <c:v>0.56799999999999995</c:v>
                </c:pt>
                <c:pt idx="1">
                  <c:v>0.50700000000000001</c:v>
                </c:pt>
                <c:pt idx="2">
                  <c:v>0.53500000000000003</c:v>
                </c:pt>
                <c:pt idx="3">
                  <c:v>0.51</c:v>
                </c:pt>
                <c:pt idx="4">
                  <c:v>0.55200000000000005</c:v>
                </c:pt>
              </c:numCache>
            </c:numRef>
          </c:xVal>
          <c:yVal>
            <c:numRef>
              <c:f>'2011.08.29 Pit ACC1'!$C$10:$C$15</c:f>
              <c:numCache>
                <c:formatCode>??0</c:formatCode>
                <c:ptCount val="6"/>
                <c:pt idx="0">
                  <c:v>25</c:v>
                </c:pt>
                <c:pt idx="1">
                  <c:v>75</c:v>
                </c:pt>
                <c:pt idx="2">
                  <c:v>125</c:v>
                </c:pt>
                <c:pt idx="3">
                  <c:v>175</c:v>
                </c:pt>
                <c:pt idx="4">
                  <c:v>215</c:v>
                </c:pt>
                <c:pt idx="5">
                  <c:v>240</c:v>
                </c:pt>
              </c:numCache>
            </c:numRef>
          </c:yVal>
          <c:smooth val="1"/>
        </c:ser>
        <c:axId val="76474240"/>
        <c:axId val="85000192"/>
      </c:scatterChart>
      <c:valAx>
        <c:axId val="76474240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Density</a:t>
                </a:r>
              </a:p>
            </c:rich>
          </c:tx>
          <c:layout>
            <c:manualLayout>
              <c:xMode val="edge"/>
              <c:yMode val="edge"/>
              <c:x val="0.41898359580052563"/>
              <c:y val="1.388888888888893E-2"/>
            </c:manualLayout>
          </c:layout>
        </c:title>
        <c:numFmt formatCode="0.00" sourceLinked="1"/>
        <c:majorTickMark val="in"/>
        <c:tickLblPos val="nextTo"/>
        <c:crossAx val="85000192"/>
        <c:crosses val="autoZero"/>
        <c:crossBetween val="midCat"/>
      </c:valAx>
      <c:valAx>
        <c:axId val="85000192"/>
        <c:scaling>
          <c:orientation val="maxMin"/>
        </c:scaling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Depth (cm)</a:t>
                </a:r>
              </a:p>
            </c:rich>
          </c:tx>
          <c:layout/>
        </c:title>
        <c:numFmt formatCode="??0" sourceLinked="1"/>
        <c:majorTickMark val="in"/>
        <c:tickLblPos val="nextTo"/>
        <c:crossAx val="76474240"/>
        <c:crosses val="autoZero"/>
        <c:crossBetween val="midCat"/>
      </c:valAx>
      <c:spPr>
        <a:ln>
          <a:solidFill>
            <a:schemeClr val="tx1"/>
          </a:solidFill>
          <a:prstDash val="solid"/>
        </a:ln>
      </c:spPr>
    </c:plotArea>
    <c:legend>
      <c:legendPos val="r"/>
      <c:layout/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5668744531933538"/>
          <c:y val="9.2592592592593038E-3"/>
        </c:manualLayout>
      </c:layout>
    </c:title>
    <c:plotArea>
      <c:layout>
        <c:manualLayout>
          <c:layoutTarget val="inner"/>
          <c:xMode val="edge"/>
          <c:yMode val="edge"/>
          <c:x val="8.6071741032370933E-2"/>
          <c:y val="0.12072944006999151"/>
          <c:w val="0.71920866141732287"/>
          <c:h val="0.76329068241470055"/>
        </c:manualLayout>
      </c:layout>
      <c:barChart>
        <c:barDir val="col"/>
        <c:grouping val="clustered"/>
        <c:ser>
          <c:idx val="0"/>
          <c:order val="0"/>
          <c:tx>
            <c:v>Snow Depth</c:v>
          </c:tx>
          <c:val>
            <c:numRef>
              <c:f>'2011.08.29 Pit ACC1'!$P$9:$P$38</c:f>
              <c:numCache>
                <c:formatCode>??0</c:formatCode>
                <c:ptCount val="30"/>
                <c:pt idx="0">
                  <c:v>240</c:v>
                </c:pt>
              </c:numCache>
            </c:numRef>
          </c:val>
        </c:ser>
        <c:axId val="85011840"/>
        <c:axId val="85025920"/>
      </c:barChart>
      <c:catAx>
        <c:axId val="85011840"/>
        <c:scaling>
          <c:orientation val="minMax"/>
        </c:scaling>
        <c:axPos val="b"/>
        <c:tickLblPos val="nextTo"/>
        <c:crossAx val="85025920"/>
        <c:crosses val="autoZero"/>
        <c:auto val="1"/>
        <c:lblAlgn val="ctr"/>
        <c:lblOffset val="100"/>
      </c:catAx>
      <c:valAx>
        <c:axId val="85025920"/>
        <c:scaling>
          <c:orientation val="minMax"/>
        </c:scaling>
        <c:axPos val="l"/>
        <c:majorGridlines>
          <c:spPr>
            <a:ln>
              <a:prstDash val="sysDash"/>
            </a:ln>
          </c:spPr>
        </c:majorGridlines>
        <c:numFmt formatCode="??0" sourceLinked="1"/>
        <c:majorTickMark val="in"/>
        <c:tickLblPos val="nextTo"/>
        <c:crossAx val="85011840"/>
        <c:crosses val="autoZero"/>
        <c:crossBetween val="between"/>
      </c:valAx>
      <c:spPr>
        <a:ln>
          <a:solidFill>
            <a:schemeClr val="tx1">
              <a:tint val="75000"/>
              <a:shade val="95000"/>
              <a:satMod val="105000"/>
            </a:schemeClr>
          </a:solidFill>
        </a:ln>
      </c:spPr>
    </c:plotArea>
    <c:legend>
      <c:legendPos val="r"/>
      <c:layout/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/>
            </a:pPr>
            <a:r>
              <a:rPr lang="en-US" sz="1200" b="1"/>
              <a:t>Snow Depths</a:t>
            </a:r>
          </a:p>
        </c:rich>
      </c:tx>
      <c:layout>
        <c:manualLayout>
          <c:xMode val="edge"/>
          <c:yMode val="edge"/>
          <c:x val="0.41770525061178859"/>
          <c:y val="1.5075471887853124E-2"/>
        </c:manualLayout>
      </c:layout>
      <c:overlay val="1"/>
    </c:title>
    <c:plotArea>
      <c:layout>
        <c:manualLayout>
          <c:layoutTarget val="inner"/>
          <c:xMode val="edge"/>
          <c:yMode val="edge"/>
          <c:x val="0.14048030228105546"/>
          <c:y val="0.1744580203336652"/>
          <c:w val="0.82714722253921336"/>
          <c:h val="0.74742450297161123"/>
        </c:manualLayout>
      </c:layout>
      <c:barChart>
        <c:barDir val="col"/>
        <c:grouping val="clustered"/>
        <c:ser>
          <c:idx val="0"/>
          <c:order val="0"/>
          <c:tx>
            <c:strRef>
              <c:f>'2011.08.29 PitCore KM14'!$Z$8</c:f>
              <c:strCache>
                <c:ptCount val="1"/>
                <c:pt idx="0">
                  <c:v>cm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'2011.08.29 PitCore KM14'!$Y$9:$Y$10</c:f>
              <c:strCache>
                <c:ptCount val="1"/>
                <c:pt idx="0">
                  <c:v>Pit/Core</c:v>
                </c:pt>
              </c:strCache>
            </c:strRef>
          </c:cat>
          <c:val>
            <c:numRef>
              <c:f>'2011.08.29 PitCore KM14'!$Z$9:$Z$10</c:f>
              <c:numCache>
                <c:formatCode>General</c:formatCode>
                <c:ptCount val="2"/>
                <c:pt idx="0">
                  <c:v>620</c:v>
                </c:pt>
              </c:numCache>
            </c:numRef>
          </c:val>
        </c:ser>
        <c:ser>
          <c:idx val="1"/>
          <c:order val="1"/>
          <c:tx>
            <c:strRef>
              <c:f>'2011.08.29 PitCore KM14'!$AA$8</c:f>
              <c:strCache>
                <c:ptCount val="1"/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'2011.08.29 PitCore KM14'!$Y$9:$Y$10</c:f>
              <c:strCache>
                <c:ptCount val="1"/>
                <c:pt idx="0">
                  <c:v>Pit/Core</c:v>
                </c:pt>
              </c:strCache>
            </c:strRef>
          </c:cat>
          <c:val>
            <c:numRef>
              <c:f>'2011.08.29 PitCore KM14'!$AA$9:$AA$14</c:f>
              <c:numCache>
                <c:formatCode>0.00</c:formatCode>
                <c:ptCount val="6"/>
              </c:numCache>
            </c:numRef>
          </c:val>
        </c:ser>
        <c:gapWidth val="100"/>
        <c:overlap val="1"/>
        <c:axId val="85216640"/>
        <c:axId val="85341312"/>
      </c:barChart>
      <c:catAx>
        <c:axId val="85216640"/>
        <c:scaling>
          <c:orientation val="minMax"/>
        </c:scaling>
        <c:axPos val="t"/>
        <c:numFmt formatCode="General" sourceLinked="1"/>
        <c:majorTickMark val="cross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341312"/>
        <c:crosses val="autoZero"/>
        <c:lblAlgn val="ctr"/>
        <c:lblOffset val="100"/>
        <c:tickLblSkip val="2"/>
        <c:tickMarkSkip val="1"/>
      </c:catAx>
      <c:valAx>
        <c:axId val="85341312"/>
        <c:scaling>
          <c:orientation val="maxMin"/>
          <c:min val="0"/>
        </c:scaling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="1"/>
                  <a:t>Depth, in cm</a:t>
                </a:r>
              </a:p>
            </c:rich>
          </c:tx>
          <c:layout>
            <c:manualLayout>
              <c:xMode val="edge"/>
              <c:yMode val="edge"/>
              <c:x val="6.709523628387051E-3"/>
              <c:y val="0.34635653301958053"/>
            </c:manualLayout>
          </c:layout>
        </c:title>
        <c:numFmt formatCode="0" sourceLinked="0"/>
        <c:maj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21664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dispBlanksAs val="gap"/>
  </c:chart>
  <c:spPr>
    <a:solidFill>
      <a:srgbClr val="FFFFFF"/>
    </a:solidFill>
    <a:ln w="9525">
      <a:solidFill>
        <a:srgbClr val="000000"/>
      </a:solidFill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&amp;f</c:oddHeader>
      <c:oddFooter>Page &amp;p</c:oddFooter>
    </c:headerFooter>
    <c:pageMargins b="1" l="0.75000000000000289" r="0.75000000000000289" t="1" header="0.5" footer="0.5"/>
    <c:pageSetup orientation="portrait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32939632545932"/>
          <c:y val="0.18079469233012596"/>
          <c:w val="0.66161548556430638"/>
          <c:h val="0.76780475357247335"/>
        </c:manualLayout>
      </c:layout>
      <c:scatterChart>
        <c:scatterStyle val="lineMarker"/>
        <c:ser>
          <c:idx val="0"/>
          <c:order val="0"/>
          <c:tx>
            <c:v>pit</c:v>
          </c:tx>
          <c:xVal>
            <c:numRef>
              <c:f>'2011.08.29 PitCore KM14'!$Q$10:$Q$15</c:f>
              <c:numCache>
                <c:formatCode>0.00</c:formatCode>
                <c:ptCount val="6"/>
                <c:pt idx="0">
                  <c:v>0.23300000000000001</c:v>
                </c:pt>
                <c:pt idx="1">
                  <c:v>0.52400000000000002</c:v>
                </c:pt>
                <c:pt idx="2">
                  <c:v>0.5</c:v>
                </c:pt>
              </c:numCache>
            </c:numRef>
          </c:xVal>
          <c:yVal>
            <c:numRef>
              <c:f>'2011.08.29 PitCore KM14'!$C$10:$C$15</c:f>
              <c:numCache>
                <c:formatCode>??0</c:formatCode>
                <c:ptCount val="6"/>
                <c:pt idx="0">
                  <c:v>25</c:v>
                </c:pt>
                <c:pt idx="1">
                  <c:v>75</c:v>
                </c:pt>
                <c:pt idx="2">
                  <c:v>125</c:v>
                </c:pt>
              </c:numCache>
            </c:numRef>
          </c:yVal>
        </c:ser>
        <c:ser>
          <c:idx val="1"/>
          <c:order val="1"/>
          <c:tx>
            <c:v>core</c:v>
          </c:tx>
          <c:xVal>
            <c:numRef>
              <c:f>'2011.08.29 PitCore KM14'!$Q$18:$Q$22</c:f>
              <c:numCache>
                <c:formatCode>0.00</c:formatCode>
                <c:ptCount val="5"/>
                <c:pt idx="0">
                  <c:v>0.44593736044050475</c:v>
                </c:pt>
                <c:pt idx="1">
                  <c:v>0.5665039697419435</c:v>
                </c:pt>
                <c:pt idx="3">
                  <c:v>0.54170527866896023</c:v>
                </c:pt>
                <c:pt idx="4">
                  <c:v>0.5584217544299217</c:v>
                </c:pt>
              </c:numCache>
            </c:numRef>
          </c:xVal>
          <c:yVal>
            <c:numRef>
              <c:f>'2011.08.29 PitCore KM14'!$C$18:$C$23</c:f>
              <c:numCache>
                <c:formatCode>??0</c:formatCode>
                <c:ptCount val="6"/>
                <c:pt idx="0">
                  <c:v>242</c:v>
                </c:pt>
                <c:pt idx="1">
                  <c:v>287</c:v>
                </c:pt>
                <c:pt idx="2">
                  <c:v>342</c:v>
                </c:pt>
                <c:pt idx="3">
                  <c:v>383</c:v>
                </c:pt>
                <c:pt idx="4">
                  <c:v>405</c:v>
                </c:pt>
                <c:pt idx="5">
                  <c:v>442</c:v>
                </c:pt>
              </c:numCache>
            </c:numRef>
          </c:yVal>
        </c:ser>
        <c:axId val="85356928"/>
        <c:axId val="85358848"/>
      </c:scatterChart>
      <c:valAx>
        <c:axId val="85356928"/>
        <c:scaling>
          <c:orientation val="minMax"/>
        </c:scaling>
        <c:axPos val="t"/>
        <c:majorGridlines>
          <c:spPr>
            <a:ln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Density</a:t>
                </a:r>
              </a:p>
            </c:rich>
          </c:tx>
          <c:layout/>
        </c:title>
        <c:numFmt formatCode="0.00" sourceLinked="1"/>
        <c:majorTickMark val="in"/>
        <c:tickLblPos val="nextTo"/>
        <c:crossAx val="85358848"/>
        <c:crosses val="autoZero"/>
        <c:crossBetween val="midCat"/>
      </c:valAx>
      <c:valAx>
        <c:axId val="85358848"/>
        <c:scaling>
          <c:orientation val="maxMin"/>
        </c:scaling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Depth, in cm</a:t>
                </a:r>
              </a:p>
            </c:rich>
          </c:tx>
          <c:layout/>
        </c:title>
        <c:numFmt formatCode="??0" sourceLinked="1"/>
        <c:majorTickMark val="in"/>
        <c:tickLblPos val="nextTo"/>
        <c:crossAx val="85356928"/>
        <c:crosses val="autoZero"/>
        <c:crossBetween val="midCat"/>
      </c:valAx>
      <c:spPr>
        <a:ln>
          <a:solidFill>
            <a:srgbClr val="000000"/>
          </a:solidFill>
        </a:ln>
      </c:spPr>
    </c:plotArea>
    <c:legend>
      <c:legendPos val="r"/>
      <c:layout/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/>
            </a:pPr>
            <a:r>
              <a:rPr lang="en-US" sz="1200" b="1"/>
              <a:t>Snow Depths</a:t>
            </a:r>
          </a:p>
        </c:rich>
      </c:tx>
      <c:layout>
        <c:manualLayout>
          <c:xMode val="edge"/>
          <c:yMode val="edge"/>
          <c:x val="0.4177052506117887"/>
          <c:y val="1.5075471887853119E-2"/>
        </c:manualLayout>
      </c:layout>
      <c:overlay val="1"/>
    </c:title>
    <c:plotArea>
      <c:layout>
        <c:manualLayout>
          <c:layoutTarget val="inner"/>
          <c:xMode val="edge"/>
          <c:yMode val="edge"/>
          <c:x val="0.14048030228105546"/>
          <c:y val="0.1744580203336652"/>
          <c:w val="0.82714722253921313"/>
          <c:h val="0.74742450297161123"/>
        </c:manualLayout>
      </c:layout>
      <c:barChart>
        <c:barDir val="col"/>
        <c:grouping val="clustered"/>
        <c:ser>
          <c:idx val="0"/>
          <c:order val="0"/>
          <c:tx>
            <c:strRef>
              <c:f>'2011.08.29 PitCore Taz Divide'!$Z$8</c:f>
              <c:strCache>
                <c:ptCount val="1"/>
                <c:pt idx="0">
                  <c:v>cm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'2011.08.29 PitCore Taz Divide'!$Y$9:$Y$10</c:f>
              <c:strCache>
                <c:ptCount val="1"/>
                <c:pt idx="0">
                  <c:v>Pit/Core</c:v>
                </c:pt>
              </c:strCache>
            </c:strRef>
          </c:cat>
          <c:val>
            <c:numRef>
              <c:f>'2011.08.29 PitCore Taz Divide'!$Z$9:$Z$10</c:f>
              <c:numCache>
                <c:formatCode>General</c:formatCode>
                <c:ptCount val="2"/>
                <c:pt idx="0">
                  <c:v>616</c:v>
                </c:pt>
              </c:numCache>
            </c:numRef>
          </c:val>
        </c:ser>
        <c:ser>
          <c:idx val="1"/>
          <c:order val="1"/>
          <c:tx>
            <c:strRef>
              <c:f>'2011.08.29 PitCore Taz Divide'!$AA$8</c:f>
              <c:strCache>
                <c:ptCount val="1"/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'2011.08.29 PitCore Taz Divide'!$Y$9:$Y$10</c:f>
              <c:strCache>
                <c:ptCount val="1"/>
                <c:pt idx="0">
                  <c:v>Pit/Core</c:v>
                </c:pt>
              </c:strCache>
            </c:strRef>
          </c:cat>
          <c:val>
            <c:numRef>
              <c:f>'2011.08.29 PitCore Taz Divide'!$AA$9:$AA$14</c:f>
              <c:numCache>
                <c:formatCode>0.00</c:formatCode>
                <c:ptCount val="6"/>
              </c:numCache>
            </c:numRef>
          </c:val>
        </c:ser>
        <c:gapWidth val="100"/>
        <c:overlap val="1"/>
        <c:axId val="85422848"/>
        <c:axId val="85424384"/>
      </c:barChart>
      <c:catAx>
        <c:axId val="85422848"/>
        <c:scaling>
          <c:orientation val="minMax"/>
        </c:scaling>
        <c:axPos val="t"/>
        <c:numFmt formatCode="General" sourceLinked="1"/>
        <c:majorTickMark val="cross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424384"/>
        <c:crosses val="autoZero"/>
        <c:lblAlgn val="ctr"/>
        <c:lblOffset val="100"/>
        <c:tickLblSkip val="2"/>
        <c:tickMarkSkip val="1"/>
      </c:catAx>
      <c:valAx>
        <c:axId val="85424384"/>
        <c:scaling>
          <c:orientation val="maxMin"/>
          <c:min val="0"/>
        </c:scaling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="1"/>
                  <a:t>Depth, in cm</a:t>
                </a:r>
              </a:p>
            </c:rich>
          </c:tx>
          <c:layout>
            <c:manualLayout>
              <c:xMode val="edge"/>
              <c:yMode val="edge"/>
              <c:x val="6.7095236283870492E-3"/>
              <c:y val="0.34635653301958041"/>
            </c:manualLayout>
          </c:layout>
        </c:title>
        <c:numFmt formatCode="0" sourceLinked="0"/>
        <c:maj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42284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dispBlanksAs val="gap"/>
  </c:chart>
  <c:spPr>
    <a:solidFill>
      <a:srgbClr val="FFFFFF"/>
    </a:solidFill>
    <a:ln w="9525">
      <a:solidFill>
        <a:srgbClr val="000000"/>
      </a:solidFill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&amp;f</c:oddHeader>
      <c:oddFooter>Page &amp;p</c:oddFooter>
    </c:headerFooter>
    <c:pageMargins b="1" l="0.75000000000000266" r="0.75000000000000266" t="1" header="0.5" footer="0.5"/>
    <c:pageSetup orientation="portrait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32939632545932"/>
          <c:y val="0.18079469233012588"/>
          <c:w val="0.66161548556430605"/>
          <c:h val="0.76780475357247291"/>
        </c:manualLayout>
      </c:layout>
      <c:scatterChart>
        <c:scatterStyle val="lineMarker"/>
        <c:ser>
          <c:idx val="0"/>
          <c:order val="0"/>
          <c:tx>
            <c:v>pit</c:v>
          </c:tx>
          <c:xVal>
            <c:numRef>
              <c:f>'2011.08.29 PitCore Taz Divide'!$Q$10:$Q$15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'2011.08.29 PitCore Taz Divide'!$C$10:$C$15</c:f>
              <c:numCache>
                <c:formatCode>??0</c:formatCode>
                <c:ptCount val="6"/>
              </c:numCache>
            </c:numRef>
          </c:yVal>
        </c:ser>
        <c:ser>
          <c:idx val="1"/>
          <c:order val="1"/>
          <c:tx>
            <c:v>core</c:v>
          </c:tx>
          <c:xVal>
            <c:numRef>
              <c:f>'2011.08.29 PitCore Taz Divide'!$Q$18:$Q$22</c:f>
              <c:numCache>
                <c:formatCode>0.00</c:formatCode>
                <c:ptCount val="5"/>
                <c:pt idx="0">
                  <c:v>0.38996713694932272</c:v>
                </c:pt>
                <c:pt idx="1">
                  <c:v>0.57275235747328834</c:v>
                </c:pt>
                <c:pt idx="2">
                  <c:v>0.6058077348186991</c:v>
                </c:pt>
              </c:numCache>
            </c:numRef>
          </c:xVal>
          <c:yVal>
            <c:numRef>
              <c:f>'2011.08.29 PitCore Taz Divide'!$C$18:$C$23</c:f>
              <c:numCache>
                <c:formatCode>??0</c:formatCode>
                <c:ptCount val="6"/>
                <c:pt idx="0">
                  <c:v>201</c:v>
                </c:pt>
                <c:pt idx="1">
                  <c:v>357</c:v>
                </c:pt>
                <c:pt idx="2">
                  <c:v>379</c:v>
                </c:pt>
                <c:pt idx="3">
                  <c:v>534</c:v>
                </c:pt>
                <c:pt idx="4">
                  <c:v>616</c:v>
                </c:pt>
                <c:pt idx="5">
                  <c:v>616</c:v>
                </c:pt>
              </c:numCache>
            </c:numRef>
          </c:yVal>
        </c:ser>
        <c:axId val="85435904"/>
        <c:axId val="85437824"/>
      </c:scatterChart>
      <c:valAx>
        <c:axId val="85435904"/>
        <c:scaling>
          <c:orientation val="minMax"/>
        </c:scaling>
        <c:axPos val="t"/>
        <c:majorGridlines>
          <c:spPr>
            <a:ln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Density</a:t>
                </a:r>
              </a:p>
            </c:rich>
          </c:tx>
          <c:layout/>
        </c:title>
        <c:numFmt formatCode="0.00" sourceLinked="1"/>
        <c:majorTickMark val="in"/>
        <c:tickLblPos val="nextTo"/>
        <c:crossAx val="85437824"/>
        <c:crosses val="autoZero"/>
        <c:crossBetween val="midCat"/>
      </c:valAx>
      <c:valAx>
        <c:axId val="85437824"/>
        <c:scaling>
          <c:orientation val="maxMin"/>
        </c:scaling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Depth, in cm</a:t>
                </a:r>
              </a:p>
            </c:rich>
          </c:tx>
          <c:layout/>
        </c:title>
        <c:numFmt formatCode="??0" sourceLinked="1"/>
        <c:majorTickMark val="in"/>
        <c:tickLblPos val="nextTo"/>
        <c:crossAx val="85435904"/>
        <c:crosses val="autoZero"/>
        <c:crossBetween val="midCat"/>
      </c:valAx>
      <c:spPr>
        <a:ln>
          <a:solidFill>
            <a:srgbClr val="000000"/>
          </a:solidFill>
        </a:ln>
      </c:spPr>
    </c:plotArea>
    <c:legend>
      <c:legendPos val="r"/>
      <c:layout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8</xdr:row>
      <xdr:rowOff>0</xdr:rowOff>
    </xdr:from>
    <xdr:to>
      <xdr:col>29</xdr:col>
      <xdr:colOff>1038225</xdr:colOff>
      <xdr:row>26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26</xdr:row>
      <xdr:rowOff>133350</xdr:rowOff>
    </xdr:from>
    <xdr:to>
      <xdr:col>29</xdr:col>
      <xdr:colOff>1038225</xdr:colOff>
      <xdr:row>46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2</xdr:row>
      <xdr:rowOff>0</xdr:rowOff>
    </xdr:from>
    <xdr:to>
      <xdr:col>38</xdr:col>
      <xdr:colOff>0</xdr:colOff>
      <xdr:row>17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18</xdr:row>
      <xdr:rowOff>0</xdr:rowOff>
    </xdr:from>
    <xdr:to>
      <xdr:col>38</xdr:col>
      <xdr:colOff>0</xdr:colOff>
      <xdr:row>37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2</xdr:row>
      <xdr:rowOff>0</xdr:rowOff>
    </xdr:from>
    <xdr:to>
      <xdr:col>38</xdr:col>
      <xdr:colOff>0</xdr:colOff>
      <xdr:row>17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18</xdr:row>
      <xdr:rowOff>0</xdr:rowOff>
    </xdr:from>
    <xdr:to>
      <xdr:col>38</xdr:col>
      <xdr:colOff>0</xdr:colOff>
      <xdr:row>37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LVERINE/STAKEB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LVERINE/Wolv-C%20Snowpi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LVERINE/Wolv-B%20Snowpit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ke A"/>
      <sheetName val="Stake B"/>
      <sheetName val="Stake C"/>
      <sheetName val="SNOWPIT"/>
    </sheetNames>
    <sheetDataSet>
      <sheetData sheetId="0">
        <row r="103">
          <cell r="A103">
            <v>32784</v>
          </cell>
          <cell r="D103" t="str">
            <v>89T157</v>
          </cell>
          <cell r="E103" t="str">
            <v>89-A</v>
          </cell>
          <cell r="F103" t="str">
            <v>I</v>
          </cell>
          <cell r="H103">
            <v>7.9</v>
          </cell>
          <cell r="I103">
            <v>0</v>
          </cell>
          <cell r="J103">
            <v>0</v>
          </cell>
          <cell r="K103" t="str">
            <v/>
          </cell>
          <cell r="M103">
            <v>7.9</v>
          </cell>
          <cell r="N103" t="str">
            <v/>
          </cell>
          <cell r="X103" t="str">
            <v/>
          </cell>
          <cell r="Z103" t="str">
            <v/>
          </cell>
          <cell r="AA103" t="str">
            <v/>
          </cell>
          <cell r="AF103" t="str">
            <v/>
          </cell>
          <cell r="AJ103" t="str">
            <v/>
          </cell>
          <cell r="AM103" t="str">
            <v/>
          </cell>
          <cell r="AN103" t="str">
            <v/>
          </cell>
          <cell r="BG103" t="str">
            <v/>
          </cell>
          <cell r="BK103" t="str">
            <v/>
          </cell>
          <cell r="BL103" t="str">
            <v/>
          </cell>
          <cell r="BO103">
            <v>7.65</v>
          </cell>
          <cell r="BP103">
            <v>7.9</v>
          </cell>
          <cell r="BQ103">
            <v>7.9</v>
          </cell>
          <cell r="BU103" t="str">
            <v/>
          </cell>
          <cell r="BW103">
            <v>0</v>
          </cell>
          <cell r="BX103">
            <v>0</v>
          </cell>
          <cell r="BY103">
            <v>0</v>
          </cell>
          <cell r="BZ103">
            <v>0.23</v>
          </cell>
          <cell r="CA103">
            <v>0.23</v>
          </cell>
          <cell r="CB103">
            <v>0.23</v>
          </cell>
        </row>
        <row r="104">
          <cell r="A104">
            <v>32789</v>
          </cell>
          <cell r="D104" t="str">
            <v>89T160</v>
          </cell>
          <cell r="E104" t="str">
            <v>89-A</v>
          </cell>
          <cell r="F104" t="str">
            <v>I</v>
          </cell>
          <cell r="G104" t="str">
            <v>?/?</v>
          </cell>
          <cell r="H104">
            <v>7.85</v>
          </cell>
          <cell r="K104" t="str">
            <v/>
          </cell>
          <cell r="M104">
            <v>7.85</v>
          </cell>
          <cell r="N104" t="str">
            <v/>
          </cell>
          <cell r="X104" t="str">
            <v/>
          </cell>
          <cell r="Z104" t="str">
            <v/>
          </cell>
          <cell r="AA104" t="str">
            <v/>
          </cell>
          <cell r="AF104" t="str">
            <v/>
          </cell>
          <cell r="AJ104" t="str">
            <v/>
          </cell>
          <cell r="AM104" t="str">
            <v/>
          </cell>
          <cell r="AN104" t="str">
            <v/>
          </cell>
          <cell r="BG104" t="str">
            <v/>
          </cell>
          <cell r="BK104" t="str">
            <v/>
          </cell>
          <cell r="BL104" t="str">
            <v/>
          </cell>
          <cell r="BO104">
            <v>7.65</v>
          </cell>
          <cell r="BP104">
            <v>7.85</v>
          </cell>
          <cell r="BQ104">
            <v>7.85</v>
          </cell>
          <cell r="BU104" t="str">
            <v/>
          </cell>
          <cell r="BW104">
            <v>0</v>
          </cell>
          <cell r="BX104">
            <v>0</v>
          </cell>
          <cell r="BY104">
            <v>0</v>
          </cell>
          <cell r="BZ104">
            <v>0.18</v>
          </cell>
          <cell r="CA104">
            <v>0.18</v>
          </cell>
          <cell r="CB104">
            <v>0.18</v>
          </cell>
        </row>
        <row r="105">
          <cell r="A105">
            <v>32918</v>
          </cell>
          <cell r="D105" t="str">
            <v>90T53</v>
          </cell>
          <cell r="E105" t="str">
            <v>89-A</v>
          </cell>
          <cell r="F105" t="str">
            <v>S</v>
          </cell>
          <cell r="G105" t="str">
            <v>12/12</v>
          </cell>
          <cell r="H105">
            <v>9.5</v>
          </cell>
          <cell r="I105">
            <v>7.18</v>
          </cell>
          <cell r="J105">
            <v>7.15</v>
          </cell>
          <cell r="K105">
            <v>2.9999999999999361E-2</v>
          </cell>
          <cell r="M105">
            <v>9.4700000000000006</v>
          </cell>
          <cell r="N105">
            <v>1.8200000000000003</v>
          </cell>
          <cell r="X105">
            <v>1.82</v>
          </cell>
          <cell r="Z105" t="str">
            <v/>
          </cell>
          <cell r="AA105">
            <v>1</v>
          </cell>
          <cell r="AE105">
            <v>0.36</v>
          </cell>
          <cell r="AF105">
            <v>0.36</v>
          </cell>
          <cell r="AI105">
            <v>-1</v>
          </cell>
          <cell r="AJ105">
            <v>-1</v>
          </cell>
          <cell r="AM105">
            <v>7.65</v>
          </cell>
          <cell r="AN105">
            <v>7.65</v>
          </cell>
          <cell r="BG105" t="str">
            <v/>
          </cell>
          <cell r="BK105" t="str">
            <v/>
          </cell>
          <cell r="BL105" t="str">
            <v/>
          </cell>
          <cell r="BO105">
            <v>7.65</v>
          </cell>
          <cell r="BP105">
            <v>7.65</v>
          </cell>
          <cell r="BQ105">
            <v>7.65</v>
          </cell>
          <cell r="BU105">
            <v>0.66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0.66</v>
          </cell>
          <cell r="CB105">
            <v>0</v>
          </cell>
        </row>
        <row r="106">
          <cell r="A106">
            <v>32949</v>
          </cell>
          <cell r="D106" t="str">
            <v>90T63</v>
          </cell>
          <cell r="E106" t="str">
            <v>89-A</v>
          </cell>
          <cell r="F106" t="str">
            <v>S</v>
          </cell>
          <cell r="G106" t="str">
            <v>12/12</v>
          </cell>
          <cell r="H106">
            <v>9.6</v>
          </cell>
          <cell r="K106" t="str">
            <v/>
          </cell>
          <cell r="M106">
            <v>9.6</v>
          </cell>
          <cell r="N106">
            <v>1.9499999999999993</v>
          </cell>
          <cell r="U106">
            <v>1.95</v>
          </cell>
          <cell r="V106">
            <v>3</v>
          </cell>
          <cell r="X106">
            <v>1.95</v>
          </cell>
          <cell r="AA106">
            <v>4</v>
          </cell>
          <cell r="AE106">
            <v>0.36</v>
          </cell>
          <cell r="AF106">
            <v>0.36</v>
          </cell>
          <cell r="AI106">
            <v>-1</v>
          </cell>
          <cell r="AJ106">
            <v>-1</v>
          </cell>
          <cell r="AM106">
            <v>7.65</v>
          </cell>
          <cell r="AN106">
            <v>7.65</v>
          </cell>
          <cell r="BG106" t="str">
            <v/>
          </cell>
          <cell r="BK106" t="str">
            <v/>
          </cell>
          <cell r="BL106" t="str">
            <v/>
          </cell>
          <cell r="BO106">
            <v>7.65</v>
          </cell>
          <cell r="BP106">
            <v>7.65</v>
          </cell>
          <cell r="BQ106">
            <v>7.65</v>
          </cell>
          <cell r="BU106">
            <v>0.7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0.7</v>
          </cell>
          <cell r="CB106">
            <v>0</v>
          </cell>
        </row>
        <row r="107">
          <cell r="A107">
            <v>33026</v>
          </cell>
          <cell r="D107" t="str">
            <v>90M24</v>
          </cell>
          <cell r="E107" t="str">
            <v>89-A</v>
          </cell>
          <cell r="F107" t="str">
            <v>I</v>
          </cell>
          <cell r="G107" t="str">
            <v>12/6</v>
          </cell>
          <cell r="H107">
            <v>7.87</v>
          </cell>
          <cell r="I107">
            <v>3.26</v>
          </cell>
          <cell r="J107">
            <v>3.3</v>
          </cell>
          <cell r="K107">
            <v>-4.0000000000000036E-2</v>
          </cell>
          <cell r="M107">
            <v>7.91</v>
          </cell>
          <cell r="N107" t="str">
            <v/>
          </cell>
          <cell r="X107" t="str">
            <v/>
          </cell>
          <cell r="AA107" t="str">
            <v/>
          </cell>
          <cell r="AE107">
            <v>0.35</v>
          </cell>
          <cell r="AF107" t="str">
            <v/>
          </cell>
          <cell r="AI107">
            <v>-1</v>
          </cell>
          <cell r="AJ107" t="str">
            <v/>
          </cell>
          <cell r="AM107" t="str">
            <v/>
          </cell>
          <cell r="AN107" t="str">
            <v/>
          </cell>
          <cell r="BG107" t="str">
            <v/>
          </cell>
          <cell r="BK107" t="str">
            <v/>
          </cell>
          <cell r="BL107" t="str">
            <v/>
          </cell>
          <cell r="BO107">
            <v>7.65</v>
          </cell>
          <cell r="BP107">
            <v>7.91</v>
          </cell>
          <cell r="BQ107">
            <v>7.91</v>
          </cell>
          <cell r="BU107" t="str">
            <v/>
          </cell>
          <cell r="BW107">
            <v>0</v>
          </cell>
          <cell r="BX107">
            <v>0</v>
          </cell>
          <cell r="BY107">
            <v>0</v>
          </cell>
          <cell r="BZ107">
            <v>0.23</v>
          </cell>
          <cell r="CA107">
            <v>0.23</v>
          </cell>
          <cell r="CB107">
            <v>0.23</v>
          </cell>
        </row>
        <row r="108">
          <cell r="A108">
            <v>33123</v>
          </cell>
          <cell r="D108" t="str">
            <v>90M35</v>
          </cell>
          <cell r="E108" t="str">
            <v>89-A</v>
          </cell>
          <cell r="F108" t="str">
            <v>I</v>
          </cell>
          <cell r="G108" t="str">
            <v>9/3</v>
          </cell>
          <cell r="H108">
            <v>1.2</v>
          </cell>
          <cell r="I108">
            <v>3.29</v>
          </cell>
          <cell r="J108">
            <v>3.33</v>
          </cell>
          <cell r="K108">
            <v>-4.0000000000000036E-2</v>
          </cell>
          <cell r="M108">
            <v>1.2400000000000002</v>
          </cell>
          <cell r="N108" t="str">
            <v/>
          </cell>
          <cell r="X108" t="str">
            <v/>
          </cell>
          <cell r="AA108" t="str">
            <v/>
          </cell>
          <cell r="AF108" t="str">
            <v/>
          </cell>
          <cell r="AJ108" t="str">
            <v/>
          </cell>
          <cell r="AM108" t="str">
            <v/>
          </cell>
          <cell r="AN108" t="str">
            <v/>
          </cell>
          <cell r="BG108" t="str">
            <v/>
          </cell>
          <cell r="BK108" t="str">
            <v/>
          </cell>
          <cell r="BL108" t="str">
            <v/>
          </cell>
          <cell r="BO108">
            <v>7.65</v>
          </cell>
          <cell r="BP108">
            <v>1.2400000000000002</v>
          </cell>
          <cell r="BQ108">
            <v>1.2400000000000002</v>
          </cell>
          <cell r="BU108" t="str">
            <v/>
          </cell>
          <cell r="BW108">
            <v>0</v>
          </cell>
          <cell r="BX108">
            <v>0</v>
          </cell>
          <cell r="BY108">
            <v>0</v>
          </cell>
          <cell r="BZ108">
            <v>-5.77</v>
          </cell>
          <cell r="CA108">
            <v>-5.77</v>
          </cell>
          <cell r="CB108">
            <v>-5.77</v>
          </cell>
        </row>
        <row r="109">
          <cell r="D109" t="str">
            <v>bn 1990</v>
          </cell>
          <cell r="F109" t="str">
            <v>I</v>
          </cell>
          <cell r="M109" t="e">
            <v>#VALUE!</v>
          </cell>
          <cell r="BO109">
            <v>7.91</v>
          </cell>
          <cell r="BP109" t="e">
            <v>#VALUE!</v>
          </cell>
          <cell r="BQ109" t="e">
            <v>#VALUE!</v>
          </cell>
          <cell r="BU109" t="str">
            <v/>
          </cell>
          <cell r="BW109">
            <v>0</v>
          </cell>
          <cell r="BX109">
            <v>0</v>
          </cell>
          <cell r="BY109">
            <v>0</v>
          </cell>
          <cell r="BZ109" t="e">
            <v>#VALUE!</v>
          </cell>
          <cell r="CA109" t="e">
            <v>#VALUE!</v>
          </cell>
          <cell r="CB109" t="e">
            <v>#VALUE!</v>
          </cell>
        </row>
        <row r="110">
          <cell r="D110" t="str">
            <v>1990 HY end</v>
          </cell>
        </row>
        <row r="111">
          <cell r="K111" t="str">
            <v/>
          </cell>
          <cell r="N111" t="str">
            <v/>
          </cell>
          <cell r="X111" t="str">
            <v/>
          </cell>
          <cell r="AA111" t="str">
            <v/>
          </cell>
          <cell r="AF111" t="str">
            <v/>
          </cell>
          <cell r="AJ111" t="str">
            <v/>
          </cell>
          <cell r="AM111" t="str">
            <v/>
          </cell>
          <cell r="AN111" t="str">
            <v/>
          </cell>
          <cell r="BG111" t="str">
            <v/>
          </cell>
          <cell r="BK111" t="str">
            <v/>
          </cell>
          <cell r="BL111" t="str">
            <v/>
          </cell>
          <cell r="BP111" t="str">
            <v/>
          </cell>
          <cell r="BQ111" t="str">
            <v/>
          </cell>
          <cell r="BU111" t="str">
            <v/>
          </cell>
        </row>
        <row r="112">
          <cell r="A112">
            <v>33123</v>
          </cell>
          <cell r="D112" t="str">
            <v>90M35</v>
          </cell>
          <cell r="E112" t="str">
            <v>90-A</v>
          </cell>
          <cell r="F112" t="str">
            <v>I</v>
          </cell>
          <cell r="G112" t="str">
            <v>0/12</v>
          </cell>
          <cell r="H112">
            <v>8.1</v>
          </cell>
          <cell r="K112" t="str">
            <v/>
          </cell>
          <cell r="M112">
            <v>8.1</v>
          </cell>
          <cell r="N112" t="str">
            <v/>
          </cell>
          <cell r="X112" t="str">
            <v/>
          </cell>
          <cell r="AA112" t="str">
            <v/>
          </cell>
          <cell r="AF112" t="str">
            <v/>
          </cell>
          <cell r="AJ112" t="str">
            <v/>
          </cell>
          <cell r="AM112" t="str">
            <v/>
          </cell>
          <cell r="AN112" t="str">
            <v/>
          </cell>
          <cell r="BG112" t="str">
            <v/>
          </cell>
          <cell r="BK112" t="str">
            <v/>
          </cell>
          <cell r="BL112" t="str">
            <v/>
          </cell>
          <cell r="BO112">
            <v>8.1</v>
          </cell>
          <cell r="BP112">
            <v>8.1</v>
          </cell>
          <cell r="BQ112">
            <v>8.1</v>
          </cell>
          <cell r="BU112" t="str">
            <v/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</row>
        <row r="113">
          <cell r="D113" t="str">
            <v>bn 1990</v>
          </cell>
          <cell r="F113" t="str">
            <v>I</v>
          </cell>
          <cell r="M113" t="e">
            <v>#VALUE!</v>
          </cell>
        </row>
        <row r="114">
          <cell r="D114" t="str">
            <v>1990 HY end</v>
          </cell>
        </row>
        <row r="115">
          <cell r="A115">
            <v>33245</v>
          </cell>
          <cell r="D115" t="str">
            <v>91M6</v>
          </cell>
          <cell r="E115" t="str">
            <v>90-A</v>
          </cell>
          <cell r="F115" t="str">
            <v>S</v>
          </cell>
          <cell r="G115" t="str">
            <v>12/12</v>
          </cell>
          <cell r="H115">
            <v>7.75</v>
          </cell>
          <cell r="I115">
            <v>3.3</v>
          </cell>
          <cell r="J115">
            <v>3.26</v>
          </cell>
          <cell r="K115">
            <v>4.0000000000000036E-2</v>
          </cell>
          <cell r="M115">
            <v>7.71</v>
          </cell>
          <cell r="N115" t="str">
            <v/>
          </cell>
          <cell r="U115">
            <v>0.12000000000000002</v>
          </cell>
          <cell r="V115">
            <v>10</v>
          </cell>
          <cell r="X115" t="e">
            <v>#VALUE!</v>
          </cell>
          <cell r="AA115">
            <v>10</v>
          </cell>
          <cell r="AE115">
            <v>0.37</v>
          </cell>
          <cell r="AF115">
            <v>0.37</v>
          </cell>
          <cell r="AI115">
            <v>-1</v>
          </cell>
          <cell r="AJ115" t="str">
            <v/>
          </cell>
          <cell r="AM115" t="e">
            <v>#VALUE!</v>
          </cell>
          <cell r="AN115" t="e">
            <v>#VALUE!</v>
          </cell>
          <cell r="BG115" t="str">
            <v/>
          </cell>
          <cell r="BK115" t="str">
            <v/>
          </cell>
          <cell r="BL115" t="str">
            <v/>
          </cell>
          <cell r="BO115" t="e">
            <v>#VALUE!</v>
          </cell>
          <cell r="BP115" t="e">
            <v>#VALUE!</v>
          </cell>
          <cell r="BQ115" t="e">
            <v>#VALUE!</v>
          </cell>
          <cell r="BU115" t="e">
            <v>#VALUE!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 t="e">
            <v>#VALUE!</v>
          </cell>
          <cell r="CB115">
            <v>0</v>
          </cell>
        </row>
        <row r="116">
          <cell r="A116">
            <v>33371</v>
          </cell>
          <cell r="D116" t="str">
            <v>91M16</v>
          </cell>
          <cell r="E116" t="str">
            <v>90-A</v>
          </cell>
          <cell r="F116" t="str">
            <v>S</v>
          </cell>
          <cell r="G116" t="str">
            <v>12/9</v>
          </cell>
          <cell r="I116">
            <v>0</v>
          </cell>
          <cell r="J116">
            <v>0</v>
          </cell>
          <cell r="M116" t="str">
            <v/>
          </cell>
          <cell r="N116" t="str">
            <v/>
          </cell>
          <cell r="X116" t="str">
            <v/>
          </cell>
          <cell r="AA116" t="str">
            <v/>
          </cell>
          <cell r="AE116">
            <v>0.37</v>
          </cell>
          <cell r="AF116" t="str">
            <v/>
          </cell>
          <cell r="AI116">
            <v>-1</v>
          </cell>
          <cell r="AJ116" t="str">
            <v/>
          </cell>
          <cell r="AM116" t="str">
            <v/>
          </cell>
          <cell r="AN116" t="str">
            <v/>
          </cell>
          <cell r="BG116" t="str">
            <v/>
          </cell>
          <cell r="BK116" t="str">
            <v/>
          </cell>
          <cell r="BL116" t="str">
            <v/>
          </cell>
          <cell r="BO116" t="e">
            <v>#VALUE!</v>
          </cell>
          <cell r="BP116" t="str">
            <v/>
          </cell>
          <cell r="BQ116" t="str">
            <v/>
          </cell>
          <cell r="BU116" t="e">
            <v>#VALUE!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 t="e">
            <v>#VALUE!</v>
          </cell>
          <cell r="CB116">
            <v>0</v>
          </cell>
        </row>
        <row r="117">
          <cell r="A117">
            <v>33493</v>
          </cell>
          <cell r="D117" t="str">
            <v>91M32</v>
          </cell>
          <cell r="E117" t="str">
            <v>90-A</v>
          </cell>
          <cell r="F117" t="str">
            <v>I</v>
          </cell>
          <cell r="G117" t="str">
            <v>9/6</v>
          </cell>
          <cell r="H117">
            <v>3.48</v>
          </cell>
          <cell r="I117">
            <v>3.57</v>
          </cell>
          <cell r="J117">
            <v>3.57</v>
          </cell>
          <cell r="K117" t="str">
            <v/>
          </cell>
          <cell r="M117">
            <v>3.48</v>
          </cell>
          <cell r="N117" t="str">
            <v/>
          </cell>
          <cell r="X117" t="str">
            <v/>
          </cell>
          <cell r="AA117" t="str">
            <v/>
          </cell>
          <cell r="AF117" t="str">
            <v/>
          </cell>
          <cell r="AJ117" t="str">
            <v/>
          </cell>
          <cell r="AM117" t="str">
            <v/>
          </cell>
          <cell r="AN117" t="str">
            <v/>
          </cell>
          <cell r="BG117" t="str">
            <v/>
          </cell>
          <cell r="BK117" t="str">
            <v/>
          </cell>
          <cell r="BL117" t="str">
            <v/>
          </cell>
          <cell r="BO117" t="e">
            <v>#VALUE!</v>
          </cell>
          <cell r="BP117">
            <v>3.48</v>
          </cell>
          <cell r="BQ117">
            <v>3.48</v>
          </cell>
          <cell r="BU117" t="str">
            <v/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</row>
        <row r="118">
          <cell r="A118">
            <v>33499</v>
          </cell>
          <cell r="D118" t="str">
            <v>91M39</v>
          </cell>
          <cell r="E118" t="str">
            <v>90-A</v>
          </cell>
          <cell r="F118" t="str">
            <v>I</v>
          </cell>
          <cell r="G118" t="str">
            <v>9/6</v>
          </cell>
          <cell r="H118">
            <v>3.15</v>
          </cell>
          <cell r="K118" t="str">
            <v/>
          </cell>
          <cell r="M118">
            <v>3.15</v>
          </cell>
          <cell r="N118" t="str">
            <v/>
          </cell>
          <cell r="X118" t="str">
            <v/>
          </cell>
          <cell r="AA118" t="str">
            <v/>
          </cell>
          <cell r="AF118" t="str">
            <v/>
          </cell>
          <cell r="AJ118" t="str">
            <v/>
          </cell>
          <cell r="AM118" t="str">
            <v/>
          </cell>
          <cell r="AN118" t="str">
            <v/>
          </cell>
          <cell r="BG118" t="str">
            <v/>
          </cell>
          <cell r="BK118" t="str">
            <v/>
          </cell>
          <cell r="BL118" t="str">
            <v/>
          </cell>
          <cell r="BO118" t="e">
            <v>#VALUE!</v>
          </cell>
          <cell r="BP118">
            <v>3.15</v>
          </cell>
          <cell r="BQ118">
            <v>3.15</v>
          </cell>
          <cell r="BU118" t="str">
            <v/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</row>
        <row r="119">
          <cell r="D119" t="str">
            <v>bn 1991</v>
          </cell>
          <cell r="F119" t="str">
            <v>I</v>
          </cell>
          <cell r="M119" t="e">
            <v>#VALUE!</v>
          </cell>
          <cell r="BO119" t="str">
            <v/>
          </cell>
          <cell r="BP119" t="e">
            <v>#VALUE!</v>
          </cell>
          <cell r="BQ119" t="e">
            <v>#VALUE!</v>
          </cell>
          <cell r="BU119" t="str">
            <v/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</row>
        <row r="120">
          <cell r="D120" t="str">
            <v>1991 HY end</v>
          </cell>
        </row>
        <row r="121">
          <cell r="K121" t="str">
            <v/>
          </cell>
          <cell r="N121" t="str">
            <v/>
          </cell>
          <cell r="X121" t="str">
            <v/>
          </cell>
          <cell r="AA121" t="str">
            <v/>
          </cell>
          <cell r="AF121" t="str">
            <v/>
          </cell>
          <cell r="AJ121" t="str">
            <v/>
          </cell>
          <cell r="AM121" t="str">
            <v/>
          </cell>
          <cell r="AN121" t="str">
            <v/>
          </cell>
          <cell r="BG121" t="str">
            <v/>
          </cell>
          <cell r="BK121" t="str">
            <v/>
          </cell>
          <cell r="BL121" t="str">
            <v/>
          </cell>
          <cell r="BP121" t="str">
            <v/>
          </cell>
          <cell r="BQ121" t="str">
            <v/>
          </cell>
          <cell r="BU121" t="str">
            <v/>
          </cell>
        </row>
        <row r="122">
          <cell r="A122">
            <v>33499</v>
          </cell>
          <cell r="D122" t="str">
            <v>91M39</v>
          </cell>
          <cell r="E122" t="str">
            <v>91-A</v>
          </cell>
          <cell r="F122" t="str">
            <v>I</v>
          </cell>
          <cell r="G122" t="str">
            <v>0/12</v>
          </cell>
          <cell r="H122">
            <v>8.9</v>
          </cell>
          <cell r="K122" t="str">
            <v/>
          </cell>
          <cell r="M122">
            <v>8.9</v>
          </cell>
          <cell r="N122" t="str">
            <v/>
          </cell>
          <cell r="X122" t="str">
            <v/>
          </cell>
          <cell r="AA122" t="str">
            <v/>
          </cell>
          <cell r="AF122" t="str">
            <v/>
          </cell>
          <cell r="AJ122" t="str">
            <v/>
          </cell>
          <cell r="AM122" t="str">
            <v/>
          </cell>
          <cell r="AN122" t="str">
            <v/>
          </cell>
          <cell r="BG122" t="str">
            <v/>
          </cell>
          <cell r="BK122" t="str">
            <v/>
          </cell>
          <cell r="BL122" t="str">
            <v/>
          </cell>
          <cell r="BP122">
            <v>8.9</v>
          </cell>
          <cell r="BQ122">
            <v>8.9</v>
          </cell>
          <cell r="BU122" t="str">
            <v/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</row>
        <row r="123">
          <cell r="D123" t="str">
            <v>bn 1991</v>
          </cell>
          <cell r="F123" t="str">
            <v>I</v>
          </cell>
          <cell r="M123" t="e">
            <v>#VALUE!</v>
          </cell>
        </row>
        <row r="124">
          <cell r="D124" t="str">
            <v>1991 HY end</v>
          </cell>
        </row>
        <row r="125">
          <cell r="A125">
            <v>33626</v>
          </cell>
          <cell r="D125" t="str">
            <v>92M3&amp;7</v>
          </cell>
          <cell r="E125" t="str">
            <v>91-A</v>
          </cell>
          <cell r="F125" t="str">
            <v>S</v>
          </cell>
          <cell r="I125">
            <v>3.29</v>
          </cell>
          <cell r="J125">
            <v>3.24</v>
          </cell>
          <cell r="K125">
            <v>4.9999999999999822E-2</v>
          </cell>
          <cell r="M125">
            <v>3.24</v>
          </cell>
          <cell r="N125" t="str">
            <v/>
          </cell>
          <cell r="X125" t="str">
            <v/>
          </cell>
          <cell r="AA125" t="str">
            <v/>
          </cell>
          <cell r="AE125">
            <v>0.39</v>
          </cell>
          <cell r="AF125" t="str">
            <v/>
          </cell>
          <cell r="AI125">
            <v>-1</v>
          </cell>
          <cell r="AJ125" t="str">
            <v/>
          </cell>
          <cell r="AM125" t="e">
            <v>#VALUE!</v>
          </cell>
          <cell r="AN125" t="e">
            <v>#VALUE!</v>
          </cell>
          <cell r="BG125" t="str">
            <v/>
          </cell>
          <cell r="BK125" t="str">
            <v/>
          </cell>
          <cell r="BL125" t="str">
            <v/>
          </cell>
          <cell r="BO125" t="e">
            <v>#VALUE!</v>
          </cell>
          <cell r="BP125" t="e">
            <v>#VALUE!</v>
          </cell>
          <cell r="BQ125" t="e">
            <v>#VALUE!</v>
          </cell>
          <cell r="BU125" t="e">
            <v>#VALUE!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 t="e">
            <v>#VALUE!</v>
          </cell>
          <cell r="CB125">
            <v>0</v>
          </cell>
        </row>
        <row r="126">
          <cell r="A126">
            <v>33737</v>
          </cell>
          <cell r="D126" t="str">
            <v>92M12,14</v>
          </cell>
          <cell r="E126" t="str">
            <v>91-A</v>
          </cell>
          <cell r="F126" t="str">
            <v>S</v>
          </cell>
          <cell r="H126">
            <v>10.73</v>
          </cell>
          <cell r="I126">
            <v>0</v>
          </cell>
          <cell r="J126">
            <v>0</v>
          </cell>
          <cell r="K126" t="str">
            <v/>
          </cell>
          <cell r="M126">
            <v>10.73</v>
          </cell>
          <cell r="N126" t="str">
            <v/>
          </cell>
          <cell r="U126">
            <v>1.8233333333333333</v>
          </cell>
          <cell r="V126">
            <v>6</v>
          </cell>
          <cell r="X126" t="e">
            <v>#VALUE!</v>
          </cell>
          <cell r="AA126">
            <v>6</v>
          </cell>
          <cell r="AE126">
            <v>0.39</v>
          </cell>
          <cell r="AF126">
            <v>0.39</v>
          </cell>
          <cell r="AI126">
            <v>-1</v>
          </cell>
          <cell r="AJ126" t="str">
            <v/>
          </cell>
          <cell r="AM126" t="e">
            <v>#VALUE!</v>
          </cell>
          <cell r="AN126" t="e">
            <v>#VALUE!</v>
          </cell>
          <cell r="BG126" t="str">
            <v/>
          </cell>
          <cell r="BK126" t="str">
            <v/>
          </cell>
          <cell r="BL126" t="str">
            <v/>
          </cell>
          <cell r="BO126" t="e">
            <v>#VALUE!</v>
          </cell>
          <cell r="BP126" t="e">
            <v>#VALUE!</v>
          </cell>
          <cell r="BQ126" t="e">
            <v>#VALUE!</v>
          </cell>
          <cell r="BU126" t="e">
            <v>#VALUE!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 t="e">
            <v>#VALUE!</v>
          </cell>
          <cell r="CB126">
            <v>0</v>
          </cell>
        </row>
        <row r="127">
          <cell r="A127">
            <v>33853</v>
          </cell>
          <cell r="D127" t="str">
            <v>92M61</v>
          </cell>
          <cell r="E127" t="str">
            <v>91-A</v>
          </cell>
          <cell r="F127" t="str">
            <v>I</v>
          </cell>
          <cell r="G127" t="str">
            <v>12/9</v>
          </cell>
          <cell r="I127">
            <v>4.79</v>
          </cell>
          <cell r="J127">
            <v>4.5999999999999996</v>
          </cell>
          <cell r="K127">
            <v>0.19000000000000039</v>
          </cell>
          <cell r="M127">
            <v>4.5999999999999996</v>
          </cell>
          <cell r="N127" t="str">
            <v/>
          </cell>
          <cell r="X127" t="str">
            <v/>
          </cell>
          <cell r="AA127" t="str">
            <v/>
          </cell>
          <cell r="AF127" t="str">
            <v/>
          </cell>
          <cell r="AJ127" t="str">
            <v/>
          </cell>
          <cell r="AM127" t="str">
            <v/>
          </cell>
          <cell r="AN127" t="str">
            <v/>
          </cell>
          <cell r="BG127" t="str">
            <v/>
          </cell>
          <cell r="BK127" t="str">
            <v/>
          </cell>
          <cell r="BL127" t="str">
            <v/>
          </cell>
          <cell r="BO127" t="e">
            <v>#VALUE!</v>
          </cell>
          <cell r="BP127">
            <v>4.5999999999999996</v>
          </cell>
          <cell r="BQ127">
            <v>4.5999999999999996</v>
          </cell>
          <cell r="BU127" t="str">
            <v/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</row>
        <row r="128">
          <cell r="D128" t="str">
            <v>bn 1992</v>
          </cell>
          <cell r="F128" t="str">
            <v>I</v>
          </cell>
          <cell r="M128">
            <v>4.54</v>
          </cell>
          <cell r="BO128" t="e">
            <v>#VALUE!</v>
          </cell>
          <cell r="BP128">
            <v>4.54</v>
          </cell>
          <cell r="BQ128">
            <v>4.54</v>
          </cell>
          <cell r="BU128" t="str">
            <v/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</row>
        <row r="129">
          <cell r="D129" t="str">
            <v>1992 HY end</v>
          </cell>
        </row>
        <row r="130">
          <cell r="A130">
            <v>34009</v>
          </cell>
          <cell r="D130" t="str">
            <v>93M5</v>
          </cell>
          <cell r="E130" t="str">
            <v>91-A</v>
          </cell>
          <cell r="F130" t="str">
            <v>S</v>
          </cell>
          <cell r="I130">
            <v>4.47</v>
          </cell>
          <cell r="J130">
            <v>4.3899999999999997</v>
          </cell>
          <cell r="K130">
            <v>8.0000000000000071E-2</v>
          </cell>
          <cell r="M130">
            <v>4.3899999999999997</v>
          </cell>
          <cell r="N130" t="str">
            <v/>
          </cell>
          <cell r="U130">
            <v>-0.15000000000000036</v>
          </cell>
          <cell r="V130">
            <v>1</v>
          </cell>
          <cell r="X130" t="e">
            <v>#VALUE!</v>
          </cell>
          <cell r="AA130">
            <v>1</v>
          </cell>
          <cell r="AE130">
            <v>0.39</v>
          </cell>
          <cell r="AF130">
            <v>0.39</v>
          </cell>
          <cell r="AI130">
            <v>-1</v>
          </cell>
          <cell r="AJ130" t="str">
            <v/>
          </cell>
          <cell r="AM130" t="e">
            <v>#VALUE!</v>
          </cell>
          <cell r="AN130" t="e">
            <v>#VALUE!</v>
          </cell>
          <cell r="BG130" t="str">
            <v/>
          </cell>
          <cell r="BK130" t="str">
            <v/>
          </cell>
          <cell r="BL130" t="str">
            <v/>
          </cell>
          <cell r="BO130" t="e">
            <v>#VALUE!</v>
          </cell>
          <cell r="BP130" t="e">
            <v>#VALUE!</v>
          </cell>
          <cell r="BQ130" t="e">
            <v>#VALUE!</v>
          </cell>
          <cell r="BU130" t="e">
            <v>#VALUE!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 t="e">
            <v>#VALUE!</v>
          </cell>
          <cell r="CB130">
            <v>0</v>
          </cell>
        </row>
        <row r="131">
          <cell r="A131">
            <v>34105</v>
          </cell>
          <cell r="D131" t="str">
            <v>93M7</v>
          </cell>
          <cell r="E131" t="str">
            <v>91-A</v>
          </cell>
          <cell r="F131" t="str">
            <v>S</v>
          </cell>
          <cell r="G131" t="str">
            <v>13.?/12</v>
          </cell>
          <cell r="I131">
            <v>4.9000000000000004</v>
          </cell>
          <cell r="J131">
            <v>4.8499999999999996</v>
          </cell>
          <cell r="K131">
            <v>5.0000000000000711E-2</v>
          </cell>
          <cell r="M131">
            <v>4.8499999999999996</v>
          </cell>
          <cell r="N131" t="str">
            <v/>
          </cell>
          <cell r="X131" t="str">
            <v/>
          </cell>
          <cell r="AA131" t="str">
            <v/>
          </cell>
          <cell r="AE131">
            <v>0.39</v>
          </cell>
          <cell r="AF131" t="str">
            <v/>
          </cell>
          <cell r="AI131">
            <v>-1</v>
          </cell>
          <cell r="AJ131" t="str">
            <v/>
          </cell>
          <cell r="AM131" t="e">
            <v>#VALUE!</v>
          </cell>
          <cell r="AN131" t="e">
            <v>#VALUE!</v>
          </cell>
          <cell r="BG131" t="str">
            <v/>
          </cell>
          <cell r="BK131" t="str">
            <v/>
          </cell>
          <cell r="BL131" t="str">
            <v/>
          </cell>
          <cell r="BO131" t="e">
            <v>#VALUE!</v>
          </cell>
          <cell r="BP131" t="e">
            <v>#VALUE!</v>
          </cell>
          <cell r="BQ131" t="e">
            <v>#VALUE!</v>
          </cell>
          <cell r="BU131" t="e">
            <v>#VALUE!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 t="e">
            <v>#VALUE!</v>
          </cell>
          <cell r="CB131">
            <v>0</v>
          </cell>
        </row>
        <row r="132">
          <cell r="A132">
            <v>34222</v>
          </cell>
          <cell r="D132" t="str">
            <v>93M32</v>
          </cell>
          <cell r="E132" t="str">
            <v>91-A</v>
          </cell>
          <cell r="F132" t="str">
            <v>I</v>
          </cell>
          <cell r="G132" t="str">
            <v>?/0</v>
          </cell>
          <cell r="H132" t="str">
            <v>STAKE MELTED OUT</v>
          </cell>
          <cell r="K132" t="str">
            <v/>
          </cell>
          <cell r="M132" t="str">
            <v>&lt;0</v>
          </cell>
          <cell r="N132" t="str">
            <v/>
          </cell>
          <cell r="X132" t="str">
            <v/>
          </cell>
          <cell r="AA132" t="str">
            <v/>
          </cell>
          <cell r="AF132" t="str">
            <v/>
          </cell>
          <cell r="AJ132" t="str">
            <v/>
          </cell>
          <cell r="AM132" t="str">
            <v/>
          </cell>
          <cell r="AN132" t="str">
            <v/>
          </cell>
          <cell r="BG132" t="str">
            <v/>
          </cell>
          <cell r="BK132" t="str">
            <v/>
          </cell>
          <cell r="BL132" t="str">
            <v/>
          </cell>
          <cell r="BO132" t="e">
            <v>#VALUE!</v>
          </cell>
          <cell r="BP132" t="str">
            <v>&lt;0</v>
          </cell>
          <cell r="BQ132">
            <v>0</v>
          </cell>
          <cell r="BU132" t="str">
            <v/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</row>
        <row r="133">
          <cell r="K133" t="str">
            <v/>
          </cell>
          <cell r="N133" t="str">
            <v/>
          </cell>
          <cell r="X133" t="str">
            <v/>
          </cell>
          <cell r="AA133" t="str">
            <v/>
          </cell>
          <cell r="AF133" t="str">
            <v/>
          </cell>
          <cell r="AJ133" t="str">
            <v/>
          </cell>
          <cell r="AM133" t="str">
            <v/>
          </cell>
          <cell r="AN133" t="str">
            <v/>
          </cell>
          <cell r="BG133" t="str">
            <v/>
          </cell>
          <cell r="BK133" t="str">
            <v/>
          </cell>
          <cell r="BL133" t="str">
            <v/>
          </cell>
          <cell r="BP133" t="str">
            <v/>
          </cell>
          <cell r="BQ133" t="str">
            <v/>
          </cell>
          <cell r="BU133" t="str">
            <v/>
          </cell>
        </row>
        <row r="134">
          <cell r="A134">
            <v>33854</v>
          </cell>
          <cell r="D134" t="str">
            <v>92M63</v>
          </cell>
          <cell r="E134" t="str">
            <v>92-A</v>
          </cell>
          <cell r="F134" t="str">
            <v>I</v>
          </cell>
          <cell r="G134" t="str">
            <v>0/12</v>
          </cell>
          <cell r="H134">
            <v>8</v>
          </cell>
          <cell r="I134">
            <v>0</v>
          </cell>
          <cell r="J134">
            <v>0</v>
          </cell>
          <cell r="K134" t="str">
            <v/>
          </cell>
          <cell r="M134">
            <v>8</v>
          </cell>
          <cell r="N134" t="str">
            <v/>
          </cell>
          <cell r="X134" t="str">
            <v/>
          </cell>
          <cell r="AA134" t="str">
            <v/>
          </cell>
          <cell r="AF134" t="str">
            <v/>
          </cell>
          <cell r="AJ134" t="str">
            <v/>
          </cell>
          <cell r="AM134" t="str">
            <v/>
          </cell>
          <cell r="AN134" t="str">
            <v/>
          </cell>
          <cell r="BG134" t="str">
            <v/>
          </cell>
          <cell r="BK134" t="str">
            <v/>
          </cell>
          <cell r="BL134" t="str">
            <v/>
          </cell>
          <cell r="BO134" t="e">
            <v>#VALUE!</v>
          </cell>
          <cell r="BP134">
            <v>8</v>
          </cell>
          <cell r="BQ134">
            <v>8</v>
          </cell>
          <cell r="BU134" t="str">
            <v/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 t="str">
            <v>This -2.93 agrees with B(I) for stk 91-A makes bn=-7.25</v>
          </cell>
        </row>
        <row r="135">
          <cell r="D135" t="str">
            <v>bn 1992</v>
          </cell>
          <cell r="M135">
            <v>7.94</v>
          </cell>
          <cell r="BO135" t="e">
            <v>#VALUE!</v>
          </cell>
          <cell r="BP135">
            <v>7.94</v>
          </cell>
          <cell r="BQ135">
            <v>7.94</v>
          </cell>
          <cell r="BU135" t="str">
            <v/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</row>
        <row r="136">
          <cell r="D136" t="str">
            <v>1992 HY end</v>
          </cell>
        </row>
        <row r="137">
          <cell r="A137">
            <v>34105</v>
          </cell>
          <cell r="D137" t="str">
            <v>92M17</v>
          </cell>
          <cell r="E137" t="str">
            <v>92-A</v>
          </cell>
          <cell r="F137" t="str">
            <v>S</v>
          </cell>
          <cell r="I137">
            <v>4.57</v>
          </cell>
          <cell r="J137">
            <v>4.51</v>
          </cell>
          <cell r="K137">
            <v>6.0000000000000497E-2</v>
          </cell>
          <cell r="M137">
            <v>4.51</v>
          </cell>
          <cell r="N137" t="str">
            <v/>
          </cell>
          <cell r="U137">
            <v>-3.4300000000000006</v>
          </cell>
          <cell r="V137">
            <v>1</v>
          </cell>
          <cell r="X137" t="e">
            <v>#VALUE!</v>
          </cell>
          <cell r="AA137">
            <v>1</v>
          </cell>
          <cell r="AE137">
            <v>0.39</v>
          </cell>
          <cell r="AF137">
            <v>0.39</v>
          </cell>
          <cell r="AI137">
            <v>-1</v>
          </cell>
          <cell r="AJ137" t="str">
            <v/>
          </cell>
          <cell r="AM137" t="e">
            <v>#VALUE!</v>
          </cell>
          <cell r="AN137" t="e">
            <v>#VALUE!</v>
          </cell>
          <cell r="BG137" t="str">
            <v/>
          </cell>
          <cell r="BK137" t="str">
            <v/>
          </cell>
          <cell r="BL137" t="str">
            <v/>
          </cell>
          <cell r="BO137" t="e">
            <v>#VALUE!</v>
          </cell>
          <cell r="BP137" t="e">
            <v>#VALUE!</v>
          </cell>
          <cell r="BQ137" t="e">
            <v>#VALUE!</v>
          </cell>
          <cell r="BU137" t="e">
            <v>#VALUE!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 t="e">
            <v>#VALUE!</v>
          </cell>
          <cell r="CB137">
            <v>0</v>
          </cell>
        </row>
        <row r="138">
          <cell r="A138">
            <v>34222</v>
          </cell>
          <cell r="D138" t="str">
            <v>93M32,34,37</v>
          </cell>
          <cell r="E138" t="str">
            <v>92-A</v>
          </cell>
          <cell r="F138" t="str">
            <v>I</v>
          </cell>
          <cell r="G138" t="str">
            <v>12/8</v>
          </cell>
          <cell r="H138">
            <v>3.7</v>
          </cell>
          <cell r="I138">
            <v>6.83</v>
          </cell>
          <cell r="J138">
            <v>6.53</v>
          </cell>
          <cell r="K138">
            <v>0.29999999999999982</v>
          </cell>
          <cell r="M138">
            <v>3.4000000000000004</v>
          </cell>
          <cell r="N138" t="str">
            <v/>
          </cell>
          <cell r="X138" t="str">
            <v/>
          </cell>
          <cell r="AA138" t="str">
            <v/>
          </cell>
          <cell r="AF138" t="str">
            <v/>
          </cell>
          <cell r="AJ138" t="str">
            <v/>
          </cell>
          <cell r="AM138" t="str">
            <v/>
          </cell>
          <cell r="AN138" t="str">
            <v/>
          </cell>
          <cell r="BG138" t="str">
            <v/>
          </cell>
          <cell r="BK138" t="str">
            <v/>
          </cell>
          <cell r="BL138" t="str">
            <v/>
          </cell>
          <cell r="BO138" t="e">
            <v>#VALUE!</v>
          </cell>
          <cell r="BP138">
            <v>3.4000000000000004</v>
          </cell>
          <cell r="BQ138">
            <v>3.4000000000000004</v>
          </cell>
          <cell r="BU138" t="str">
            <v/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</row>
        <row r="139">
          <cell r="A139">
            <v>34225</v>
          </cell>
          <cell r="D139" t="str">
            <v>93M37</v>
          </cell>
          <cell r="E139" t="str">
            <v>92-A</v>
          </cell>
          <cell r="F139" t="str">
            <v>I</v>
          </cell>
          <cell r="G139" t="str">
            <v>8/8</v>
          </cell>
          <cell r="H139">
            <v>3.4</v>
          </cell>
          <cell r="K139" t="str">
            <v/>
          </cell>
          <cell r="M139">
            <v>3.4</v>
          </cell>
          <cell r="N139" t="str">
            <v/>
          </cell>
          <cell r="X139" t="str">
            <v/>
          </cell>
          <cell r="AA139" t="str">
            <v/>
          </cell>
          <cell r="AF139" t="str">
            <v/>
          </cell>
          <cell r="AJ139" t="str">
            <v/>
          </cell>
          <cell r="AM139" t="str">
            <v/>
          </cell>
          <cell r="AN139" t="str">
            <v/>
          </cell>
          <cell r="BG139" t="str">
            <v/>
          </cell>
          <cell r="BK139" t="str">
            <v/>
          </cell>
          <cell r="BL139" t="str">
            <v/>
          </cell>
          <cell r="BO139" t="e">
            <v>#VALUE!</v>
          </cell>
          <cell r="BP139">
            <v>3.4</v>
          </cell>
          <cell r="BQ139">
            <v>3.4</v>
          </cell>
          <cell r="BU139" t="str">
            <v/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</row>
        <row r="140">
          <cell r="D140" t="str">
            <v>bn 1993</v>
          </cell>
          <cell r="F140" t="str">
            <v>I</v>
          </cell>
          <cell r="M140" t="e">
            <v>#VALUE!</v>
          </cell>
          <cell r="N140" t="str">
            <v/>
          </cell>
          <cell r="BO140" t="e">
            <v>#VALUE!</v>
          </cell>
          <cell r="BP140" t="e">
            <v>#VALUE!</v>
          </cell>
          <cell r="BQ140" t="e">
            <v>#VALUE!</v>
          </cell>
          <cell r="BU140" t="str">
            <v/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</row>
        <row r="141">
          <cell r="D141" t="str">
            <v>1993 HY end</v>
          </cell>
        </row>
        <row r="142">
          <cell r="A142">
            <v>34370</v>
          </cell>
          <cell r="D142" t="str">
            <v>94M4</v>
          </cell>
          <cell r="E142" t="str">
            <v>92-A</v>
          </cell>
          <cell r="F142" t="str">
            <v>S</v>
          </cell>
          <cell r="I142">
            <v>4.3600000000000003</v>
          </cell>
          <cell r="J142">
            <v>3.95</v>
          </cell>
          <cell r="K142">
            <v>0.41000000000000014</v>
          </cell>
          <cell r="M142">
            <v>3.95</v>
          </cell>
          <cell r="N142" t="str">
            <v/>
          </cell>
          <cell r="X142" t="str">
            <v/>
          </cell>
          <cell r="AA142" t="str">
            <v/>
          </cell>
          <cell r="AE142">
            <v>0.38</v>
          </cell>
          <cell r="AF142" t="str">
            <v/>
          </cell>
          <cell r="AI142">
            <v>-1</v>
          </cell>
          <cell r="AJ142" t="str">
            <v/>
          </cell>
          <cell r="AM142" t="e">
            <v>#VALUE!</v>
          </cell>
          <cell r="AN142" t="e">
            <v>#VALUE!</v>
          </cell>
          <cell r="BG142" t="str">
            <v/>
          </cell>
          <cell r="BK142" t="str">
            <v/>
          </cell>
          <cell r="BL142" t="str">
            <v/>
          </cell>
          <cell r="BO142" t="e">
            <v>#VALUE!</v>
          </cell>
          <cell r="BP142" t="e">
            <v>#VALUE!</v>
          </cell>
          <cell r="BQ142" t="e">
            <v>#VALUE!</v>
          </cell>
          <cell r="BU142" t="e">
            <v>#VALUE!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 t="e">
            <v>#VALUE!</v>
          </cell>
          <cell r="CB142">
            <v>0</v>
          </cell>
        </row>
        <row r="143">
          <cell r="A143">
            <v>34469</v>
          </cell>
          <cell r="D143" t="str">
            <v>94M14,16</v>
          </cell>
          <cell r="E143" t="str">
            <v>92-A</v>
          </cell>
          <cell r="F143" t="str">
            <v>S</v>
          </cell>
          <cell r="G143" t="str">
            <v>8/6?</v>
          </cell>
          <cell r="H143">
            <v>4.55</v>
          </cell>
          <cell r="I143">
            <v>0</v>
          </cell>
          <cell r="J143">
            <v>0</v>
          </cell>
          <cell r="K143" t="str">
            <v/>
          </cell>
          <cell r="M143">
            <v>4.55</v>
          </cell>
          <cell r="N143" t="str">
            <v/>
          </cell>
          <cell r="U143">
            <v>1.8199999999999998</v>
          </cell>
          <cell r="V143">
            <v>5</v>
          </cell>
          <cell r="X143" t="e">
            <v>#VALUE!</v>
          </cell>
          <cell r="AA143">
            <v>5</v>
          </cell>
          <cell r="AE143">
            <v>0.39</v>
          </cell>
          <cell r="AF143">
            <v>0.39</v>
          </cell>
          <cell r="AI143">
            <v>-1</v>
          </cell>
          <cell r="AJ143" t="str">
            <v/>
          </cell>
          <cell r="AM143" t="e">
            <v>#VALUE!</v>
          </cell>
          <cell r="AN143" t="e">
            <v>#VALUE!</v>
          </cell>
          <cell r="BG143" t="str">
            <v/>
          </cell>
          <cell r="BK143" t="str">
            <v/>
          </cell>
          <cell r="BL143" t="str">
            <v/>
          </cell>
          <cell r="BO143" t="e">
            <v>#VALUE!</v>
          </cell>
          <cell r="BP143" t="e">
            <v>#VALUE!</v>
          </cell>
          <cell r="BQ143" t="e">
            <v>#VALUE!</v>
          </cell>
          <cell r="BU143" t="e">
            <v>#VALUE!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 t="e">
            <v>#VALUE!</v>
          </cell>
          <cell r="CB143">
            <v>0</v>
          </cell>
        </row>
        <row r="144">
          <cell r="K144" t="str">
            <v/>
          </cell>
          <cell r="N144" t="str">
            <v/>
          </cell>
          <cell r="X144" t="str">
            <v/>
          </cell>
          <cell r="AA144" t="str">
            <v/>
          </cell>
          <cell r="AF144" t="str">
            <v/>
          </cell>
          <cell r="AJ144" t="str">
            <v/>
          </cell>
          <cell r="AM144" t="str">
            <v/>
          </cell>
          <cell r="AN144" t="str">
            <v/>
          </cell>
          <cell r="BG144" t="str">
            <v/>
          </cell>
          <cell r="BK144" t="str">
            <v/>
          </cell>
          <cell r="BL144" t="str">
            <v/>
          </cell>
          <cell r="BP144" t="str">
            <v/>
          </cell>
          <cell r="BQ144" t="str">
            <v/>
          </cell>
          <cell r="BU144" t="str">
            <v/>
          </cell>
        </row>
        <row r="145">
          <cell r="A145">
            <v>34225</v>
          </cell>
          <cell r="D145" t="str">
            <v>93M37</v>
          </cell>
          <cell r="E145" t="str">
            <v>93-A</v>
          </cell>
          <cell r="F145" t="str">
            <v>I</v>
          </cell>
          <cell r="G145" t="str">
            <v>0/12</v>
          </cell>
          <cell r="H145">
            <v>9.1300000000000008</v>
          </cell>
          <cell r="I145">
            <v>6.83</v>
          </cell>
          <cell r="J145">
            <v>2.2599999999999998</v>
          </cell>
          <cell r="K145">
            <v>4.57</v>
          </cell>
          <cell r="M145">
            <v>4.5600000000000005</v>
          </cell>
          <cell r="N145" t="str">
            <v/>
          </cell>
          <cell r="X145" t="str">
            <v/>
          </cell>
          <cell r="AA145" t="str">
            <v/>
          </cell>
          <cell r="AF145" t="str">
            <v/>
          </cell>
          <cell r="AJ145" t="str">
            <v/>
          </cell>
          <cell r="AM145" t="str">
            <v/>
          </cell>
          <cell r="AN145" t="str">
            <v/>
          </cell>
          <cell r="BG145" t="str">
            <v/>
          </cell>
          <cell r="BK145" t="str">
            <v/>
          </cell>
          <cell r="BL145" t="str">
            <v/>
          </cell>
          <cell r="BP145">
            <v>4.5600000000000005</v>
          </cell>
          <cell r="BQ145">
            <v>4.5600000000000005</v>
          </cell>
          <cell r="BU145" t="str">
            <v/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</row>
        <row r="146">
          <cell r="D146" t="str">
            <v>bn 1993</v>
          </cell>
          <cell r="F146" t="str">
            <v>I</v>
          </cell>
          <cell r="M146">
            <v>8.8800000000000008</v>
          </cell>
          <cell r="BP146">
            <v>8.8800000000000008</v>
          </cell>
          <cell r="BQ146">
            <v>8.8800000000000008</v>
          </cell>
          <cell r="BU146" t="str">
            <v/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</row>
        <row r="147">
          <cell r="D147" t="str">
            <v>1993 HY end</v>
          </cell>
        </row>
        <row r="148">
          <cell r="A148">
            <v>34370</v>
          </cell>
          <cell r="D148" t="str">
            <v>94M4</v>
          </cell>
          <cell r="E148" t="str">
            <v>93-A</v>
          </cell>
          <cell r="F148" t="str">
            <v>S</v>
          </cell>
          <cell r="I148" t="str">
            <v>not observed or surveyed</v>
          </cell>
          <cell r="N148" t="str">
            <v/>
          </cell>
          <cell r="X148" t="str">
            <v/>
          </cell>
          <cell r="AA148" t="str">
            <v/>
          </cell>
          <cell r="AF148" t="str">
            <v/>
          </cell>
          <cell r="AI148">
            <v>-1</v>
          </cell>
          <cell r="AJ148" t="str">
            <v/>
          </cell>
          <cell r="AM148" t="str">
            <v/>
          </cell>
          <cell r="AN148" t="str">
            <v/>
          </cell>
          <cell r="BG148" t="str">
            <v/>
          </cell>
          <cell r="BK148" t="str">
            <v/>
          </cell>
          <cell r="BL148" t="str">
            <v/>
          </cell>
          <cell r="BU148" t="e">
            <v>#VALUE!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 t="e">
            <v>#VALUE!</v>
          </cell>
          <cell r="CB148">
            <v>0</v>
          </cell>
        </row>
        <row r="149">
          <cell r="A149">
            <v>34468</v>
          </cell>
          <cell r="D149" t="str">
            <v>94M14,16</v>
          </cell>
          <cell r="E149" t="str">
            <v>93-A</v>
          </cell>
          <cell r="F149" t="str">
            <v>S</v>
          </cell>
          <cell r="G149" t="str">
            <v>9/9 or 12/12?</v>
          </cell>
          <cell r="H149">
            <v>10.7</v>
          </cell>
          <cell r="I149">
            <v>6.82</v>
          </cell>
          <cell r="J149">
            <v>6.82</v>
          </cell>
          <cell r="K149" t="str">
            <v/>
          </cell>
          <cell r="M149">
            <v>10.7</v>
          </cell>
          <cell r="U149">
            <v>1.8199999999999998</v>
          </cell>
          <cell r="V149">
            <v>5</v>
          </cell>
          <cell r="X149">
            <v>1.82</v>
          </cell>
          <cell r="AA149">
            <v>5</v>
          </cell>
          <cell r="AE149">
            <v>0.39</v>
          </cell>
          <cell r="AF149">
            <v>0.39</v>
          </cell>
          <cell r="AI149">
            <v>-1</v>
          </cell>
          <cell r="AJ149">
            <v>-1</v>
          </cell>
          <cell r="AM149">
            <v>8.8800000000000008</v>
          </cell>
          <cell r="AN149">
            <v>8.8800000000000008</v>
          </cell>
          <cell r="BG149" t="str">
            <v/>
          </cell>
          <cell r="BK149" t="str">
            <v/>
          </cell>
          <cell r="BL149" t="str">
            <v/>
          </cell>
          <cell r="BO149">
            <v>8.8800000000000008</v>
          </cell>
          <cell r="BP149">
            <v>8.8800000000000008</v>
          </cell>
          <cell r="BQ149">
            <v>8.8800000000000008</v>
          </cell>
          <cell r="BU149">
            <v>0.71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0.71</v>
          </cell>
          <cell r="CB149">
            <v>0</v>
          </cell>
        </row>
        <row r="150">
          <cell r="A150">
            <v>34586</v>
          </cell>
          <cell r="D150" t="str">
            <v>94M27</v>
          </cell>
          <cell r="E150" t="str">
            <v>93-A</v>
          </cell>
          <cell r="F150" t="str">
            <v>I</v>
          </cell>
          <cell r="I150">
            <v>6.83</v>
          </cell>
          <cell r="J150">
            <v>2.2599999999999998</v>
          </cell>
          <cell r="K150">
            <v>4.57</v>
          </cell>
          <cell r="M150">
            <v>2.2599999999999998</v>
          </cell>
          <cell r="N150" t="str">
            <v/>
          </cell>
          <cell r="X150" t="str">
            <v/>
          </cell>
          <cell r="AA150" t="str">
            <v/>
          </cell>
          <cell r="AF150" t="str">
            <v/>
          </cell>
          <cell r="AJ150" t="str">
            <v/>
          </cell>
          <cell r="AM150" t="str">
            <v/>
          </cell>
          <cell r="AN150" t="str">
            <v/>
          </cell>
          <cell r="BG150" t="str">
            <v/>
          </cell>
          <cell r="BK150" t="str">
            <v/>
          </cell>
          <cell r="BL150" t="str">
            <v/>
          </cell>
          <cell r="BO150">
            <v>8.8800000000000008</v>
          </cell>
          <cell r="BP150">
            <v>2.2599999999999998</v>
          </cell>
          <cell r="BQ150">
            <v>2.2599999999999998</v>
          </cell>
          <cell r="BU150" t="str">
            <v/>
          </cell>
          <cell r="BW150">
            <v>0</v>
          </cell>
          <cell r="BX150">
            <v>0</v>
          </cell>
          <cell r="BY150">
            <v>0</v>
          </cell>
          <cell r="BZ150">
            <v>-5.96</v>
          </cell>
          <cell r="CA150">
            <v>-5.96</v>
          </cell>
          <cell r="CB150">
            <v>-5.96</v>
          </cell>
        </row>
        <row r="151">
          <cell r="D151" t="str">
            <v>bn 1994</v>
          </cell>
          <cell r="F151" t="str">
            <v>I</v>
          </cell>
          <cell r="M151">
            <v>0.77333333333333343</v>
          </cell>
          <cell r="BO151">
            <v>7.49</v>
          </cell>
          <cell r="BP151">
            <v>0.77333333333333343</v>
          </cell>
          <cell r="BQ151">
            <v>0.77333333333333343</v>
          </cell>
          <cell r="BU151" t="str">
            <v/>
          </cell>
          <cell r="BW151">
            <v>0</v>
          </cell>
          <cell r="BX151">
            <v>0</v>
          </cell>
          <cell r="BY151">
            <v>0</v>
          </cell>
          <cell r="BZ151">
            <v>-6.05</v>
          </cell>
          <cell r="CA151">
            <v>-6.05</v>
          </cell>
          <cell r="CB151">
            <v>-6.05</v>
          </cell>
        </row>
        <row r="152">
          <cell r="D152" t="str">
            <v>1994 HY end</v>
          </cell>
        </row>
        <row r="153">
          <cell r="A153">
            <v>34730</v>
          </cell>
          <cell r="D153" t="str">
            <v>95M3</v>
          </cell>
          <cell r="E153" t="str">
            <v>93-A</v>
          </cell>
          <cell r="F153" t="str">
            <v>S</v>
          </cell>
          <cell r="I153">
            <v>6.82</v>
          </cell>
          <cell r="J153">
            <v>6.82</v>
          </cell>
          <cell r="K153" t="str">
            <v/>
          </cell>
          <cell r="M153">
            <v>6.82</v>
          </cell>
          <cell r="N153">
            <v>3.33</v>
          </cell>
          <cell r="U153">
            <v>1.32</v>
          </cell>
          <cell r="V153">
            <v>1</v>
          </cell>
          <cell r="X153">
            <v>2.33</v>
          </cell>
          <cell r="AA153">
            <v>2</v>
          </cell>
          <cell r="AE153">
            <v>0.38</v>
          </cell>
          <cell r="AF153">
            <v>0.38</v>
          </cell>
          <cell r="AI153">
            <v>-1</v>
          </cell>
          <cell r="AJ153">
            <v>-1</v>
          </cell>
          <cell r="AM153">
            <v>4.49</v>
          </cell>
          <cell r="AN153">
            <v>4.49</v>
          </cell>
          <cell r="BG153" t="str">
            <v/>
          </cell>
          <cell r="BK153" t="str">
            <v/>
          </cell>
          <cell r="BL153" t="str">
            <v/>
          </cell>
          <cell r="BO153">
            <v>3.49</v>
          </cell>
          <cell r="BP153">
            <v>4.49</v>
          </cell>
          <cell r="BQ153">
            <v>4.49</v>
          </cell>
          <cell r="BU153">
            <v>0.89</v>
          </cell>
          <cell r="BW153">
            <v>0</v>
          </cell>
          <cell r="BX153">
            <v>0</v>
          </cell>
          <cell r="BY153">
            <v>0</v>
          </cell>
          <cell r="BZ153">
            <v>0.9</v>
          </cell>
          <cell r="CA153">
            <v>1.79</v>
          </cell>
          <cell r="CB153">
            <v>0.9</v>
          </cell>
        </row>
        <row r="154">
          <cell r="A154">
            <v>34833</v>
          </cell>
          <cell r="D154" t="str">
            <v>95M9,12</v>
          </cell>
          <cell r="E154" t="str">
            <v>93-A</v>
          </cell>
          <cell r="F154" t="str">
            <v>S</v>
          </cell>
          <cell r="I154">
            <v>1.5</v>
          </cell>
          <cell r="J154">
            <v>1.29</v>
          </cell>
          <cell r="K154">
            <v>0.20999999999999996</v>
          </cell>
          <cell r="M154">
            <v>1.29</v>
          </cell>
          <cell r="N154">
            <v>-2.2000000000000002</v>
          </cell>
          <cell r="U154">
            <v>1.952</v>
          </cell>
          <cell r="V154">
            <v>5</v>
          </cell>
          <cell r="X154">
            <v>1.26</v>
          </cell>
          <cell r="AA154">
            <v>6</v>
          </cell>
          <cell r="AE154">
            <v>0.4</v>
          </cell>
          <cell r="AF154">
            <v>0.4</v>
          </cell>
          <cell r="AJ154" t="e">
            <v>#DIV/0!</v>
          </cell>
          <cell r="AM154">
            <v>0.03</v>
          </cell>
          <cell r="AN154">
            <v>0.03</v>
          </cell>
          <cell r="BG154" t="str">
            <v/>
          </cell>
          <cell r="BK154" t="str">
            <v/>
          </cell>
          <cell r="BL154" t="str">
            <v/>
          </cell>
          <cell r="BO154">
            <v>3.49</v>
          </cell>
          <cell r="BP154">
            <v>0.03</v>
          </cell>
          <cell r="BQ154">
            <v>0.03</v>
          </cell>
          <cell r="BU154">
            <v>0.5</v>
          </cell>
          <cell r="BW154">
            <v>0</v>
          </cell>
          <cell r="BX154">
            <v>0</v>
          </cell>
          <cell r="BY154">
            <v>0</v>
          </cell>
          <cell r="BZ154">
            <v>-3.11</v>
          </cell>
          <cell r="CA154">
            <v>-2.61</v>
          </cell>
          <cell r="CB154">
            <v>-3.11</v>
          </cell>
        </row>
        <row r="155">
          <cell r="A155">
            <v>34957</v>
          </cell>
          <cell r="D155" t="str">
            <v>95M31</v>
          </cell>
          <cell r="E155" t="str">
            <v>93-A</v>
          </cell>
          <cell r="F155" t="str">
            <v>I</v>
          </cell>
          <cell r="G155" t="str">
            <v>6/0</v>
          </cell>
          <cell r="H155">
            <v>0.71</v>
          </cell>
          <cell r="K155" t="str">
            <v/>
          </cell>
          <cell r="M155">
            <v>0.71</v>
          </cell>
          <cell r="N155" t="str">
            <v/>
          </cell>
          <cell r="X155" t="str">
            <v/>
          </cell>
          <cell r="AA155" t="str">
            <v/>
          </cell>
          <cell r="AF155" t="str">
            <v/>
          </cell>
          <cell r="AJ155" t="str">
            <v/>
          </cell>
          <cell r="AM155" t="str">
            <v/>
          </cell>
          <cell r="AN155" t="str">
            <v/>
          </cell>
          <cell r="BG155" t="str">
            <v/>
          </cell>
          <cell r="BK155" t="str">
            <v/>
          </cell>
          <cell r="BL155" t="str">
            <v/>
          </cell>
          <cell r="BO155">
            <v>3.49</v>
          </cell>
          <cell r="BP155">
            <v>0.71</v>
          </cell>
          <cell r="BQ155">
            <v>0.71</v>
          </cell>
          <cell r="BU155" t="str">
            <v/>
          </cell>
          <cell r="BW155">
            <v>0</v>
          </cell>
          <cell r="BX155">
            <v>0</v>
          </cell>
          <cell r="BY155">
            <v>0</v>
          </cell>
          <cell r="BZ155">
            <v>-2.5</v>
          </cell>
          <cell r="CA155">
            <v>-2.5</v>
          </cell>
          <cell r="CB155">
            <v>-2.5</v>
          </cell>
        </row>
        <row r="156">
          <cell r="D156" t="str">
            <v>bn 1995</v>
          </cell>
        </row>
        <row r="157">
          <cell r="D157" t="str">
            <v>1995 HY end</v>
          </cell>
        </row>
        <row r="158">
          <cell r="K158" t="str">
            <v/>
          </cell>
          <cell r="N158" t="str">
            <v/>
          </cell>
          <cell r="X158" t="str">
            <v/>
          </cell>
          <cell r="AA158" t="str">
            <v/>
          </cell>
          <cell r="AF158" t="str">
            <v/>
          </cell>
          <cell r="AJ158" t="str">
            <v/>
          </cell>
          <cell r="AM158" t="str">
            <v/>
          </cell>
          <cell r="AN158" t="str">
            <v/>
          </cell>
          <cell r="BG158" t="str">
            <v/>
          </cell>
          <cell r="BK158" t="str">
            <v/>
          </cell>
          <cell r="BL158" t="str">
            <v/>
          </cell>
          <cell r="BP158" t="str">
            <v/>
          </cell>
          <cell r="BQ158" t="str">
            <v/>
          </cell>
          <cell r="BU158" t="str">
            <v/>
          </cell>
        </row>
        <row r="159">
          <cell r="A159">
            <v>34584</v>
          </cell>
          <cell r="D159" t="str">
            <v>94M25</v>
          </cell>
          <cell r="E159" t="str">
            <v>94-A</v>
          </cell>
          <cell r="F159" t="str">
            <v>I</v>
          </cell>
          <cell r="K159" t="str">
            <v/>
          </cell>
          <cell r="M159" t="str">
            <v/>
          </cell>
          <cell r="N159" t="str">
            <v/>
          </cell>
          <cell r="X159" t="str">
            <v/>
          </cell>
          <cell r="AA159" t="str">
            <v/>
          </cell>
          <cell r="AF159" t="str">
            <v/>
          </cell>
          <cell r="AJ159" t="str">
            <v/>
          </cell>
          <cell r="AM159" t="str">
            <v/>
          </cell>
          <cell r="AN159" t="str">
            <v/>
          </cell>
          <cell r="BG159" t="str">
            <v/>
          </cell>
          <cell r="BK159" t="str">
            <v/>
          </cell>
          <cell r="BL159" t="str">
            <v/>
          </cell>
          <cell r="BP159" t="str">
            <v/>
          </cell>
          <cell r="BQ159" t="str">
            <v/>
          </cell>
          <cell r="BU159" t="str">
            <v/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</row>
        <row r="160">
          <cell r="A160">
            <v>34586</v>
          </cell>
          <cell r="D160" t="str">
            <v>94M27</v>
          </cell>
          <cell r="E160" t="str">
            <v>94-A</v>
          </cell>
          <cell r="F160" t="str">
            <v>I</v>
          </cell>
          <cell r="I160">
            <v>3.15</v>
          </cell>
          <cell r="J160">
            <v>3.17</v>
          </cell>
          <cell r="K160">
            <v>-2.0000000000000018E-2</v>
          </cell>
          <cell r="M160">
            <v>3.17</v>
          </cell>
          <cell r="N160" t="str">
            <v/>
          </cell>
          <cell r="X160" t="str">
            <v/>
          </cell>
          <cell r="AA160" t="str">
            <v/>
          </cell>
          <cell r="AF160" t="str">
            <v/>
          </cell>
          <cell r="AJ160" t="str">
            <v/>
          </cell>
          <cell r="AM160" t="str">
            <v/>
          </cell>
          <cell r="AN160" t="str">
            <v/>
          </cell>
          <cell r="BG160" t="str">
            <v/>
          </cell>
          <cell r="BK160" t="str">
            <v/>
          </cell>
          <cell r="BL160" t="str">
            <v/>
          </cell>
          <cell r="BO160">
            <v>15.58</v>
          </cell>
          <cell r="BP160">
            <v>3.17</v>
          </cell>
          <cell r="BQ160">
            <v>3.17</v>
          </cell>
          <cell r="BU160" t="str">
            <v/>
          </cell>
          <cell r="BW160">
            <v>0</v>
          </cell>
          <cell r="BX160">
            <v>0</v>
          </cell>
          <cell r="BY160">
            <v>0</v>
          </cell>
          <cell r="BZ160">
            <v>-11.17</v>
          </cell>
          <cell r="CA160">
            <v>-11.17</v>
          </cell>
          <cell r="CB160">
            <v>-11.17</v>
          </cell>
        </row>
        <row r="161">
          <cell r="D161" t="str">
            <v>bn 1994</v>
          </cell>
          <cell r="F161" t="str">
            <v>I</v>
          </cell>
          <cell r="M161" t="e">
            <v>#VALUE!</v>
          </cell>
          <cell r="BP161" t="e">
            <v>#VALUE!</v>
          </cell>
          <cell r="BQ161" t="e">
            <v>#VALUE!</v>
          </cell>
          <cell r="BU161" t="str">
            <v/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</row>
        <row r="162">
          <cell r="D162" t="str">
            <v>1994 HY end</v>
          </cell>
        </row>
        <row r="163">
          <cell r="A163">
            <v>34730</v>
          </cell>
          <cell r="D163" t="str">
            <v>95M3</v>
          </cell>
          <cell r="E163" t="str">
            <v>94-A</v>
          </cell>
          <cell r="F163" t="str">
            <v>S</v>
          </cell>
          <cell r="I163">
            <v>1.96</v>
          </cell>
          <cell r="J163">
            <v>1.98</v>
          </cell>
          <cell r="K163">
            <v>-2.0000000000000018E-2</v>
          </cell>
          <cell r="M163">
            <v>1.98</v>
          </cell>
          <cell r="N163">
            <v>-7.4599999999999991</v>
          </cell>
          <cell r="U163">
            <v>1.32</v>
          </cell>
          <cell r="V163">
            <v>1</v>
          </cell>
          <cell r="X163">
            <v>-3.07</v>
          </cell>
          <cell r="AA163">
            <v>2</v>
          </cell>
          <cell r="AE163">
            <v>0.38</v>
          </cell>
          <cell r="AF163">
            <v>0.38</v>
          </cell>
          <cell r="AI163">
            <v>-1</v>
          </cell>
          <cell r="AJ163">
            <v>-1</v>
          </cell>
          <cell r="AM163">
            <v>5.05</v>
          </cell>
          <cell r="AN163">
            <v>5.05</v>
          </cell>
          <cell r="BG163" t="str">
            <v/>
          </cell>
          <cell r="BK163" t="str">
            <v/>
          </cell>
          <cell r="BL163" t="str">
            <v/>
          </cell>
          <cell r="BO163">
            <v>9.44</v>
          </cell>
          <cell r="BP163">
            <v>5.05</v>
          </cell>
          <cell r="BQ163">
            <v>5.05</v>
          </cell>
          <cell r="BU163">
            <v>-1.17</v>
          </cell>
          <cell r="BW163">
            <v>0</v>
          </cell>
          <cell r="BX163">
            <v>0</v>
          </cell>
          <cell r="BY163">
            <v>0</v>
          </cell>
          <cell r="BZ163">
            <v>-3.95</v>
          </cell>
          <cell r="CA163">
            <v>-5.12</v>
          </cell>
          <cell r="CB163">
            <v>-3.95</v>
          </cell>
        </row>
        <row r="164">
          <cell r="A164">
            <v>34831</v>
          </cell>
          <cell r="D164" t="str">
            <v>95M9,12</v>
          </cell>
          <cell r="E164" t="str">
            <v>94-A</v>
          </cell>
          <cell r="F164" t="str">
            <v>S</v>
          </cell>
          <cell r="G164" t="str">
            <v>12/12</v>
          </cell>
          <cell r="H164">
            <v>11.43</v>
          </cell>
          <cell r="I164" t="str">
            <v>No Data</v>
          </cell>
          <cell r="J164" t="str">
            <v>No Data</v>
          </cell>
          <cell r="K164" t="e">
            <v>#VALUE!</v>
          </cell>
          <cell r="M164" t="e">
            <v>#VALUE!</v>
          </cell>
          <cell r="N164" t="e">
            <v>#VALUE!</v>
          </cell>
          <cell r="U164">
            <v>1.952</v>
          </cell>
          <cell r="V164">
            <v>5</v>
          </cell>
          <cell r="X164" t="e">
            <v>#VALUE!</v>
          </cell>
          <cell r="AA164">
            <v>5</v>
          </cell>
          <cell r="AE164">
            <v>0.4</v>
          </cell>
          <cell r="AF164">
            <v>0.4</v>
          </cell>
          <cell r="AJ164" t="str">
            <v/>
          </cell>
          <cell r="AM164" t="str">
            <v/>
          </cell>
          <cell r="AN164" t="str">
            <v/>
          </cell>
          <cell r="BG164" t="str">
            <v/>
          </cell>
          <cell r="BK164" t="str">
            <v/>
          </cell>
          <cell r="BL164" t="str">
            <v/>
          </cell>
          <cell r="BO164">
            <v>9.44</v>
          </cell>
          <cell r="BP164" t="str">
            <v/>
          </cell>
          <cell r="BQ164" t="str">
            <v/>
          </cell>
          <cell r="BU164" t="e">
            <v>#VALUE!</v>
          </cell>
          <cell r="BW164">
            <v>0</v>
          </cell>
          <cell r="BX164">
            <v>0</v>
          </cell>
          <cell r="BY164">
            <v>0</v>
          </cell>
          <cell r="BZ164" t="e">
            <v>#VALUE!</v>
          </cell>
          <cell r="CA164" t="e">
            <v>#VALUE!</v>
          </cell>
          <cell r="CB164" t="e">
            <v>#VALUE!</v>
          </cell>
        </row>
        <row r="165">
          <cell r="A165">
            <v>34956</v>
          </cell>
          <cell r="D165" t="str">
            <v>95M26</v>
          </cell>
          <cell r="E165" t="str">
            <v>94-A</v>
          </cell>
          <cell r="F165" t="str">
            <v>I</v>
          </cell>
          <cell r="G165" t="str">
            <v>6/9</v>
          </cell>
          <cell r="H165">
            <v>5.09</v>
          </cell>
          <cell r="I165">
            <v>0</v>
          </cell>
          <cell r="J165">
            <v>0</v>
          </cell>
          <cell r="K165" t="str">
            <v/>
          </cell>
          <cell r="M165">
            <v>5.09</v>
          </cell>
          <cell r="N165" t="str">
            <v/>
          </cell>
          <cell r="X165" t="str">
            <v/>
          </cell>
          <cell r="AA165" t="str">
            <v/>
          </cell>
          <cell r="AF165" t="str">
            <v/>
          </cell>
          <cell r="AJ165" t="str">
            <v/>
          </cell>
          <cell r="AM165" t="str">
            <v/>
          </cell>
          <cell r="AN165" t="str">
            <v/>
          </cell>
          <cell r="BG165" t="str">
            <v/>
          </cell>
          <cell r="BK165" t="str">
            <v/>
          </cell>
          <cell r="BL165" t="str">
            <v/>
          </cell>
          <cell r="BO165">
            <v>9.44</v>
          </cell>
          <cell r="BP165">
            <v>5.09</v>
          </cell>
          <cell r="BQ165">
            <v>5.09</v>
          </cell>
          <cell r="BU165" t="str">
            <v/>
          </cell>
          <cell r="BW165">
            <v>0</v>
          </cell>
          <cell r="BX165">
            <v>0</v>
          </cell>
          <cell r="BY165">
            <v>0</v>
          </cell>
          <cell r="BZ165">
            <v>-3.92</v>
          </cell>
          <cell r="CA165">
            <v>-3.92</v>
          </cell>
          <cell r="CB165">
            <v>-3.92</v>
          </cell>
        </row>
        <row r="166">
          <cell r="F166" t="str">
            <v>I</v>
          </cell>
          <cell r="M166">
            <v>4.1499999999999995</v>
          </cell>
          <cell r="BO166">
            <v>9.44</v>
          </cell>
          <cell r="BP166">
            <v>4.1499999999999995</v>
          </cell>
          <cell r="BQ166">
            <v>4.1499999999999995</v>
          </cell>
          <cell r="BU166" t="str">
            <v/>
          </cell>
          <cell r="BW166">
            <v>0</v>
          </cell>
          <cell r="BX166">
            <v>0</v>
          </cell>
          <cell r="BY166">
            <v>0</v>
          </cell>
          <cell r="BZ166">
            <v>-4.76</v>
          </cell>
          <cell r="CA166">
            <v>-4.76</v>
          </cell>
          <cell r="CB166">
            <v>-4.76</v>
          </cell>
        </row>
        <row r="167">
          <cell r="M167">
            <v>4.16</v>
          </cell>
          <cell r="N167" t="str">
            <v/>
          </cell>
          <cell r="X167" t="str">
            <v/>
          </cell>
        </row>
        <row r="168">
          <cell r="F168" t="str">
            <v>S</v>
          </cell>
          <cell r="G168" t="str">
            <v>9/9</v>
          </cell>
          <cell r="H168">
            <v>5.0999999999999996</v>
          </cell>
          <cell r="I168">
            <v>4.8499999999999996</v>
          </cell>
          <cell r="J168">
            <v>4.8499999999999996</v>
          </cell>
          <cell r="K168" t="str">
            <v/>
          </cell>
          <cell r="M168">
            <v>5.0999999999999996</v>
          </cell>
          <cell r="N168">
            <v>0.94999999999999929</v>
          </cell>
          <cell r="S168">
            <v>0.9</v>
          </cell>
          <cell r="T168">
            <v>4</v>
          </cell>
          <cell r="U168">
            <v>0.96</v>
          </cell>
          <cell r="V168">
            <v>20</v>
          </cell>
          <cell r="X168">
            <v>0.95</v>
          </cell>
          <cell r="AA168">
            <v>25</v>
          </cell>
          <cell r="AD168">
            <v>0.35199999999999998</v>
          </cell>
          <cell r="AF168">
            <v>0.35199999999999998</v>
          </cell>
          <cell r="AJ168" t="e">
            <v>#DIV/0!</v>
          </cell>
          <cell r="AM168">
            <v>4.1500000000000004</v>
          </cell>
          <cell r="AN168">
            <v>4.1500000000000004</v>
          </cell>
          <cell r="BG168" t="str">
            <v/>
          </cell>
          <cell r="BK168" t="str">
            <v/>
          </cell>
          <cell r="BL168" t="str">
            <v/>
          </cell>
          <cell r="BO168">
            <v>4.1500000000000004</v>
          </cell>
          <cell r="BP168">
            <v>4.1500000000000004</v>
          </cell>
          <cell r="BQ168">
            <v>4.1500000000000004</v>
          </cell>
          <cell r="BU168">
            <v>0.33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0.33</v>
          </cell>
          <cell r="CB168">
            <v>0</v>
          </cell>
        </row>
        <row r="169">
          <cell r="F169" t="str">
            <v>I</v>
          </cell>
          <cell r="G169" t="str">
            <v>9/3</v>
          </cell>
          <cell r="H169">
            <v>4.1500000000000004</v>
          </cell>
          <cell r="I169">
            <v>2.61</v>
          </cell>
          <cell r="J169">
            <v>2.64</v>
          </cell>
          <cell r="K169">
            <v>-3.0000000000000249E-2</v>
          </cell>
          <cell r="M169">
            <v>4.1800000000000006</v>
          </cell>
        </row>
        <row r="170">
          <cell r="K170" t="str">
            <v/>
          </cell>
          <cell r="N170" t="str">
            <v/>
          </cell>
          <cell r="X170" t="str">
            <v/>
          </cell>
          <cell r="AA170" t="str">
            <v/>
          </cell>
          <cell r="AF170" t="str">
            <v/>
          </cell>
          <cell r="AJ170" t="str">
            <v/>
          </cell>
          <cell r="AM170" t="str">
            <v/>
          </cell>
          <cell r="AN170" t="str">
            <v/>
          </cell>
          <cell r="BG170" t="str">
            <v/>
          </cell>
          <cell r="BK170" t="str">
            <v/>
          </cell>
          <cell r="BL170" t="str">
            <v/>
          </cell>
          <cell r="BP170" t="str">
            <v/>
          </cell>
          <cell r="BQ170" t="str">
            <v/>
          </cell>
          <cell r="BU170" t="str">
            <v/>
          </cell>
        </row>
        <row r="171">
          <cell r="F171" t="str">
            <v>I</v>
          </cell>
          <cell r="G171" t="str">
            <v>0/12</v>
          </cell>
          <cell r="H171">
            <v>9.1999999999999993</v>
          </cell>
          <cell r="I171">
            <v>7.98</v>
          </cell>
          <cell r="J171">
            <v>7.96</v>
          </cell>
          <cell r="K171">
            <v>2.0000000000000462E-2</v>
          </cell>
          <cell r="M171">
            <v>9.18</v>
          </cell>
          <cell r="N171" t="str">
            <v/>
          </cell>
          <cell r="X171" t="str">
            <v/>
          </cell>
          <cell r="AA171" t="str">
            <v/>
          </cell>
          <cell r="AF171" t="str">
            <v/>
          </cell>
          <cell r="AJ171" t="str">
            <v/>
          </cell>
          <cell r="AM171" t="str">
            <v/>
          </cell>
          <cell r="AN171" t="str">
            <v/>
          </cell>
          <cell r="BG171" t="str">
            <v/>
          </cell>
          <cell r="BK171" t="str">
            <v/>
          </cell>
          <cell r="BL171" t="str">
            <v/>
          </cell>
          <cell r="BO171">
            <v>9.0499999999999989</v>
          </cell>
          <cell r="BP171">
            <v>9.18</v>
          </cell>
          <cell r="BQ171">
            <v>9.18</v>
          </cell>
          <cell r="BU171" t="str">
            <v/>
          </cell>
          <cell r="BW171">
            <v>0</v>
          </cell>
          <cell r="BX171">
            <v>0</v>
          </cell>
          <cell r="BY171">
            <v>0</v>
          </cell>
          <cell r="BZ171">
            <v>0.12</v>
          </cell>
          <cell r="CA171">
            <v>0.12</v>
          </cell>
          <cell r="CB171">
            <v>0.12</v>
          </cell>
        </row>
        <row r="172">
          <cell r="F172" t="str">
            <v>S</v>
          </cell>
          <cell r="G172" t="str">
            <v>12/12</v>
          </cell>
          <cell r="H172">
            <v>9.41</v>
          </cell>
          <cell r="I172">
            <v>9.4600000000000009</v>
          </cell>
          <cell r="J172">
            <v>9.41</v>
          </cell>
          <cell r="K172">
            <v>5.0000000000000711E-2</v>
          </cell>
          <cell r="M172">
            <v>9.36</v>
          </cell>
          <cell r="N172">
            <v>0.3100000000000005</v>
          </cell>
          <cell r="S172">
            <v>0.9</v>
          </cell>
          <cell r="T172">
            <v>4</v>
          </cell>
          <cell r="U172">
            <v>0.96</v>
          </cell>
          <cell r="V172">
            <v>20</v>
          </cell>
          <cell r="X172">
            <v>0.92</v>
          </cell>
          <cell r="AA172">
            <v>25</v>
          </cell>
          <cell r="AD172">
            <v>0.35199999999999998</v>
          </cell>
          <cell r="AF172">
            <v>0.35199999999999998</v>
          </cell>
          <cell r="AJ172" t="e">
            <v>#DIV/0!</v>
          </cell>
          <cell r="AM172">
            <v>8.44</v>
          </cell>
          <cell r="AN172">
            <v>8.44</v>
          </cell>
          <cell r="BG172" t="str">
            <v/>
          </cell>
          <cell r="BK172" t="str">
            <v/>
          </cell>
          <cell r="BL172" t="str">
            <v/>
          </cell>
          <cell r="BO172">
            <v>9.0499999999999989</v>
          </cell>
          <cell r="BP172">
            <v>8.44</v>
          </cell>
          <cell r="BQ172">
            <v>8.44</v>
          </cell>
          <cell r="BU172">
            <v>0.32</v>
          </cell>
          <cell r="BW172">
            <v>0</v>
          </cell>
          <cell r="BX172">
            <v>0</v>
          </cell>
          <cell r="BY172">
            <v>0</v>
          </cell>
          <cell r="BZ172">
            <v>-0.55000000000000004</v>
          </cell>
          <cell r="CA172">
            <v>-0.23000000000000004</v>
          </cell>
          <cell r="CB172">
            <v>-0.55000000000000004</v>
          </cell>
        </row>
        <row r="173">
          <cell r="F173" t="str">
            <v>I</v>
          </cell>
          <cell r="G173" t="str">
            <v>12/9</v>
          </cell>
          <cell r="H173">
            <v>8.2799999999999994</v>
          </cell>
          <cell r="I173">
            <v>7.89</v>
          </cell>
          <cell r="J173">
            <v>7.77</v>
          </cell>
          <cell r="K173">
            <v>0.12000000000000011</v>
          </cell>
          <cell r="M173">
            <v>8.16</v>
          </cell>
          <cell r="N173" t="str">
            <v/>
          </cell>
          <cell r="X173" t="str">
            <v/>
          </cell>
          <cell r="AA173" t="str">
            <v/>
          </cell>
          <cell r="AF173" t="str">
            <v/>
          </cell>
          <cell r="AJ173" t="str">
            <v/>
          </cell>
          <cell r="AM173" t="str">
            <v/>
          </cell>
          <cell r="AN173" t="str">
            <v/>
          </cell>
          <cell r="BG173" t="str">
            <v/>
          </cell>
          <cell r="BK173" t="str">
            <v/>
          </cell>
          <cell r="BL173" t="str">
            <v/>
          </cell>
          <cell r="BO173">
            <v>9.0499999999999989</v>
          </cell>
          <cell r="BP173">
            <v>8.16</v>
          </cell>
          <cell r="BQ173">
            <v>8.16</v>
          </cell>
          <cell r="BU173" t="str">
            <v/>
          </cell>
          <cell r="BW173">
            <v>0</v>
          </cell>
          <cell r="BX173">
            <v>0</v>
          </cell>
          <cell r="BY173">
            <v>0</v>
          </cell>
          <cell r="BZ173">
            <v>-0.8</v>
          </cell>
          <cell r="CA173">
            <v>-0.8</v>
          </cell>
          <cell r="CB173">
            <v>-0.8</v>
          </cell>
        </row>
        <row r="174">
          <cell r="F174" t="str">
            <v>I</v>
          </cell>
          <cell r="G174" t="str">
            <v>6/6</v>
          </cell>
          <cell r="H174">
            <v>2.5</v>
          </cell>
          <cell r="I174">
            <v>2.0499999999999998</v>
          </cell>
          <cell r="J174">
            <v>1.36</v>
          </cell>
          <cell r="K174">
            <v>0.68999999999999972</v>
          </cell>
          <cell r="M174">
            <v>1.8100000000000003</v>
          </cell>
          <cell r="N174" t="str">
            <v/>
          </cell>
          <cell r="X174" t="str">
            <v/>
          </cell>
          <cell r="AA174" t="str">
            <v/>
          </cell>
          <cell r="AF174" t="str">
            <v/>
          </cell>
          <cell r="AJ174" t="str">
            <v/>
          </cell>
          <cell r="AM174" t="str">
            <v/>
          </cell>
          <cell r="AN174" t="str">
            <v/>
          </cell>
          <cell r="BG174" t="str">
            <v/>
          </cell>
          <cell r="BK174" t="str">
            <v/>
          </cell>
          <cell r="BL174" t="str">
            <v/>
          </cell>
          <cell r="BO174">
            <v>9.0499999999999989</v>
          </cell>
          <cell r="BP174">
            <v>1.8100000000000003</v>
          </cell>
          <cell r="BQ174">
            <v>1.8100000000000003</v>
          </cell>
          <cell r="BU174" t="str">
            <v/>
          </cell>
          <cell r="BW174">
            <v>0</v>
          </cell>
          <cell r="BX174">
            <v>0</v>
          </cell>
          <cell r="BY174">
            <v>0</v>
          </cell>
          <cell r="BZ174">
            <v>-6.52</v>
          </cell>
          <cell r="CA174">
            <v>-6.52</v>
          </cell>
          <cell r="CB174">
            <v>-6.52</v>
          </cell>
        </row>
        <row r="175">
          <cell r="F175" t="str">
            <v>I</v>
          </cell>
          <cell r="M175">
            <v>2.44</v>
          </cell>
          <cell r="BO175">
            <v>9.0499999999999989</v>
          </cell>
          <cell r="BP175">
            <v>2.44</v>
          </cell>
          <cell r="BQ175">
            <v>2.44</v>
          </cell>
          <cell r="BU175" t="str">
            <v/>
          </cell>
          <cell r="BW175">
            <v>0</v>
          </cell>
          <cell r="BX175">
            <v>0</v>
          </cell>
          <cell r="BY175">
            <v>0</v>
          </cell>
          <cell r="BZ175">
            <v>-5.95</v>
          </cell>
          <cell r="CA175">
            <v>-5.95</v>
          </cell>
          <cell r="CB175">
            <v>-5.95</v>
          </cell>
        </row>
        <row r="176">
          <cell r="N176" t="str">
            <v/>
          </cell>
          <cell r="X176" t="str">
            <v/>
          </cell>
        </row>
        <row r="177">
          <cell r="F177" t="str">
            <v>S</v>
          </cell>
          <cell r="G177" t="str">
            <v>6/6</v>
          </cell>
          <cell r="H177">
            <v>3.37</v>
          </cell>
          <cell r="I177">
            <v>0</v>
          </cell>
          <cell r="J177">
            <v>0</v>
          </cell>
          <cell r="K177" t="str">
            <v/>
          </cell>
          <cell r="M177">
            <v>3.37</v>
          </cell>
          <cell r="N177">
            <v>0.93000000000000016</v>
          </cell>
          <cell r="U177">
            <v>0.93</v>
          </cell>
          <cell r="V177">
            <v>3</v>
          </cell>
          <cell r="X177">
            <v>0.93</v>
          </cell>
          <cell r="AA177">
            <v>4</v>
          </cell>
          <cell r="AF177" t="e">
            <v>#DIV/0!</v>
          </cell>
          <cell r="AJ177" t="e">
            <v>#DIV/0!</v>
          </cell>
          <cell r="AM177">
            <v>2.44</v>
          </cell>
          <cell r="AN177">
            <v>2.44</v>
          </cell>
          <cell r="BG177" t="str">
            <v/>
          </cell>
          <cell r="BK177" t="str">
            <v/>
          </cell>
          <cell r="BL177" t="str">
            <v/>
          </cell>
          <cell r="BO177">
            <v>2.44</v>
          </cell>
          <cell r="BP177">
            <v>2.44</v>
          </cell>
          <cell r="BQ177">
            <v>2.44</v>
          </cell>
          <cell r="BU177" t="e">
            <v>#DIV/0!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 t="e">
            <v>#DIV/0!</v>
          </cell>
          <cell r="CB177">
            <v>0</v>
          </cell>
        </row>
        <row r="178">
          <cell r="F178" t="str">
            <v>S</v>
          </cell>
          <cell r="G178" t="str">
            <v>-</v>
          </cell>
          <cell r="H178">
            <v>3.96</v>
          </cell>
          <cell r="AJ178" t="str">
            <v/>
          </cell>
          <cell r="BO178">
            <v>2.44</v>
          </cell>
          <cell r="BP178" t="str">
            <v/>
          </cell>
          <cell r="BQ178" t="str">
            <v/>
          </cell>
        </row>
        <row r="179">
          <cell r="AJ179" t="str">
            <v/>
          </cell>
          <cell r="BP179" t="str">
            <v/>
          </cell>
          <cell r="BQ179" t="str">
            <v/>
          </cell>
        </row>
        <row r="180">
          <cell r="K180" t="str">
            <v/>
          </cell>
          <cell r="N180" t="str">
            <v/>
          </cell>
          <cell r="X180" t="str">
            <v/>
          </cell>
          <cell r="AA180" t="str">
            <v/>
          </cell>
          <cell r="AF180" t="str">
            <v/>
          </cell>
          <cell r="AJ180" t="str">
            <v/>
          </cell>
          <cell r="AM180" t="str">
            <v/>
          </cell>
          <cell r="AN180" t="str">
            <v/>
          </cell>
          <cell r="BG180" t="str">
            <v/>
          </cell>
          <cell r="BK180" t="str">
            <v/>
          </cell>
          <cell r="BL180" t="str">
            <v/>
          </cell>
          <cell r="BP180" t="str">
            <v/>
          </cell>
          <cell r="BQ180" t="str">
            <v/>
          </cell>
          <cell r="BU180" t="str">
            <v/>
          </cell>
        </row>
        <row r="181">
          <cell r="F181" t="str">
            <v>I</v>
          </cell>
          <cell r="G181" t="str">
            <v>0/9</v>
          </cell>
          <cell r="H181">
            <v>5.56</v>
          </cell>
          <cell r="I181">
            <v>0</v>
          </cell>
          <cell r="J181">
            <v>0</v>
          </cell>
          <cell r="K181" t="str">
            <v/>
          </cell>
          <cell r="M181">
            <v>5.56</v>
          </cell>
          <cell r="N181" t="str">
            <v/>
          </cell>
          <cell r="X181" t="str">
            <v/>
          </cell>
          <cell r="AA181" t="str">
            <v/>
          </cell>
          <cell r="AF181" t="str">
            <v/>
          </cell>
          <cell r="AJ181" t="str">
            <v/>
          </cell>
          <cell r="AM181" t="str">
            <v/>
          </cell>
          <cell r="AN181" t="str">
            <v/>
          </cell>
          <cell r="BG181" t="str">
            <v/>
          </cell>
          <cell r="BK181" t="str">
            <v/>
          </cell>
          <cell r="BL181" t="str">
            <v/>
          </cell>
          <cell r="BO181">
            <v>5.56</v>
          </cell>
          <cell r="BP181">
            <v>5.56</v>
          </cell>
          <cell r="BQ181">
            <v>5.56</v>
          </cell>
          <cell r="BU181" t="str">
            <v/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</row>
        <row r="182">
          <cell r="F182" t="str">
            <v>I</v>
          </cell>
          <cell r="M182" t="e">
            <v>#VALUE!</v>
          </cell>
          <cell r="BP182" t="e">
            <v>#VALUE!</v>
          </cell>
          <cell r="BQ182" t="e">
            <v>#VALUE!</v>
          </cell>
          <cell r="BU182" t="str">
            <v/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</row>
        <row r="183">
          <cell r="N183" t="str">
            <v/>
          </cell>
          <cell r="X183" t="str">
            <v/>
          </cell>
        </row>
        <row r="184">
          <cell r="F184" t="str">
            <v>S</v>
          </cell>
          <cell r="G184" t="str">
            <v>9/9</v>
          </cell>
          <cell r="H184">
            <v>6.46</v>
          </cell>
          <cell r="I184">
            <v>8.1</v>
          </cell>
          <cell r="J184">
            <v>8.1</v>
          </cell>
          <cell r="K184" t="str">
            <v/>
          </cell>
          <cell r="M184">
            <v>6.46</v>
          </cell>
          <cell r="N184" t="str">
            <v/>
          </cell>
          <cell r="U184">
            <v>0.93</v>
          </cell>
          <cell r="V184">
            <v>3</v>
          </cell>
          <cell r="X184" t="e">
            <v>#VALUE!</v>
          </cell>
          <cell r="AA184">
            <v>3</v>
          </cell>
          <cell r="AF184" t="e">
            <v>#DIV/0!</v>
          </cell>
          <cell r="AJ184" t="str">
            <v/>
          </cell>
          <cell r="AM184" t="e">
            <v>#VALUE!</v>
          </cell>
          <cell r="AN184" t="e">
            <v>#VALUE!</v>
          </cell>
          <cell r="BG184" t="str">
            <v/>
          </cell>
          <cell r="BK184" t="str">
            <v/>
          </cell>
          <cell r="BL184" t="str">
            <v/>
          </cell>
          <cell r="BO184" t="e">
            <v>#VALUE!</v>
          </cell>
          <cell r="BP184" t="e">
            <v>#VALUE!</v>
          </cell>
          <cell r="BQ184" t="e">
            <v>#VALUE!</v>
          </cell>
          <cell r="BU184" t="e">
            <v>#VALUE!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 t="e">
            <v>#VALUE!</v>
          </cell>
          <cell r="CB184">
            <v>0</v>
          </cell>
        </row>
        <row r="185">
          <cell r="F185" t="str">
            <v>S</v>
          </cell>
          <cell r="G185" t="str">
            <v>-</v>
          </cell>
          <cell r="H185">
            <v>7.03</v>
          </cell>
          <cell r="K185" t="str">
            <v/>
          </cell>
          <cell r="M185">
            <v>7.03</v>
          </cell>
          <cell r="N185" t="str">
            <v/>
          </cell>
          <cell r="X185" t="str">
            <v/>
          </cell>
          <cell r="AA185" t="str">
            <v/>
          </cell>
          <cell r="AE185">
            <v>0.4</v>
          </cell>
          <cell r="AF185" t="str">
            <v/>
          </cell>
          <cell r="AJ185" t="str">
            <v/>
          </cell>
          <cell r="AM185" t="e">
            <v>#VALUE!</v>
          </cell>
          <cell r="AN185" t="e">
            <v>#VALUE!</v>
          </cell>
          <cell r="BG185" t="str">
            <v/>
          </cell>
          <cell r="BK185" t="str">
            <v/>
          </cell>
          <cell r="BL185" t="str">
            <v/>
          </cell>
          <cell r="BO185" t="e">
            <v>#VALUE!</v>
          </cell>
          <cell r="BP185" t="e">
            <v>#VALUE!</v>
          </cell>
          <cell r="BQ185" t="e">
            <v>#VALUE!</v>
          </cell>
          <cell r="BU185" t="e">
            <v>#VALUE!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 t="e">
            <v>#VALUE!</v>
          </cell>
          <cell r="CB185">
            <v>0</v>
          </cell>
        </row>
        <row r="186">
          <cell r="F186" t="str">
            <v>I</v>
          </cell>
          <cell r="G186" t="str">
            <v>3/0</v>
          </cell>
          <cell r="H186">
            <v>0.45</v>
          </cell>
          <cell r="BO186" t="e">
            <v>#VALUE!</v>
          </cell>
        </row>
        <row r="187">
          <cell r="F187" t="str">
            <v>I</v>
          </cell>
          <cell r="M187">
            <v>0.15</v>
          </cell>
          <cell r="BO187" t="e">
            <v>#VALUE!</v>
          </cell>
          <cell r="BP187">
            <v>0.15</v>
          </cell>
          <cell r="BQ187">
            <v>0.15</v>
          </cell>
          <cell r="BU187" t="str">
            <v/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</row>
        <row r="188">
          <cell r="N188" t="str">
            <v/>
          </cell>
          <cell r="X188" t="str">
            <v/>
          </cell>
        </row>
        <row r="191">
          <cell r="F191" t="str">
            <v>S</v>
          </cell>
          <cell r="G191" t="str">
            <v>0/12</v>
          </cell>
          <cell r="H191">
            <v>9.61</v>
          </cell>
          <cell r="I191">
            <v>3.49</v>
          </cell>
          <cell r="J191">
            <v>3</v>
          </cell>
          <cell r="K191">
            <v>0.49000000000000021</v>
          </cell>
          <cell r="M191">
            <v>9.1199999999999992</v>
          </cell>
          <cell r="N191">
            <v>0.92999999999999972</v>
          </cell>
          <cell r="U191">
            <v>0.93</v>
          </cell>
          <cell r="V191">
            <v>3</v>
          </cell>
          <cell r="X191">
            <v>0.93</v>
          </cell>
          <cell r="AA191">
            <v>4</v>
          </cell>
          <cell r="AF191" t="e">
            <v>#DIV/0!</v>
          </cell>
          <cell r="AJ191" t="e">
            <v>#DIV/0!</v>
          </cell>
          <cell r="AM191">
            <v>8.19</v>
          </cell>
          <cell r="AN191">
            <v>8.19</v>
          </cell>
          <cell r="BG191" t="str">
            <v/>
          </cell>
          <cell r="BK191" t="str">
            <v/>
          </cell>
          <cell r="BL191" t="str">
            <v/>
          </cell>
          <cell r="BO191">
            <v>8.19</v>
          </cell>
          <cell r="BP191">
            <v>8.19</v>
          </cell>
          <cell r="BQ191">
            <v>8.19</v>
          </cell>
          <cell r="BU191" t="e">
            <v>#DIV/0!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 t="e">
            <v>#DIV/0!</v>
          </cell>
          <cell r="CB191">
            <v>0</v>
          </cell>
        </row>
        <row r="192">
          <cell r="F192" t="str">
            <v>S</v>
          </cell>
          <cell r="G192" t="str">
            <v>12/9</v>
          </cell>
          <cell r="H192">
            <v>10.26</v>
          </cell>
          <cell r="K192" t="str">
            <v/>
          </cell>
          <cell r="M192">
            <v>10.26</v>
          </cell>
          <cell r="N192">
            <v>1.08</v>
          </cell>
          <cell r="X192">
            <v>1.08</v>
          </cell>
          <cell r="AA192">
            <v>1</v>
          </cell>
          <cell r="AF192" t="e">
            <v>#DIV/0!</v>
          </cell>
          <cell r="AJ192" t="e">
            <v>#DIV/0!</v>
          </cell>
          <cell r="AM192">
            <v>9.18</v>
          </cell>
          <cell r="AN192">
            <v>9.18</v>
          </cell>
          <cell r="BG192" t="str">
            <v/>
          </cell>
          <cell r="BK192" t="str">
            <v/>
          </cell>
          <cell r="BL192" t="str">
            <v/>
          </cell>
          <cell r="BO192">
            <v>9.18</v>
          </cell>
          <cell r="BP192">
            <v>9.18</v>
          </cell>
          <cell r="BQ192">
            <v>9.18</v>
          </cell>
          <cell r="BU192" t="e">
            <v>#DIV/0!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 t="e">
            <v>#DIV/0!</v>
          </cell>
          <cell r="CB192">
            <v>0</v>
          </cell>
        </row>
        <row r="193">
          <cell r="F193" t="str">
            <v>I</v>
          </cell>
          <cell r="G193" t="str">
            <v>9/6</v>
          </cell>
          <cell r="H193">
            <v>3.5300000000000002</v>
          </cell>
        </row>
        <row r="194">
          <cell r="F194" t="str">
            <v>I</v>
          </cell>
          <cell r="M194">
            <v>0</v>
          </cell>
          <cell r="BO194">
            <v>0</v>
          </cell>
          <cell r="BP194">
            <v>0</v>
          </cell>
          <cell r="BQ194">
            <v>0</v>
          </cell>
          <cell r="BU194" t="str">
            <v/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</row>
        <row r="195">
          <cell r="N195" t="str">
            <v/>
          </cell>
          <cell r="X195" t="str">
            <v/>
          </cell>
        </row>
        <row r="198">
          <cell r="F198" t="str">
            <v>S</v>
          </cell>
          <cell r="G198" t="str">
            <v>6/3</v>
          </cell>
          <cell r="H198">
            <v>5.4370000000000003</v>
          </cell>
          <cell r="I198">
            <v>5.47</v>
          </cell>
          <cell r="J198">
            <v>4.96</v>
          </cell>
          <cell r="K198">
            <v>0.50999999999999979</v>
          </cell>
          <cell r="M198">
            <v>4.9270000000000005</v>
          </cell>
          <cell r="N198" t="str">
            <v/>
          </cell>
          <cell r="U198">
            <v>2.9292857142857147</v>
          </cell>
          <cell r="V198">
            <v>14</v>
          </cell>
          <cell r="X198" t="e">
            <v>#VALUE!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it Template"/>
      <sheetName val="Core Template"/>
      <sheetName val="SNOWPIT"/>
      <sheetName val="70.09.29"/>
      <sheetName val="76.10.20"/>
      <sheetName val="77.06.08"/>
      <sheetName val="96.01.13"/>
      <sheetName val="96.09.20"/>
      <sheetName val="97.05.19"/>
      <sheetName val="98.05.27"/>
      <sheetName val="99.05.14"/>
      <sheetName val="99.05.15"/>
      <sheetName val="99.09.24"/>
      <sheetName val="00.05.12"/>
      <sheetName val="00.05.12redone"/>
      <sheetName val="00.09.20"/>
      <sheetName val="01.05.17"/>
      <sheetName val="02.05.16"/>
      <sheetName val="02.10.02 core"/>
      <sheetName val="02.10.04 pit"/>
      <sheetName val="03.05.29"/>
      <sheetName val="03.09.14"/>
      <sheetName val="04.05.13 Pit"/>
      <sheetName val="04.05.13core"/>
      <sheetName val="2005.05.14Pit"/>
      <sheetName val="2005.05.14Core"/>
      <sheetName val="2006.05.13Pit"/>
      <sheetName val="2006.05.13Core"/>
      <sheetName val="2006.09.24Pit"/>
      <sheetName val="2007.05.10 Core"/>
      <sheetName val="2007.09.17Core"/>
      <sheetName val="2008.5.18 Core"/>
      <sheetName val="2008.5.18 Core (2)"/>
      <sheetName val="2008.9.28 Core"/>
      <sheetName val="2009.04.28 Pit"/>
      <sheetName val="2009.04.28 Core"/>
      <sheetName val="2010.05.05 Pit"/>
      <sheetName val="2010.05.05 Core"/>
      <sheetName val="2010.09.13 Core"/>
      <sheetName val="2011.04.27 Pit "/>
      <sheetName val="2011.04.27 Core"/>
    </sheetNames>
    <sheetDataSet>
      <sheetData sheetId="0"/>
      <sheetData sheetId="1"/>
      <sheetData sheetId="2">
        <row r="1">
          <cell r="Q1">
            <v>41.05</v>
          </cell>
        </row>
        <row r="9">
          <cell r="P9">
            <v>0</v>
          </cell>
          <cell r="Q9">
            <v>0</v>
          </cell>
        </row>
        <row r="10">
          <cell r="P10">
            <v>10</v>
          </cell>
          <cell r="Q10">
            <v>0</v>
          </cell>
        </row>
        <row r="11">
          <cell r="P11">
            <v>20</v>
          </cell>
          <cell r="Q11">
            <v>0</v>
          </cell>
        </row>
        <row r="12">
          <cell r="P12">
            <v>40</v>
          </cell>
          <cell r="Q12">
            <v>0</v>
          </cell>
        </row>
        <row r="13">
          <cell r="P13">
            <v>60</v>
          </cell>
          <cell r="Q13">
            <v>0</v>
          </cell>
        </row>
        <row r="14">
          <cell r="P14">
            <v>100</v>
          </cell>
          <cell r="Q14">
            <v>0</v>
          </cell>
        </row>
        <row r="15">
          <cell r="P15">
            <v>150</v>
          </cell>
          <cell r="Q15">
            <v>0</v>
          </cell>
        </row>
        <row r="16">
          <cell r="P16">
            <v>200</v>
          </cell>
          <cell r="Q16">
            <v>0</v>
          </cell>
        </row>
        <row r="17">
          <cell r="P17">
            <v>250</v>
          </cell>
          <cell r="Q17">
            <v>0</v>
          </cell>
        </row>
        <row r="18">
          <cell r="P18">
            <v>300</v>
          </cell>
          <cell r="Q18">
            <v>0</v>
          </cell>
        </row>
        <row r="19">
          <cell r="P19">
            <v>350</v>
          </cell>
          <cell r="Q19">
            <v>0</v>
          </cell>
        </row>
        <row r="20">
          <cell r="P20">
            <v>400</v>
          </cell>
          <cell r="Q20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3">
          <cell r="K3">
            <v>45.6</v>
          </cell>
        </row>
      </sheetData>
      <sheetData sheetId="10">
        <row r="3">
          <cell r="M3">
            <v>45.6</v>
          </cell>
        </row>
      </sheetData>
      <sheetData sheetId="11"/>
      <sheetData sheetId="12"/>
      <sheetData sheetId="13">
        <row r="3">
          <cell r="M3">
            <v>45.6</v>
          </cell>
        </row>
      </sheetData>
      <sheetData sheetId="14"/>
      <sheetData sheetId="15"/>
      <sheetData sheetId="16"/>
      <sheetData sheetId="17"/>
      <sheetData sheetId="18"/>
      <sheetData sheetId="19"/>
      <sheetData sheetId="20">
        <row r="35">
          <cell r="K35">
            <v>0.57713054921597162</v>
          </cell>
        </row>
      </sheetData>
      <sheetData sheetId="21"/>
      <sheetData sheetId="22"/>
      <sheetData sheetId="23">
        <row r="45">
          <cell r="G45">
            <v>0.54024015122222246</v>
          </cell>
        </row>
      </sheetData>
      <sheetData sheetId="24"/>
      <sheetData sheetId="25">
        <row r="33">
          <cell r="H33">
            <v>0.59710988796244679</v>
          </cell>
        </row>
      </sheetData>
      <sheetData sheetId="26"/>
      <sheetData sheetId="27">
        <row r="47">
          <cell r="M47">
            <v>-2.7</v>
          </cell>
        </row>
      </sheetData>
      <sheetData sheetId="28">
        <row r="13">
          <cell r="L13">
            <v>0.60899999999999999</v>
          </cell>
        </row>
      </sheetData>
      <sheetData sheetId="29">
        <row r="64">
          <cell r="I64">
            <v>0.48714429343263665</v>
          </cell>
        </row>
      </sheetData>
      <sheetData sheetId="30">
        <row r="32">
          <cell r="I32">
            <v>0.66464019559897736</v>
          </cell>
        </row>
      </sheetData>
      <sheetData sheetId="31">
        <row r="91">
          <cell r="I91">
            <v>0.55362323186368045</v>
          </cell>
        </row>
      </sheetData>
      <sheetData sheetId="32"/>
      <sheetData sheetId="33">
        <row r="12">
          <cell r="G12">
            <v>31</v>
          </cell>
        </row>
      </sheetData>
      <sheetData sheetId="34">
        <row r="28">
          <cell r="L28">
            <v>0.42199999999999999</v>
          </cell>
        </row>
      </sheetData>
      <sheetData sheetId="35"/>
      <sheetData sheetId="36">
        <row r="20">
          <cell r="Q20">
            <v>-1.7</v>
          </cell>
        </row>
      </sheetData>
      <sheetData sheetId="37">
        <row r="22">
          <cell r="R22">
            <v>0.41078164602432693</v>
          </cell>
        </row>
      </sheetData>
      <sheetData sheetId="38"/>
      <sheetData sheetId="39"/>
      <sheetData sheetId="4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nowpit Template"/>
      <sheetName val="Core Density Template"/>
      <sheetName val="SCD May 97, 1998"/>
      <sheetName val="Sipri Core 5-13-99"/>
      <sheetName val="Sipri 5-13-99"/>
      <sheetName val="Sipri 5-10-2000"/>
      <sheetName val="2001.05.16"/>
      <sheetName val="2002.05.14"/>
      <sheetName val="2004.05.12"/>
      <sheetName val="2005.05.12 Pit"/>
      <sheetName val="2006.5.12 Pit"/>
      <sheetName val="2006.5.12 Core"/>
      <sheetName val="2007.05.10 Core"/>
      <sheetName val="2008.5.18.Core"/>
      <sheetName val="2008.09.28 Pit"/>
      <sheetName val="2009.04.27 Pit"/>
      <sheetName val="2010.5.04.Core"/>
      <sheetName val="2010.05.04 Core 2"/>
      <sheetName val="2011.04.28 Pit"/>
    </sheetNames>
    <sheetDataSet>
      <sheetData sheetId="0"/>
      <sheetData sheetId="1"/>
      <sheetData sheetId="2">
        <row r="4">
          <cell r="K4">
            <v>41.05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9">
          <cell r="P9">
            <v>0</v>
          </cell>
        </row>
        <row r="10">
          <cell r="P10">
            <v>20</v>
          </cell>
          <cell r="Q10">
            <v>0</v>
          </cell>
        </row>
        <row r="11">
          <cell r="P11">
            <v>40</v>
          </cell>
          <cell r="Q11">
            <v>-1.2</v>
          </cell>
        </row>
        <row r="12">
          <cell r="P12">
            <v>60</v>
          </cell>
          <cell r="Q12">
            <v>-2.6</v>
          </cell>
        </row>
        <row r="13">
          <cell r="P13">
            <v>120</v>
          </cell>
          <cell r="Q13">
            <v>-3.5</v>
          </cell>
        </row>
        <row r="14">
          <cell r="P14">
            <v>160</v>
          </cell>
          <cell r="Q14">
            <v>-4</v>
          </cell>
        </row>
        <row r="15">
          <cell r="P15">
            <v>200</v>
          </cell>
          <cell r="Q15">
            <v>-4</v>
          </cell>
        </row>
        <row r="16">
          <cell r="P16">
            <v>230</v>
          </cell>
          <cell r="Q16">
            <v>-4</v>
          </cell>
        </row>
        <row r="17">
          <cell r="P17">
            <v>243</v>
          </cell>
          <cell r="Q17">
            <v>-2.4</v>
          </cell>
        </row>
        <row r="18">
          <cell r="P18">
            <v>298</v>
          </cell>
          <cell r="Q18">
            <v>-2.4</v>
          </cell>
        </row>
        <row r="19">
          <cell r="P19">
            <v>330</v>
          </cell>
          <cell r="Q19">
            <v>-2.7</v>
          </cell>
        </row>
        <row r="20">
          <cell r="P20">
            <v>380</v>
          </cell>
          <cell r="Q20">
            <v>-2</v>
          </cell>
        </row>
        <row r="21">
          <cell r="P21">
            <v>416</v>
          </cell>
          <cell r="Q21">
            <v>-0.9</v>
          </cell>
        </row>
        <row r="22">
          <cell r="P22">
            <v>440</v>
          </cell>
          <cell r="Q22">
            <v>-0.6</v>
          </cell>
        </row>
        <row r="23">
          <cell r="P23">
            <v>477</v>
          </cell>
          <cell r="Q23">
            <v>-0.6</v>
          </cell>
        </row>
      </sheetData>
      <sheetData sheetId="11"/>
      <sheetData sheetId="12"/>
      <sheetData sheetId="13"/>
      <sheetData sheetId="14">
        <row r="9">
          <cell r="P9">
            <v>0</v>
          </cell>
        </row>
        <row r="10">
          <cell r="P10">
            <v>20</v>
          </cell>
          <cell r="Q10">
            <v>0</v>
          </cell>
        </row>
      </sheetData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nowmetrics.com/store/rip-1-cutter-1000-cc-p-180.html" TargetMode="External"/><Relationship Id="rId5" Type="http://schemas.openxmlformats.org/officeDocument/2006/relationships/comments" Target="../comments7.xml"/><Relationship Id="rId4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nowmetrics.com/store/rip-1-cutter-1000-cc-p-180.html" TargetMode="External"/><Relationship Id="rId5" Type="http://schemas.openxmlformats.org/officeDocument/2006/relationships/comments" Target="../comments8.xml"/><Relationship Id="rId4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nowmetrics.com/store/rip-1-cutter-1000-cc-p-180.html" TargetMode="External"/><Relationship Id="rId5" Type="http://schemas.openxmlformats.org/officeDocument/2006/relationships/comments" Target="../comments9.xml"/><Relationship Id="rId4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7"/>
  <sheetViews>
    <sheetView workbookViewId="0">
      <selection activeCell="O15" sqref="O15"/>
    </sheetView>
  </sheetViews>
  <sheetFormatPr defaultRowHeight="15"/>
  <cols>
    <col min="1" max="1" width="10" style="434" customWidth="1"/>
    <col min="3" max="3" width="9.140625" style="434"/>
    <col min="7" max="7" width="9.140625" style="434"/>
    <col min="12" max="12" width="9.140625" style="434"/>
    <col min="16" max="16" width="9.140625" style="434"/>
    <col min="17" max="17" width="17.42578125" style="435" customWidth="1"/>
    <col min="20" max="20" width="9.140625" style="434"/>
    <col min="23" max="23" width="9.140625" style="434"/>
  </cols>
  <sheetData>
    <row r="1" spans="1:23" s="268" customFormat="1" ht="11.25">
      <c r="A1" s="364"/>
      <c r="B1" s="365"/>
      <c r="C1" s="366"/>
      <c r="G1" s="367"/>
      <c r="H1" s="368" t="s">
        <v>99</v>
      </c>
      <c r="I1" s="369"/>
      <c r="K1" s="370" t="s">
        <v>100</v>
      </c>
      <c r="L1" s="371"/>
      <c r="M1" s="372"/>
      <c r="N1" s="373"/>
      <c r="O1" s="374"/>
      <c r="P1" s="375" t="s">
        <v>101</v>
      </c>
      <c r="Q1" s="376"/>
      <c r="R1" s="377" t="s">
        <v>102</v>
      </c>
      <c r="S1" s="378"/>
      <c r="T1" s="379"/>
      <c r="U1" s="380" t="s">
        <v>103</v>
      </c>
      <c r="V1" s="381"/>
      <c r="W1" s="382"/>
    </row>
    <row r="2" spans="1:23" s="268" customFormat="1" ht="11.25">
      <c r="A2" s="383"/>
      <c r="B2" s="384"/>
      <c r="C2" s="385"/>
      <c r="E2" s="386" t="s">
        <v>104</v>
      </c>
      <c r="F2" s="387" t="s">
        <v>105</v>
      </c>
      <c r="G2" s="367" t="s">
        <v>106</v>
      </c>
      <c r="H2" s="368" t="s">
        <v>106</v>
      </c>
      <c r="I2" s="388" t="s">
        <v>45</v>
      </c>
      <c r="K2" s="389" t="s">
        <v>107</v>
      </c>
      <c r="L2" s="390"/>
      <c r="M2" s="391" t="s">
        <v>108</v>
      </c>
      <c r="N2" s="392" t="s">
        <v>109</v>
      </c>
      <c r="O2" s="393" t="s">
        <v>110</v>
      </c>
      <c r="P2" s="375" t="s">
        <v>111</v>
      </c>
      <c r="Q2" s="376"/>
      <c r="R2" s="394"/>
      <c r="S2" s="394"/>
      <c r="T2" s="395" t="s">
        <v>107</v>
      </c>
      <c r="U2" s="396" t="s">
        <v>112</v>
      </c>
      <c r="V2" s="381"/>
      <c r="W2" s="395" t="s">
        <v>107</v>
      </c>
    </row>
    <row r="3" spans="1:23" s="268" customFormat="1" ht="11.25">
      <c r="A3" s="383"/>
      <c r="B3" s="384"/>
      <c r="C3" s="385" t="s">
        <v>113</v>
      </c>
      <c r="D3" s="397" t="s">
        <v>114</v>
      </c>
      <c r="E3" s="386" t="s">
        <v>115</v>
      </c>
      <c r="F3" s="387" t="s">
        <v>116</v>
      </c>
      <c r="G3" s="395" t="s">
        <v>117</v>
      </c>
      <c r="H3" s="397" t="s">
        <v>117</v>
      </c>
      <c r="I3" s="393" t="s">
        <v>40</v>
      </c>
      <c r="J3" s="397" t="s">
        <v>40</v>
      </c>
      <c r="K3" s="393" t="s">
        <v>118</v>
      </c>
      <c r="L3" s="375" t="s">
        <v>119</v>
      </c>
      <c r="M3" s="391" t="s">
        <v>120</v>
      </c>
      <c r="N3" s="392" t="s">
        <v>120</v>
      </c>
      <c r="O3" s="393" t="s">
        <v>120</v>
      </c>
      <c r="P3" s="375" t="s">
        <v>120</v>
      </c>
      <c r="Q3" s="398" t="s">
        <v>121</v>
      </c>
      <c r="R3" s="399" t="s">
        <v>122</v>
      </c>
      <c r="S3" s="399"/>
      <c r="T3" s="395" t="s">
        <v>116</v>
      </c>
      <c r="U3" s="396" t="s">
        <v>123</v>
      </c>
      <c r="V3" s="400"/>
      <c r="W3" s="395" t="s">
        <v>116</v>
      </c>
    </row>
    <row r="4" spans="1:23" s="268" customFormat="1" ht="14.25">
      <c r="A4" s="401" t="s">
        <v>124</v>
      </c>
      <c r="B4" s="402" t="s">
        <v>125</v>
      </c>
      <c r="C4" s="403" t="s">
        <v>126</v>
      </c>
      <c r="D4" s="397" t="s">
        <v>41</v>
      </c>
      <c r="E4" s="386" t="s">
        <v>34</v>
      </c>
      <c r="F4" s="387" t="s">
        <v>114</v>
      </c>
      <c r="G4" s="404" t="s">
        <v>127</v>
      </c>
      <c r="H4" s="405" t="s">
        <v>114</v>
      </c>
      <c r="I4" s="393" t="s">
        <v>43</v>
      </c>
      <c r="J4" s="397" t="s">
        <v>26</v>
      </c>
      <c r="K4" s="393"/>
      <c r="L4" s="375" t="s">
        <v>26</v>
      </c>
      <c r="M4" s="391"/>
      <c r="N4" s="373"/>
      <c r="O4" s="374"/>
      <c r="P4" s="406"/>
      <c r="Q4" s="376"/>
      <c r="R4" s="407" t="s">
        <v>128</v>
      </c>
      <c r="S4" s="407" t="s">
        <v>129</v>
      </c>
      <c r="T4" s="408" t="s">
        <v>130</v>
      </c>
      <c r="U4" s="409" t="s">
        <v>131</v>
      </c>
      <c r="V4" s="410" t="s">
        <v>132</v>
      </c>
      <c r="W4" s="408" t="s">
        <v>130</v>
      </c>
    </row>
    <row r="5" spans="1:23" s="268" customFormat="1" ht="12" thickBot="1">
      <c r="A5" s="411" t="s">
        <v>133</v>
      </c>
      <c r="B5" s="412"/>
      <c r="C5" s="413"/>
      <c r="D5" s="414"/>
      <c r="E5" s="415" t="s">
        <v>134</v>
      </c>
      <c r="F5" s="414" t="s">
        <v>135</v>
      </c>
      <c r="G5" s="416" t="s">
        <v>136</v>
      </c>
      <c r="H5" s="417" t="s">
        <v>137</v>
      </c>
      <c r="I5" s="418" t="s">
        <v>138</v>
      </c>
      <c r="J5" s="414"/>
      <c r="K5" s="419" t="s">
        <v>138</v>
      </c>
      <c r="L5" s="420"/>
      <c r="M5" s="421"/>
      <c r="N5" s="422" t="s">
        <v>139</v>
      </c>
      <c r="O5" s="422" t="s">
        <v>139</v>
      </c>
      <c r="P5" s="423" t="s">
        <v>139</v>
      </c>
      <c r="Q5" s="424"/>
      <c r="R5" s="425" t="s">
        <v>138</v>
      </c>
      <c r="S5" s="425" t="s">
        <v>138</v>
      </c>
      <c r="T5" s="426" t="s">
        <v>138</v>
      </c>
      <c r="U5" s="427" t="s">
        <v>140</v>
      </c>
      <c r="V5" s="428"/>
      <c r="W5" s="429" t="s">
        <v>138</v>
      </c>
    </row>
    <row r="6" spans="1:23" s="449" customFormat="1">
      <c r="A6" s="444">
        <v>40422</v>
      </c>
      <c r="B6" s="445" t="s">
        <v>141</v>
      </c>
      <c r="C6" s="446" t="s">
        <v>148</v>
      </c>
      <c r="D6" s="447" t="s">
        <v>144</v>
      </c>
      <c r="E6" s="447">
        <f>30*0.3048</f>
        <v>9.1440000000000001</v>
      </c>
      <c r="F6" s="447">
        <f>10*0.3048+1.18</f>
        <v>4.2279999999999998</v>
      </c>
      <c r="G6" s="448">
        <f>E6-F6</f>
        <v>4.9160000000000004</v>
      </c>
      <c r="H6" s="447"/>
      <c r="I6" s="447">
        <v>0</v>
      </c>
      <c r="J6" s="447"/>
      <c r="K6" s="447">
        <f>G6-I6</f>
        <v>4.9160000000000004</v>
      </c>
      <c r="L6" s="448"/>
      <c r="M6" s="447"/>
      <c r="N6" s="447"/>
      <c r="O6" s="447"/>
      <c r="P6" s="448"/>
      <c r="Q6" s="474"/>
      <c r="R6" s="445"/>
      <c r="S6" s="445"/>
      <c r="T6" s="446"/>
      <c r="U6" s="445"/>
      <c r="V6" s="445"/>
      <c r="W6" s="446"/>
    </row>
    <row r="7" spans="1:23" s="449" customFormat="1">
      <c r="A7" s="444">
        <v>40680</v>
      </c>
      <c r="B7" s="445" t="s">
        <v>167</v>
      </c>
      <c r="C7" s="446" t="s">
        <v>148</v>
      </c>
      <c r="D7" s="447" t="s">
        <v>143</v>
      </c>
      <c r="E7" s="447">
        <v>9.14</v>
      </c>
      <c r="F7" s="447">
        <v>4.3</v>
      </c>
      <c r="G7" s="448">
        <f>E7-F7</f>
        <v>4.8400000000000007</v>
      </c>
      <c r="H7" s="447">
        <f>G7-G6</f>
        <v>-7.5999999999999623E-2</v>
      </c>
      <c r="I7" s="447">
        <v>0.9</v>
      </c>
      <c r="J7" s="447">
        <v>0.6</v>
      </c>
      <c r="K7" s="447">
        <f>G7-I7</f>
        <v>3.9400000000000008</v>
      </c>
      <c r="L7" s="448"/>
      <c r="M7" s="447"/>
      <c r="N7" s="447">
        <f>I7*J7</f>
        <v>0.54</v>
      </c>
      <c r="O7" s="447"/>
      <c r="P7" s="448">
        <f>(K7-K6)*0.9</f>
        <v>-0.87839999999999963</v>
      </c>
      <c r="Q7" s="474"/>
      <c r="R7" s="445"/>
      <c r="S7" s="445"/>
      <c r="T7" s="446"/>
      <c r="U7" s="445"/>
      <c r="V7" s="445"/>
      <c r="W7" s="446"/>
    </row>
    <row r="8" spans="1:23" s="449" customFormat="1">
      <c r="A8" s="444">
        <v>40680</v>
      </c>
      <c r="B8" s="445" t="s">
        <v>167</v>
      </c>
      <c r="C8" s="446" t="s">
        <v>148</v>
      </c>
      <c r="D8" s="447" t="s">
        <v>143</v>
      </c>
      <c r="E8" s="447">
        <f>9.14-1.18</f>
        <v>7.9600000000000009</v>
      </c>
      <c r="F8" s="447">
        <v>3.12</v>
      </c>
      <c r="G8" s="448">
        <v>3.94</v>
      </c>
      <c r="H8" s="447">
        <v>0</v>
      </c>
      <c r="I8" s="447"/>
      <c r="J8" s="447"/>
      <c r="K8" s="447"/>
      <c r="L8" s="448"/>
      <c r="M8" s="447"/>
      <c r="N8" s="447"/>
      <c r="O8" s="447"/>
      <c r="P8" s="448"/>
      <c r="Q8" s="474"/>
      <c r="R8" s="445"/>
      <c r="S8" s="445"/>
      <c r="T8" s="446"/>
      <c r="U8" s="445"/>
      <c r="V8" s="445"/>
      <c r="W8" s="446"/>
    </row>
    <row r="9" spans="1:23" s="449" customFormat="1">
      <c r="A9" s="444">
        <v>40708</v>
      </c>
      <c r="B9" s="445" t="s">
        <v>152</v>
      </c>
      <c r="C9" s="446" t="s">
        <v>148</v>
      </c>
      <c r="D9" s="447" t="s">
        <v>144</v>
      </c>
      <c r="E9" s="447">
        <v>7.9630000000000001</v>
      </c>
      <c r="F9" s="447">
        <v>3.05</v>
      </c>
      <c r="G9" s="448">
        <f>E9-F9</f>
        <v>4.9130000000000003</v>
      </c>
      <c r="H9" s="447">
        <f>G9-G6</f>
        <v>-3.0000000000001137E-3</v>
      </c>
      <c r="I9" s="447">
        <v>0</v>
      </c>
      <c r="J9" s="447"/>
      <c r="K9" s="447">
        <f>G9-I9</f>
        <v>4.9130000000000003</v>
      </c>
      <c r="L9" s="448"/>
      <c r="M9" s="447"/>
      <c r="N9" s="447"/>
      <c r="O9" s="447"/>
      <c r="Q9" s="474"/>
      <c r="R9" s="445"/>
      <c r="S9" s="445"/>
      <c r="T9" s="446"/>
      <c r="U9" s="445"/>
      <c r="V9" s="445"/>
      <c r="W9" s="446"/>
    </row>
    <row r="10" spans="1:23" s="449" customFormat="1">
      <c r="A10" s="444">
        <v>40708</v>
      </c>
      <c r="B10" s="445" t="s">
        <v>152</v>
      </c>
      <c r="C10" s="446" t="s">
        <v>148</v>
      </c>
      <c r="D10" s="447" t="s">
        <v>144</v>
      </c>
      <c r="E10" s="447">
        <f>E9-3.05</f>
        <v>4.9130000000000003</v>
      </c>
      <c r="F10" s="447">
        <f>F9-1.18</f>
        <v>1.8699999999999999</v>
      </c>
      <c r="G10" s="448">
        <f>E10-F10</f>
        <v>3.0430000000000001</v>
      </c>
      <c r="H10" s="447"/>
      <c r="I10" s="447">
        <v>0</v>
      </c>
      <c r="J10" s="447"/>
      <c r="K10" s="447">
        <f t="shared" ref="K10:K12" si="0">G10-I10</f>
        <v>3.0430000000000001</v>
      </c>
      <c r="L10" s="448"/>
      <c r="M10" s="447"/>
      <c r="N10" s="447"/>
      <c r="O10" s="447"/>
      <c r="P10" s="448"/>
      <c r="Q10" s="474"/>
      <c r="R10" s="445"/>
      <c r="S10" s="445"/>
      <c r="T10" s="446"/>
      <c r="U10" s="445"/>
      <c r="V10" s="445"/>
      <c r="W10" s="446"/>
    </row>
    <row r="11" spans="1:23" s="460" customFormat="1">
      <c r="A11" s="456"/>
      <c r="B11" s="457"/>
      <c r="C11" s="443"/>
      <c r="D11" s="442"/>
      <c r="E11" s="442"/>
      <c r="F11" s="442"/>
      <c r="G11" s="458"/>
      <c r="H11" s="442"/>
      <c r="I11" s="442"/>
      <c r="J11" s="442"/>
      <c r="K11" s="442"/>
      <c r="L11" s="458"/>
      <c r="M11" s="442"/>
      <c r="N11" s="442"/>
      <c r="O11" s="442"/>
      <c r="P11" s="458"/>
      <c r="Q11" s="459"/>
      <c r="R11" s="457"/>
      <c r="S11" s="457"/>
      <c r="T11" s="443"/>
      <c r="U11" s="457"/>
      <c r="V11" s="457"/>
      <c r="W11" s="443"/>
    </row>
    <row r="12" spans="1:23" s="579" customFormat="1">
      <c r="A12" s="573">
        <v>40804</v>
      </c>
      <c r="B12" s="574" t="s">
        <v>152</v>
      </c>
      <c r="C12" s="575" t="s">
        <v>148</v>
      </c>
      <c r="D12" s="576" t="s">
        <v>168</v>
      </c>
      <c r="E12" s="576">
        <v>7.68</v>
      </c>
      <c r="F12" s="576">
        <v>4.42</v>
      </c>
      <c r="G12" s="577">
        <f>E12-F12</f>
        <v>3.26</v>
      </c>
      <c r="H12" s="576">
        <f t="shared" ref="H12" si="1">G12-G10</f>
        <v>0.21699999999999964</v>
      </c>
      <c r="I12" s="576">
        <v>0</v>
      </c>
      <c r="J12" s="576"/>
      <c r="K12" s="576">
        <f t="shared" si="0"/>
        <v>3.26</v>
      </c>
      <c r="L12" s="577"/>
      <c r="M12" s="576"/>
      <c r="N12" s="576"/>
      <c r="O12" s="576"/>
      <c r="P12" s="577"/>
      <c r="Q12" s="578"/>
      <c r="R12" s="574"/>
      <c r="S12" s="574"/>
      <c r="T12" s="575"/>
      <c r="U12" s="574"/>
      <c r="V12" s="574"/>
      <c r="W12" s="575"/>
    </row>
    <row r="13" spans="1:23">
      <c r="Q13" s="439"/>
    </row>
    <row r="14" spans="1:23">
      <c r="Q14" s="439"/>
    </row>
    <row r="15" spans="1:23" s="467" customFormat="1">
      <c r="A15" s="461">
        <v>40422</v>
      </c>
      <c r="B15" s="462" t="s">
        <v>141</v>
      </c>
      <c r="C15" s="463" t="s">
        <v>150</v>
      </c>
      <c r="D15" s="462" t="s">
        <v>144</v>
      </c>
      <c r="E15" s="464">
        <v>11.71</v>
      </c>
      <c r="F15" s="464">
        <v>5.01</v>
      </c>
      <c r="G15" s="465">
        <f>E15-F15</f>
        <v>6.7000000000000011</v>
      </c>
      <c r="H15" s="464"/>
      <c r="I15" s="464"/>
      <c r="J15" s="464"/>
      <c r="K15" s="464"/>
      <c r="L15" s="465"/>
      <c r="M15" s="464"/>
      <c r="N15" s="464"/>
      <c r="O15" s="464">
        <f>-(6.7*0.9)-P7</f>
        <v>-5.1516000000000002</v>
      </c>
      <c r="P15" s="465"/>
      <c r="Q15" s="466" t="s">
        <v>170</v>
      </c>
      <c r="R15" s="462"/>
      <c r="S15" s="462"/>
      <c r="T15" s="463"/>
      <c r="U15" s="462"/>
      <c r="V15" s="462"/>
      <c r="W15" s="463"/>
    </row>
    <row r="16" spans="1:23" s="467" customFormat="1">
      <c r="A16" s="461">
        <v>40804</v>
      </c>
      <c r="B16" s="462" t="s">
        <v>167</v>
      </c>
      <c r="C16" s="463" t="s">
        <v>150</v>
      </c>
      <c r="D16" s="462"/>
      <c r="E16" s="464"/>
      <c r="F16" s="464"/>
      <c r="G16" s="465" t="s">
        <v>169</v>
      </c>
      <c r="H16" s="464"/>
      <c r="I16" s="464"/>
      <c r="J16" s="464"/>
      <c r="K16" s="464"/>
      <c r="L16" s="465"/>
      <c r="M16" s="464"/>
      <c r="N16" s="464"/>
      <c r="O16" s="464"/>
      <c r="P16" s="465"/>
      <c r="Q16" s="466"/>
      <c r="R16" s="462"/>
      <c r="S16" s="462"/>
      <c r="T16" s="463"/>
      <c r="U16" s="462"/>
      <c r="V16" s="462"/>
      <c r="W16" s="463"/>
    </row>
    <row r="17" spans="1:24">
      <c r="A17" s="430"/>
      <c r="B17" s="431"/>
      <c r="C17" s="432"/>
      <c r="D17" s="431"/>
      <c r="E17" s="436"/>
      <c r="F17" s="436"/>
      <c r="G17" s="437"/>
      <c r="H17" s="436"/>
      <c r="I17" s="436"/>
      <c r="J17" s="436"/>
      <c r="K17" s="436"/>
      <c r="L17" s="437"/>
      <c r="M17" s="436"/>
      <c r="N17" s="436"/>
      <c r="O17" s="436"/>
      <c r="P17" s="437"/>
      <c r="Q17" s="439"/>
      <c r="R17" s="431"/>
      <c r="S17" s="431"/>
      <c r="T17" s="432"/>
      <c r="U17" s="431"/>
      <c r="V17" s="431"/>
      <c r="W17" s="432"/>
    </row>
    <row r="18" spans="1:24" s="536" customFormat="1">
      <c r="A18" s="537">
        <v>40708</v>
      </c>
      <c r="B18" s="534" t="s">
        <v>152</v>
      </c>
      <c r="C18" s="535" t="s">
        <v>150</v>
      </c>
      <c r="D18" s="538" t="s">
        <v>168</v>
      </c>
      <c r="E18" s="538">
        <v>10.86</v>
      </c>
      <c r="F18" s="538">
        <v>0.86</v>
      </c>
      <c r="G18" s="539">
        <v>10</v>
      </c>
      <c r="H18" s="538"/>
      <c r="I18" s="538"/>
      <c r="J18" s="538"/>
      <c r="K18" s="538"/>
      <c r="L18" s="539"/>
      <c r="M18" s="538"/>
      <c r="N18" s="538"/>
      <c r="O18" s="538"/>
      <c r="P18" s="539"/>
      <c r="Q18" s="533"/>
      <c r="R18" s="534"/>
      <c r="S18" s="534"/>
      <c r="T18" s="535"/>
      <c r="U18" s="534"/>
      <c r="V18" s="534"/>
      <c r="W18" s="535"/>
    </row>
    <row r="19" spans="1:24" s="536" customFormat="1">
      <c r="A19" s="537">
        <v>40804</v>
      </c>
      <c r="B19" s="534" t="s">
        <v>152</v>
      </c>
      <c r="C19" s="535" t="s">
        <v>150</v>
      </c>
      <c r="D19" s="538" t="s">
        <v>168</v>
      </c>
      <c r="E19" s="538">
        <f>E18</f>
        <v>10.86</v>
      </c>
      <c r="F19" s="538">
        <v>5.34</v>
      </c>
      <c r="G19" s="539">
        <f>E19-F19</f>
        <v>5.52</v>
      </c>
      <c r="H19" s="538">
        <f>G19-G18</f>
        <v>-4.4800000000000004</v>
      </c>
      <c r="I19" s="538"/>
      <c r="J19" s="538"/>
      <c r="K19" s="538"/>
      <c r="L19" s="539"/>
      <c r="M19" s="538"/>
      <c r="N19" s="538"/>
      <c r="O19" s="538">
        <f>H19*0.9</f>
        <v>-4.0320000000000009</v>
      </c>
      <c r="P19" s="539"/>
      <c r="Q19" s="533"/>
      <c r="R19" s="534"/>
      <c r="S19" s="534"/>
      <c r="T19" s="535"/>
      <c r="U19" s="534"/>
      <c r="V19" s="534"/>
      <c r="W19" s="535"/>
    </row>
    <row r="20" spans="1:24">
      <c r="A20" s="432"/>
      <c r="B20" s="431"/>
      <c r="C20" s="432"/>
      <c r="D20" s="436"/>
      <c r="E20" s="436"/>
      <c r="F20" s="436"/>
      <c r="G20" s="437"/>
      <c r="H20" s="436"/>
      <c r="I20" s="436"/>
      <c r="J20" s="436"/>
      <c r="K20" s="436"/>
      <c r="L20" s="437"/>
      <c r="M20" s="436"/>
      <c r="N20" s="436"/>
      <c r="O20" s="436"/>
      <c r="P20" s="437"/>
      <c r="Q20" s="439"/>
      <c r="R20" s="431"/>
      <c r="S20" s="431"/>
      <c r="T20" s="432"/>
      <c r="U20" s="431"/>
      <c r="V20" s="431"/>
      <c r="W20" s="432"/>
    </row>
    <row r="21" spans="1:24">
      <c r="A21" s="432"/>
      <c r="B21" s="431"/>
      <c r="C21" s="432"/>
      <c r="D21" s="436"/>
      <c r="E21" s="436"/>
      <c r="F21" s="436"/>
      <c r="G21" s="437"/>
      <c r="H21" s="436"/>
      <c r="I21" s="436"/>
      <c r="J21" s="436"/>
      <c r="K21" s="436"/>
      <c r="L21" s="437"/>
      <c r="M21" s="436"/>
      <c r="N21" s="436"/>
      <c r="O21" s="436"/>
      <c r="P21" s="437"/>
      <c r="Q21" s="439"/>
      <c r="R21" s="431"/>
      <c r="S21" s="431"/>
      <c r="T21" s="432"/>
      <c r="U21" s="431"/>
      <c r="V21" s="431"/>
      <c r="W21" s="432"/>
    </row>
    <row r="22" spans="1:24">
      <c r="A22" s="432"/>
      <c r="B22" s="431"/>
      <c r="C22" s="432"/>
      <c r="D22" s="436"/>
      <c r="E22" s="436"/>
      <c r="F22" s="436"/>
      <c r="G22" s="437"/>
      <c r="H22" s="436"/>
      <c r="I22" s="436"/>
      <c r="J22" s="436"/>
      <c r="K22" s="436"/>
      <c r="L22" s="437"/>
      <c r="M22" s="436"/>
      <c r="N22" s="436"/>
      <c r="O22" s="436"/>
      <c r="P22" s="437"/>
      <c r="Q22" s="439"/>
      <c r="R22" s="431"/>
      <c r="S22" s="431"/>
      <c r="T22" s="432"/>
      <c r="U22" s="431"/>
      <c r="V22" s="431"/>
      <c r="W22" s="432"/>
    </row>
    <row r="23" spans="1:24">
      <c r="A23" s="432"/>
      <c r="B23" s="431"/>
      <c r="C23" s="432"/>
      <c r="D23" s="436"/>
      <c r="E23" s="436"/>
      <c r="F23" s="436"/>
      <c r="G23" s="437"/>
      <c r="H23" s="436"/>
      <c r="I23" s="436"/>
      <c r="J23" s="436"/>
      <c r="K23" s="436"/>
      <c r="L23" s="580"/>
      <c r="M23" s="582" t="s">
        <v>171</v>
      </c>
      <c r="N23" s="582"/>
      <c r="O23" s="582"/>
      <c r="P23" s="583"/>
      <c r="Q23" s="533"/>
      <c r="R23" s="534"/>
      <c r="S23" s="534"/>
      <c r="T23" s="535"/>
      <c r="U23" s="534"/>
      <c r="V23" s="534"/>
      <c r="W23" s="535"/>
      <c r="X23" s="536"/>
    </row>
    <row r="24" spans="1:24">
      <c r="A24" s="432"/>
      <c r="B24" s="431"/>
      <c r="C24" s="432"/>
      <c r="D24" s="436"/>
      <c r="E24" s="436"/>
      <c r="F24" s="436"/>
      <c r="G24" s="437"/>
      <c r="H24" s="436"/>
      <c r="I24" s="436"/>
      <c r="J24" s="436"/>
      <c r="K24" s="436"/>
      <c r="L24" s="580"/>
      <c r="M24" s="582" t="s">
        <v>172</v>
      </c>
      <c r="N24" s="582"/>
      <c r="O24" s="582"/>
      <c r="P24" s="583"/>
      <c r="Q24" s="533"/>
      <c r="R24" s="534"/>
      <c r="S24" s="534"/>
      <c r="T24" s="535"/>
      <c r="U24" s="534"/>
      <c r="V24" s="534"/>
      <c r="W24" s="535"/>
      <c r="X24" s="536"/>
    </row>
    <row r="25" spans="1:24">
      <c r="A25" s="432"/>
      <c r="B25" s="431"/>
      <c r="C25" s="432"/>
      <c r="D25" s="436"/>
      <c r="E25" s="436"/>
      <c r="F25" s="436"/>
      <c r="G25" s="437"/>
      <c r="H25" s="436"/>
      <c r="I25" s="436"/>
      <c r="J25" s="436"/>
      <c r="K25" s="436"/>
      <c r="L25" s="580"/>
      <c r="M25" s="582"/>
      <c r="N25" s="582">
        <v>-5.15</v>
      </c>
      <c r="O25" s="582"/>
      <c r="P25" s="583"/>
      <c r="Q25" s="533"/>
      <c r="R25" s="534"/>
      <c r="S25" s="534"/>
      <c r="T25" s="535"/>
      <c r="U25" s="534"/>
      <c r="V25" s="534"/>
      <c r="W25" s="535"/>
      <c r="X25" s="536"/>
    </row>
    <row r="26" spans="1:24">
      <c r="A26" s="432"/>
      <c r="B26" s="431"/>
      <c r="C26" s="432"/>
      <c r="D26" s="436"/>
      <c r="E26" s="436"/>
      <c r="F26" s="436"/>
      <c r="G26" s="437"/>
      <c r="H26" s="436"/>
      <c r="I26" s="436"/>
      <c r="J26" s="436"/>
      <c r="K26" s="436"/>
      <c r="L26" s="580"/>
      <c r="M26" s="582"/>
      <c r="N26" s="582"/>
      <c r="O26" s="582"/>
      <c r="P26" s="583"/>
      <c r="Q26" s="533"/>
      <c r="R26" s="534"/>
      <c r="S26" s="534"/>
      <c r="T26" s="535"/>
      <c r="U26" s="534"/>
      <c r="V26" s="534"/>
      <c r="W26" s="535"/>
      <c r="X26" s="536"/>
    </row>
    <row r="27" spans="1:24">
      <c r="A27" s="432"/>
      <c r="B27" s="431"/>
      <c r="C27" s="432"/>
      <c r="D27" s="436"/>
      <c r="E27" s="436"/>
      <c r="F27" s="436"/>
      <c r="G27" s="437"/>
      <c r="H27" s="436"/>
      <c r="I27" s="436"/>
      <c r="J27" s="436"/>
      <c r="K27" s="436"/>
      <c r="L27" s="580"/>
      <c r="M27" s="581"/>
      <c r="N27" s="581"/>
      <c r="O27" s="581"/>
      <c r="P27" s="580"/>
      <c r="Q27" s="439"/>
      <c r="R27" s="431"/>
      <c r="S27" s="431"/>
      <c r="T27" s="432"/>
      <c r="U27" s="431"/>
      <c r="V27" s="431"/>
      <c r="W27" s="432"/>
    </row>
    <row r="28" spans="1:24">
      <c r="A28" s="432"/>
      <c r="B28" s="431"/>
      <c r="C28" s="432"/>
      <c r="D28" s="436"/>
      <c r="E28" s="436"/>
      <c r="F28" s="436"/>
      <c r="G28" s="437"/>
      <c r="H28" s="436"/>
      <c r="I28" s="436"/>
      <c r="J28" s="436"/>
      <c r="K28" s="436"/>
      <c r="L28" s="437"/>
      <c r="M28" s="436"/>
      <c r="N28" s="436"/>
      <c r="O28" s="436"/>
      <c r="P28" s="437"/>
      <c r="Q28" s="439"/>
      <c r="R28" s="431"/>
      <c r="S28" s="431"/>
      <c r="T28" s="432"/>
      <c r="U28" s="431"/>
      <c r="V28" s="431"/>
      <c r="W28" s="432"/>
    </row>
    <row r="29" spans="1:24">
      <c r="A29" s="432"/>
      <c r="B29" s="431"/>
      <c r="C29" s="432"/>
      <c r="D29" s="436"/>
      <c r="E29" s="436"/>
      <c r="F29" s="436"/>
      <c r="G29" s="437"/>
      <c r="H29" s="436"/>
      <c r="I29" s="436"/>
      <c r="J29" s="436"/>
      <c r="K29" s="436"/>
      <c r="L29" s="437"/>
      <c r="M29" s="436"/>
      <c r="N29" s="436"/>
      <c r="O29" s="436"/>
      <c r="P29" s="437"/>
      <c r="Q29" s="439"/>
      <c r="R29" s="431"/>
      <c r="S29" s="431"/>
      <c r="T29" s="432"/>
      <c r="U29" s="431"/>
      <c r="V29" s="431"/>
      <c r="W29" s="432"/>
    </row>
    <row r="30" spans="1:24">
      <c r="A30" s="432"/>
      <c r="B30" s="431"/>
      <c r="C30" s="432"/>
      <c r="D30" s="436"/>
      <c r="E30" s="436"/>
      <c r="F30" s="436"/>
      <c r="G30" s="437"/>
      <c r="H30" s="436"/>
      <c r="I30" s="436"/>
      <c r="J30" s="436"/>
      <c r="K30" s="436"/>
      <c r="L30" s="437"/>
      <c r="M30" s="436"/>
      <c r="N30" s="436"/>
      <c r="O30" s="436"/>
      <c r="P30" s="437"/>
      <c r="Q30" s="433"/>
      <c r="R30" s="431"/>
      <c r="S30" s="431"/>
      <c r="T30" s="432"/>
      <c r="U30" s="431"/>
      <c r="V30" s="431"/>
      <c r="W30" s="432"/>
    </row>
    <row r="31" spans="1:24">
      <c r="A31" s="432"/>
      <c r="B31" s="431"/>
      <c r="C31" s="432"/>
      <c r="D31" s="436"/>
      <c r="E31" s="436"/>
      <c r="F31" s="436"/>
      <c r="G31" s="437"/>
      <c r="H31" s="436"/>
      <c r="I31" s="436"/>
      <c r="J31" s="436"/>
      <c r="K31" s="436"/>
      <c r="L31" s="437"/>
      <c r="M31" s="436"/>
      <c r="N31" s="436"/>
      <c r="O31" s="436"/>
      <c r="P31" s="437"/>
      <c r="Q31" s="433"/>
      <c r="R31" s="431"/>
      <c r="S31" s="431"/>
      <c r="T31" s="432"/>
      <c r="U31" s="431"/>
      <c r="V31" s="431"/>
      <c r="W31" s="432"/>
    </row>
    <row r="32" spans="1:24">
      <c r="A32" s="432"/>
      <c r="B32" s="431"/>
      <c r="C32" s="432"/>
      <c r="D32" s="431"/>
      <c r="E32" s="436"/>
      <c r="F32" s="436"/>
      <c r="G32" s="437"/>
      <c r="H32" s="436"/>
      <c r="I32" s="436"/>
      <c r="J32" s="436"/>
      <c r="K32" s="436"/>
      <c r="L32" s="437"/>
      <c r="M32" s="436"/>
      <c r="N32" s="436"/>
      <c r="O32" s="436"/>
      <c r="P32" s="437"/>
      <c r="Q32" s="433"/>
      <c r="R32" s="431"/>
      <c r="S32" s="431"/>
      <c r="T32" s="432"/>
      <c r="U32" s="431"/>
      <c r="V32" s="431"/>
      <c r="W32" s="432"/>
    </row>
    <row r="33" spans="1:23">
      <c r="A33" s="432"/>
      <c r="B33" s="431"/>
      <c r="C33" s="432"/>
      <c r="D33" s="431"/>
      <c r="E33" s="436"/>
      <c r="F33" s="436"/>
      <c r="G33" s="437"/>
      <c r="H33" s="436"/>
      <c r="I33" s="436"/>
      <c r="J33" s="436"/>
      <c r="K33" s="436"/>
      <c r="L33" s="437"/>
      <c r="M33" s="436"/>
      <c r="N33" s="436"/>
      <c r="O33" s="436"/>
      <c r="P33" s="437"/>
      <c r="Q33" s="433"/>
      <c r="R33" s="431"/>
      <c r="S33" s="431"/>
      <c r="T33" s="432"/>
      <c r="U33" s="431"/>
      <c r="V33" s="431"/>
      <c r="W33" s="432"/>
    </row>
    <row r="34" spans="1:23">
      <c r="A34" s="432"/>
      <c r="B34" s="431"/>
      <c r="C34" s="432"/>
      <c r="D34" s="431"/>
      <c r="E34" s="436"/>
      <c r="F34" s="436"/>
      <c r="G34" s="437"/>
      <c r="H34" s="436"/>
      <c r="I34" s="436"/>
      <c r="J34" s="436"/>
      <c r="K34" s="436"/>
      <c r="L34" s="437"/>
      <c r="M34" s="436"/>
      <c r="N34" s="436"/>
      <c r="O34" s="436"/>
      <c r="P34" s="437"/>
    </row>
    <row r="35" spans="1:23">
      <c r="D35" s="431"/>
      <c r="E35" s="431"/>
      <c r="F35" s="431"/>
      <c r="G35" s="432"/>
      <c r="H35" s="431"/>
      <c r="I35" s="431"/>
      <c r="J35" s="431"/>
      <c r="K35" s="431"/>
      <c r="L35" s="432"/>
      <c r="M35" s="431"/>
      <c r="N35" s="431"/>
      <c r="O35" s="431"/>
      <c r="P35" s="432"/>
    </row>
    <row r="36" spans="1:23">
      <c r="D36" s="431"/>
      <c r="E36" s="431"/>
      <c r="F36" s="431"/>
      <c r="G36" s="432"/>
      <c r="H36" s="431"/>
      <c r="I36" s="431"/>
      <c r="J36" s="431"/>
      <c r="K36" s="431"/>
      <c r="L36" s="432"/>
      <c r="M36" s="431"/>
      <c r="N36" s="431"/>
      <c r="O36" s="431"/>
      <c r="P36" s="432"/>
    </row>
    <row r="37" spans="1:23">
      <c r="D37" s="431"/>
      <c r="E37" s="431"/>
      <c r="F37" s="431"/>
      <c r="G37" s="432"/>
      <c r="H37" s="431"/>
      <c r="I37" s="431"/>
      <c r="J37" s="431"/>
      <c r="K37" s="431"/>
      <c r="L37" s="432"/>
      <c r="M37" s="431"/>
      <c r="N37" s="431"/>
      <c r="O37" s="431"/>
      <c r="P37" s="43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35"/>
  <sheetViews>
    <sheetView topLeftCell="A4" workbookViewId="0">
      <selection activeCell="F17" sqref="F17"/>
    </sheetView>
  </sheetViews>
  <sheetFormatPr defaultRowHeight="15"/>
  <cols>
    <col min="1" max="1" width="10" style="434" customWidth="1"/>
    <col min="3" max="3" width="9.140625" style="434"/>
    <col min="7" max="7" width="9.140625" style="434"/>
    <col min="12" max="12" width="9.140625" style="434"/>
    <col min="16" max="16" width="9.140625" style="434"/>
    <col min="17" max="17" width="24.28515625" style="435" customWidth="1"/>
    <col min="20" max="20" width="9.140625" style="434"/>
    <col min="23" max="23" width="9.140625" style="434"/>
  </cols>
  <sheetData>
    <row r="1" spans="1:23" s="268" customFormat="1" ht="11.25">
      <c r="A1" s="364"/>
      <c r="B1" s="365"/>
      <c r="C1" s="366"/>
      <c r="G1" s="367"/>
      <c r="H1" s="368" t="s">
        <v>99</v>
      </c>
      <c r="I1" s="369"/>
      <c r="K1" s="370" t="s">
        <v>100</v>
      </c>
      <c r="L1" s="371"/>
      <c r="M1" s="372"/>
      <c r="N1" s="373"/>
      <c r="O1" s="374"/>
      <c r="P1" s="375" t="s">
        <v>101</v>
      </c>
      <c r="Q1" s="376"/>
      <c r="R1" s="377" t="s">
        <v>102</v>
      </c>
      <c r="S1" s="378"/>
      <c r="T1" s="379"/>
      <c r="U1" s="380" t="s">
        <v>103</v>
      </c>
      <c r="V1" s="381"/>
      <c r="W1" s="382"/>
    </row>
    <row r="2" spans="1:23" s="268" customFormat="1" ht="11.25">
      <c r="A2" s="383"/>
      <c r="B2" s="384"/>
      <c r="C2" s="385"/>
      <c r="E2" s="386" t="s">
        <v>104</v>
      </c>
      <c r="F2" s="387" t="s">
        <v>105</v>
      </c>
      <c r="G2" s="367" t="s">
        <v>106</v>
      </c>
      <c r="H2" s="368" t="s">
        <v>106</v>
      </c>
      <c r="I2" s="388" t="s">
        <v>45</v>
      </c>
      <c r="K2" s="389" t="s">
        <v>107</v>
      </c>
      <c r="L2" s="390"/>
      <c r="M2" s="391" t="s">
        <v>108</v>
      </c>
      <c r="N2" s="392" t="s">
        <v>109</v>
      </c>
      <c r="O2" s="393" t="s">
        <v>110</v>
      </c>
      <c r="P2" s="375" t="s">
        <v>111</v>
      </c>
      <c r="Q2" s="376"/>
      <c r="R2" s="394"/>
      <c r="S2" s="394"/>
      <c r="T2" s="395" t="s">
        <v>107</v>
      </c>
      <c r="U2" s="396" t="s">
        <v>112</v>
      </c>
      <c r="V2" s="381"/>
      <c r="W2" s="395" t="s">
        <v>107</v>
      </c>
    </row>
    <row r="3" spans="1:23" s="268" customFormat="1" ht="11.25">
      <c r="A3" s="383"/>
      <c r="B3" s="384"/>
      <c r="C3" s="385" t="s">
        <v>113</v>
      </c>
      <c r="D3" s="397" t="s">
        <v>114</v>
      </c>
      <c r="E3" s="386" t="s">
        <v>115</v>
      </c>
      <c r="F3" s="387" t="s">
        <v>116</v>
      </c>
      <c r="G3" s="395" t="s">
        <v>117</v>
      </c>
      <c r="H3" s="397" t="s">
        <v>117</v>
      </c>
      <c r="I3" s="393" t="s">
        <v>40</v>
      </c>
      <c r="J3" s="397" t="s">
        <v>40</v>
      </c>
      <c r="K3" s="393" t="s">
        <v>118</v>
      </c>
      <c r="L3" s="375" t="s">
        <v>119</v>
      </c>
      <c r="M3" s="391" t="s">
        <v>120</v>
      </c>
      <c r="N3" s="392" t="s">
        <v>120</v>
      </c>
      <c r="O3" s="393" t="s">
        <v>120</v>
      </c>
      <c r="P3" s="375" t="s">
        <v>120</v>
      </c>
      <c r="Q3" s="398" t="s">
        <v>121</v>
      </c>
      <c r="R3" s="399" t="s">
        <v>122</v>
      </c>
      <c r="S3" s="399"/>
      <c r="T3" s="395" t="s">
        <v>116</v>
      </c>
      <c r="U3" s="396" t="s">
        <v>123</v>
      </c>
      <c r="V3" s="400"/>
      <c r="W3" s="395" t="s">
        <v>116</v>
      </c>
    </row>
    <row r="4" spans="1:23" s="268" customFormat="1" ht="14.25">
      <c r="A4" s="401" t="s">
        <v>124</v>
      </c>
      <c r="B4" s="402" t="s">
        <v>125</v>
      </c>
      <c r="C4" s="403" t="s">
        <v>126</v>
      </c>
      <c r="D4" s="397" t="s">
        <v>41</v>
      </c>
      <c r="E4" s="386" t="s">
        <v>34</v>
      </c>
      <c r="F4" s="387" t="s">
        <v>114</v>
      </c>
      <c r="G4" s="404" t="s">
        <v>127</v>
      </c>
      <c r="H4" s="405" t="s">
        <v>114</v>
      </c>
      <c r="I4" s="393" t="s">
        <v>43</v>
      </c>
      <c r="J4" s="397" t="s">
        <v>26</v>
      </c>
      <c r="K4" s="393"/>
      <c r="L4" s="375" t="s">
        <v>26</v>
      </c>
      <c r="M4" s="391"/>
      <c r="N4" s="373"/>
      <c r="O4" s="374"/>
      <c r="P4" s="406"/>
      <c r="Q4" s="376"/>
      <c r="R4" s="407" t="s">
        <v>128</v>
      </c>
      <c r="S4" s="407" t="s">
        <v>129</v>
      </c>
      <c r="T4" s="408" t="s">
        <v>130</v>
      </c>
      <c r="U4" s="409" t="s">
        <v>131</v>
      </c>
      <c r="V4" s="410" t="s">
        <v>132</v>
      </c>
      <c r="W4" s="408" t="s">
        <v>130</v>
      </c>
    </row>
    <row r="5" spans="1:23" s="268" customFormat="1" ht="12" thickBot="1">
      <c r="A5" s="411" t="s">
        <v>133</v>
      </c>
      <c r="B5" s="412"/>
      <c r="C5" s="413"/>
      <c r="D5" s="414"/>
      <c r="E5" s="415" t="s">
        <v>134</v>
      </c>
      <c r="F5" s="414" t="s">
        <v>135</v>
      </c>
      <c r="G5" s="416" t="s">
        <v>136</v>
      </c>
      <c r="H5" s="417" t="s">
        <v>137</v>
      </c>
      <c r="I5" s="418" t="s">
        <v>138</v>
      </c>
      <c r="J5" s="414"/>
      <c r="K5" s="419" t="s">
        <v>138</v>
      </c>
      <c r="L5" s="420"/>
      <c r="M5" s="421"/>
      <c r="N5" s="422" t="s">
        <v>139</v>
      </c>
      <c r="O5" s="422" t="s">
        <v>139</v>
      </c>
      <c r="P5" s="423" t="s">
        <v>139</v>
      </c>
      <c r="Q5" s="424"/>
      <c r="R5" s="425" t="s">
        <v>138</v>
      </c>
      <c r="S5" s="425" t="s">
        <v>138</v>
      </c>
      <c r="T5" s="426" t="s">
        <v>138</v>
      </c>
      <c r="U5" s="427" t="s">
        <v>140</v>
      </c>
      <c r="V5" s="428"/>
      <c r="W5" s="429" t="s">
        <v>138</v>
      </c>
    </row>
    <row r="6" spans="1:23" s="482" customFormat="1">
      <c r="A6" s="476">
        <v>40422</v>
      </c>
      <c r="B6" s="477" t="s">
        <v>141</v>
      </c>
      <c r="C6" s="478" t="s">
        <v>145</v>
      </c>
      <c r="D6" s="479" t="s">
        <v>144</v>
      </c>
      <c r="E6" s="479">
        <f>F6+G6</f>
        <v>7.75</v>
      </c>
      <c r="F6" s="479">
        <v>4.42</v>
      </c>
      <c r="G6" s="480">
        <v>3.33</v>
      </c>
      <c r="H6" s="479"/>
      <c r="I6" s="479"/>
      <c r="J6" s="479"/>
      <c r="K6" s="479">
        <v>3.33</v>
      </c>
      <c r="L6" s="480"/>
      <c r="M6" s="479"/>
      <c r="N6" s="479"/>
      <c r="O6" s="479"/>
      <c r="P6" s="480"/>
      <c r="Q6" s="481"/>
      <c r="R6" s="477"/>
      <c r="S6" s="477"/>
      <c r="T6" s="478"/>
      <c r="U6" s="477"/>
      <c r="V6" s="477"/>
      <c r="W6" s="478"/>
    </row>
    <row r="7" spans="1:23" s="482" customFormat="1">
      <c r="A7" s="476">
        <v>40680</v>
      </c>
      <c r="B7" s="477" t="s">
        <v>152</v>
      </c>
      <c r="C7" s="478" t="s">
        <v>149</v>
      </c>
      <c r="D7" s="479" t="s">
        <v>40</v>
      </c>
      <c r="E7" s="479">
        <v>7.75</v>
      </c>
      <c r="F7" s="479">
        <v>2.6</v>
      </c>
      <c r="G7" s="480">
        <f>E7-F7</f>
        <v>5.15</v>
      </c>
      <c r="H7" s="479">
        <f>G7-G6</f>
        <v>1.8200000000000003</v>
      </c>
      <c r="I7" s="479">
        <f>AVERAGE(2.25, 2.2, 2.2)</f>
        <v>2.2166666666666668</v>
      </c>
      <c r="J7" s="479">
        <v>0.6</v>
      </c>
      <c r="K7" s="479">
        <f>G7-I7</f>
        <v>2.9333333333333336</v>
      </c>
      <c r="L7" s="480"/>
      <c r="M7" s="479"/>
      <c r="N7" s="479">
        <f>I7*J7</f>
        <v>1.33</v>
      </c>
      <c r="O7" s="479"/>
      <c r="P7" s="480">
        <f>(K7-K6)*0.9</f>
        <v>-0.35699999999999987</v>
      </c>
      <c r="Q7" s="481"/>
      <c r="R7" s="477"/>
      <c r="S7" s="477"/>
      <c r="T7" s="478"/>
      <c r="U7" s="477"/>
      <c r="V7" s="477"/>
      <c r="W7" s="478"/>
    </row>
    <row r="8" spans="1:23" s="482" customFormat="1" ht="15.75" customHeight="1">
      <c r="A8" s="476">
        <v>40708</v>
      </c>
      <c r="B8" s="477" t="s">
        <v>152</v>
      </c>
      <c r="C8" s="478" t="s">
        <v>149</v>
      </c>
      <c r="D8" s="479" t="s">
        <v>40</v>
      </c>
      <c r="E8" s="479">
        <v>7.75</v>
      </c>
      <c r="F8" s="479">
        <f>1.25+10*0.3048</f>
        <v>4.298</v>
      </c>
      <c r="G8" s="480">
        <f>E8-F8</f>
        <v>3.452</v>
      </c>
      <c r="H8" s="479">
        <f>G8-G7</f>
        <v>-1.6980000000000004</v>
      </c>
      <c r="I8" s="479">
        <f>AVERAGE(1.35,1.54,1.36,1.38,1.32,1.42,1.45,1.37,1.3)</f>
        <v>1.387777777777778</v>
      </c>
      <c r="J8" s="479"/>
      <c r="K8" s="479">
        <f>G8-I8</f>
        <v>2.064222222222222</v>
      </c>
      <c r="L8" s="480"/>
      <c r="M8" s="479"/>
      <c r="N8" s="479"/>
      <c r="O8" s="479"/>
      <c r="P8" s="480"/>
      <c r="Q8" s="497" t="s">
        <v>173</v>
      </c>
      <c r="R8" s="477"/>
      <c r="S8" s="477"/>
      <c r="T8" s="478"/>
      <c r="U8" s="477"/>
      <c r="V8" s="477"/>
      <c r="W8" s="478"/>
    </row>
    <row r="9" spans="1:23" s="482" customFormat="1">
      <c r="A9" s="476">
        <v>40708</v>
      </c>
      <c r="B9" s="477" t="s">
        <v>152</v>
      </c>
      <c r="C9" s="478" t="s">
        <v>149</v>
      </c>
      <c r="D9" s="479" t="s">
        <v>40</v>
      </c>
      <c r="E9" s="479">
        <f>E8-10*0.3048</f>
        <v>4.702</v>
      </c>
      <c r="F9" s="479">
        <v>1.25</v>
      </c>
      <c r="G9" s="480">
        <f>E9-F9</f>
        <v>3.452</v>
      </c>
      <c r="H9" s="479"/>
      <c r="I9" s="479"/>
      <c r="J9" s="479"/>
      <c r="K9" s="479"/>
      <c r="L9" s="480"/>
      <c r="M9" s="479"/>
      <c r="N9" s="479"/>
      <c r="O9" s="479"/>
      <c r="P9" s="480"/>
      <c r="Q9" s="497"/>
      <c r="R9" s="477"/>
      <c r="S9" s="477"/>
      <c r="T9" s="478"/>
      <c r="U9" s="477"/>
      <c r="V9" s="477"/>
      <c r="W9" s="478"/>
    </row>
    <row r="10" spans="1:23">
      <c r="A10" s="584" t="s">
        <v>174</v>
      </c>
      <c r="B10" s="431"/>
      <c r="C10" s="432"/>
      <c r="D10" s="436"/>
      <c r="E10" s="436"/>
      <c r="F10" s="436"/>
      <c r="G10" s="437"/>
      <c r="H10" s="436"/>
      <c r="I10" s="436"/>
      <c r="J10" s="436"/>
      <c r="K10" s="436"/>
      <c r="L10" s="437"/>
      <c r="M10" s="436"/>
      <c r="N10" s="436"/>
      <c r="O10" s="436"/>
      <c r="P10" s="437"/>
      <c r="Q10" s="475"/>
      <c r="R10" s="431"/>
      <c r="S10" s="431"/>
      <c r="T10" s="432"/>
      <c r="U10" s="431"/>
      <c r="V10" s="431"/>
      <c r="W10" s="432"/>
    </row>
    <row r="11" spans="1:23" s="489" customFormat="1">
      <c r="A11" s="483">
        <v>40804</v>
      </c>
      <c r="B11" s="484" t="s">
        <v>152</v>
      </c>
      <c r="C11" s="485" t="s">
        <v>149</v>
      </c>
      <c r="D11" s="486" t="s">
        <v>142</v>
      </c>
      <c r="E11" s="486">
        <v>6.23</v>
      </c>
      <c r="F11" s="486">
        <v>4.16</v>
      </c>
      <c r="G11" s="487">
        <f>E11-F11</f>
        <v>2.0700000000000003</v>
      </c>
      <c r="H11" s="486"/>
      <c r="I11" s="486"/>
      <c r="J11" s="486"/>
      <c r="K11" s="486"/>
      <c r="L11" s="487"/>
      <c r="M11" s="486"/>
      <c r="N11" s="486"/>
      <c r="O11" s="486"/>
      <c r="P11" s="487"/>
      <c r="Q11" s="488" t="s">
        <v>156</v>
      </c>
      <c r="R11" s="484"/>
      <c r="S11" s="484"/>
      <c r="T11" s="485"/>
      <c r="U11" s="484"/>
      <c r="V11" s="484"/>
      <c r="W11" s="485"/>
    </row>
    <row r="13" spans="1:23" s="510" customFormat="1">
      <c r="A13" s="505">
        <v>40422</v>
      </c>
      <c r="B13" s="506" t="s">
        <v>141</v>
      </c>
      <c r="C13" s="507" t="s">
        <v>150</v>
      </c>
      <c r="D13" s="506" t="s">
        <v>144</v>
      </c>
      <c r="E13" s="508" t="s">
        <v>142</v>
      </c>
      <c r="F13" s="508">
        <v>5.26</v>
      </c>
      <c r="G13" s="509" t="e">
        <f>E13-F13</f>
        <v>#VALUE!</v>
      </c>
      <c r="H13" s="508" t="e">
        <f>G13-#REF!</f>
        <v>#VALUE!</v>
      </c>
      <c r="I13" s="508"/>
      <c r="J13" s="508"/>
      <c r="K13" s="508"/>
      <c r="L13" s="509"/>
      <c r="M13" s="508"/>
      <c r="N13" s="508"/>
      <c r="O13" s="508"/>
      <c r="P13" s="509"/>
      <c r="Q13" s="511"/>
      <c r="R13" s="506"/>
      <c r="S13" s="506"/>
      <c r="T13" s="507"/>
      <c r="U13" s="506"/>
      <c r="V13" s="506"/>
      <c r="W13" s="507"/>
    </row>
    <row r="14" spans="1:23" s="510" customFormat="1">
      <c r="A14" s="505">
        <v>40804</v>
      </c>
      <c r="B14" s="506" t="s">
        <v>152</v>
      </c>
      <c r="C14" s="507" t="s">
        <v>150</v>
      </c>
      <c r="D14" s="508" t="s">
        <v>142</v>
      </c>
      <c r="E14" s="508" t="s">
        <v>142</v>
      </c>
      <c r="F14" s="508">
        <v>4.57</v>
      </c>
      <c r="G14" s="509" t="e">
        <f>E14-F14</f>
        <v>#VALUE!</v>
      </c>
      <c r="H14" s="508" t="e">
        <f>G14-'MB2-kmE28'!G16</f>
        <v>#VALUE!</v>
      </c>
      <c r="I14" s="508"/>
      <c r="J14" s="508"/>
      <c r="K14" s="508"/>
      <c r="L14" s="509"/>
      <c r="M14" s="508"/>
      <c r="N14" s="508"/>
      <c r="O14" s="508"/>
      <c r="P14" s="509"/>
      <c r="Q14" s="511"/>
      <c r="R14" s="506"/>
      <c r="S14" s="506"/>
      <c r="T14" s="507"/>
      <c r="U14" s="506"/>
      <c r="V14" s="506"/>
      <c r="W14" s="507"/>
    </row>
    <row r="16" spans="1:23" s="525" customFormat="1" ht="15" customHeight="1">
      <c r="A16" s="519">
        <v>40708</v>
      </c>
      <c r="B16" s="520" t="s">
        <v>152</v>
      </c>
      <c r="C16" s="521" t="s">
        <v>150</v>
      </c>
      <c r="D16" s="522" t="s">
        <v>40</v>
      </c>
      <c r="E16" s="522">
        <f>F16+G16</f>
        <v>10.68</v>
      </c>
      <c r="F16" s="522">
        <v>0.68</v>
      </c>
      <c r="G16" s="523">
        <v>10</v>
      </c>
      <c r="H16" s="522"/>
      <c r="I16" s="522">
        <f>AVERAGE(2.08, 3.2,3.2,1.5,2.07,2.2,2.27,2.58,3.2,3.2,1.95,2.28,2.16,2.04)</f>
        <v>2.4235714285714285</v>
      </c>
      <c r="J16" s="522"/>
      <c r="K16" s="522"/>
      <c r="L16" s="523"/>
      <c r="M16" s="522"/>
      <c r="N16" s="522"/>
      <c r="O16" s="522"/>
      <c r="P16" s="523"/>
      <c r="Q16" s="524" t="s">
        <v>151</v>
      </c>
      <c r="R16" s="520"/>
      <c r="S16" s="520"/>
      <c r="T16" s="521"/>
      <c r="U16" s="520"/>
      <c r="V16" s="520"/>
      <c r="W16" s="521"/>
    </row>
    <row r="17" spans="1:23">
      <c r="A17" s="432"/>
      <c r="B17" s="431"/>
      <c r="C17" s="432"/>
      <c r="D17" s="436"/>
      <c r="E17" s="436"/>
      <c r="F17" s="436"/>
      <c r="G17" s="437"/>
      <c r="H17" s="436"/>
      <c r="I17" s="436"/>
      <c r="J17" s="436"/>
      <c r="K17" s="436"/>
      <c r="L17" s="437"/>
      <c r="M17" s="436"/>
      <c r="N17" s="436"/>
      <c r="O17" s="436"/>
      <c r="P17" s="437"/>
      <c r="Q17" s="440"/>
      <c r="R17" s="431"/>
      <c r="S17" s="431"/>
      <c r="T17" s="432"/>
      <c r="U17" s="431"/>
      <c r="V17" s="431"/>
      <c r="W17" s="432"/>
    </row>
    <row r="18" spans="1:23">
      <c r="A18" s="432"/>
      <c r="B18" s="431"/>
      <c r="C18" s="432"/>
      <c r="D18" s="436"/>
      <c r="E18" s="436"/>
      <c r="F18" s="436"/>
      <c r="G18" s="437"/>
      <c r="H18" s="436"/>
      <c r="I18" s="436"/>
      <c r="J18" s="436"/>
      <c r="K18" s="436"/>
      <c r="L18" s="437"/>
      <c r="M18" s="436"/>
      <c r="N18" s="436"/>
      <c r="O18" s="436"/>
      <c r="P18" s="437"/>
      <c r="Q18" s="440"/>
      <c r="R18" s="431"/>
      <c r="S18" s="431"/>
      <c r="T18" s="432"/>
      <c r="U18" s="431"/>
      <c r="V18" s="431"/>
      <c r="W18" s="432"/>
    </row>
    <row r="19" spans="1:23">
      <c r="A19" s="432"/>
      <c r="B19" s="431"/>
      <c r="C19" s="432"/>
      <c r="D19" s="436"/>
      <c r="E19" s="436"/>
      <c r="F19" s="436"/>
      <c r="G19" s="437"/>
      <c r="H19" s="436"/>
      <c r="I19" s="436"/>
      <c r="J19" s="436"/>
      <c r="K19" s="436"/>
      <c r="L19" s="437"/>
      <c r="M19" s="436"/>
      <c r="N19" s="436"/>
      <c r="O19" s="436"/>
      <c r="P19" s="437"/>
      <c r="Q19" s="440"/>
      <c r="R19" s="431"/>
      <c r="S19" s="431"/>
      <c r="T19" s="432"/>
      <c r="U19" s="431"/>
      <c r="V19" s="431"/>
      <c r="W19" s="432"/>
    </row>
    <row r="20" spans="1:23">
      <c r="A20" s="432"/>
      <c r="B20" s="431"/>
      <c r="C20" s="432"/>
      <c r="D20" s="436"/>
      <c r="E20" s="436"/>
      <c r="F20" s="436"/>
      <c r="G20" s="437"/>
      <c r="H20" s="436"/>
      <c r="I20" s="436"/>
      <c r="J20" s="436"/>
      <c r="K20" s="436"/>
      <c r="L20" s="437"/>
      <c r="M20" s="436"/>
      <c r="N20" s="436"/>
      <c r="O20" s="436"/>
      <c r="P20" s="437"/>
      <c r="Q20" s="440"/>
      <c r="R20" s="431"/>
      <c r="S20" s="431"/>
      <c r="T20" s="432"/>
      <c r="U20" s="431"/>
      <c r="V20" s="431"/>
      <c r="W20" s="432"/>
    </row>
    <row r="21" spans="1:23">
      <c r="A21" s="432"/>
      <c r="B21" s="431"/>
      <c r="C21" s="432"/>
      <c r="D21" s="436"/>
      <c r="E21" s="436"/>
      <c r="F21" s="436"/>
      <c r="G21" s="437"/>
      <c r="H21" s="436"/>
      <c r="I21" s="436"/>
      <c r="J21" s="436"/>
      <c r="K21" s="436"/>
      <c r="L21" s="437"/>
      <c r="M21" s="436"/>
      <c r="N21" s="436"/>
      <c r="O21" s="436"/>
      <c r="P21" s="437"/>
      <c r="Q21" s="440"/>
      <c r="R21" s="431"/>
      <c r="S21" s="431"/>
      <c r="T21" s="432"/>
      <c r="U21" s="431"/>
      <c r="V21" s="431"/>
      <c r="W21" s="432"/>
    </row>
    <row r="22" spans="1:23">
      <c r="A22" s="432"/>
      <c r="B22" s="431"/>
      <c r="C22" s="432"/>
      <c r="D22" s="436"/>
      <c r="E22" s="436"/>
      <c r="F22" s="436"/>
      <c r="G22" s="437"/>
      <c r="H22" s="436"/>
      <c r="I22" s="436"/>
      <c r="J22" s="436"/>
      <c r="K22" s="436"/>
      <c r="L22" s="437"/>
      <c r="M22" s="436"/>
      <c r="N22" s="436"/>
      <c r="O22" s="436"/>
      <c r="P22" s="437"/>
      <c r="Q22" s="440"/>
      <c r="R22" s="431"/>
      <c r="S22" s="431"/>
      <c r="T22" s="432"/>
      <c r="U22" s="431"/>
      <c r="V22" s="431"/>
      <c r="W22" s="432"/>
    </row>
    <row r="23" spans="1:23">
      <c r="A23" s="432"/>
      <c r="B23" s="431"/>
      <c r="C23" s="432"/>
      <c r="D23" s="436"/>
      <c r="E23" s="436"/>
      <c r="F23" s="436"/>
      <c r="G23" s="437"/>
      <c r="H23" s="436"/>
      <c r="I23" s="436"/>
      <c r="J23" s="436"/>
      <c r="K23" s="436"/>
      <c r="L23" s="437"/>
      <c r="M23" s="436"/>
      <c r="N23" s="436"/>
      <c r="O23" s="436"/>
      <c r="P23" s="437"/>
      <c r="Q23" s="440"/>
      <c r="R23" s="431"/>
      <c r="S23" s="431"/>
      <c r="T23" s="432"/>
      <c r="U23" s="431"/>
      <c r="V23" s="431"/>
      <c r="W23" s="432"/>
    </row>
    <row r="24" spans="1:23">
      <c r="A24" s="432"/>
      <c r="B24" s="431"/>
      <c r="C24" s="432"/>
      <c r="D24" s="436"/>
      <c r="E24" s="436"/>
      <c r="F24" s="436"/>
      <c r="G24" s="437"/>
      <c r="H24" s="436"/>
      <c r="I24" s="436"/>
      <c r="J24" s="436"/>
      <c r="K24" s="436"/>
      <c r="L24" s="437"/>
      <c r="M24" s="436"/>
      <c r="N24" s="436"/>
      <c r="O24" s="436"/>
      <c r="P24" s="437"/>
      <c r="Q24" s="440"/>
      <c r="R24" s="431"/>
      <c r="S24" s="431"/>
      <c r="T24" s="432"/>
      <c r="U24" s="431"/>
      <c r="V24" s="431"/>
      <c r="W24" s="432"/>
    </row>
    <row r="25" spans="1:23">
      <c r="A25" s="432"/>
      <c r="B25" s="431"/>
      <c r="C25" s="432"/>
      <c r="D25" s="436"/>
      <c r="E25" s="436"/>
      <c r="F25" s="436"/>
      <c r="G25" s="437"/>
      <c r="H25" s="436"/>
      <c r="I25" s="436"/>
      <c r="J25" s="436"/>
      <c r="K25" s="436"/>
      <c r="L25" s="437"/>
      <c r="M25" s="436"/>
      <c r="N25" s="436"/>
      <c r="O25" s="436"/>
      <c r="P25" s="437"/>
      <c r="Q25" s="440"/>
      <c r="R25" s="431"/>
      <c r="S25" s="431"/>
      <c r="T25" s="432"/>
      <c r="U25" s="431"/>
      <c r="V25" s="431"/>
      <c r="W25" s="432"/>
    </row>
    <row r="26" spans="1:23">
      <c r="A26" s="432"/>
      <c r="B26" s="431"/>
      <c r="C26" s="432"/>
      <c r="D26" s="436"/>
      <c r="E26" s="436"/>
      <c r="F26" s="436"/>
      <c r="G26" s="437"/>
      <c r="H26" s="436"/>
      <c r="I26" s="436"/>
      <c r="J26" s="436"/>
      <c r="K26" s="436"/>
      <c r="L26" s="437"/>
      <c r="M26" s="436"/>
      <c r="N26" s="436"/>
      <c r="O26" s="436"/>
      <c r="P26" s="437"/>
      <c r="Q26" s="440"/>
      <c r="R26" s="431"/>
      <c r="S26" s="431"/>
      <c r="T26" s="432"/>
      <c r="U26" s="431"/>
      <c r="V26" s="431"/>
      <c r="W26" s="432"/>
    </row>
    <row r="27" spans="1:23">
      <c r="A27" s="432"/>
      <c r="B27" s="431"/>
      <c r="C27" s="432"/>
      <c r="D27" s="436"/>
      <c r="E27" s="436"/>
      <c r="F27" s="436"/>
      <c r="G27" s="437"/>
      <c r="H27" s="436"/>
      <c r="I27" s="436"/>
      <c r="J27" s="436"/>
      <c r="K27" s="436"/>
      <c r="L27" s="437"/>
      <c r="M27" s="436"/>
      <c r="N27" s="436"/>
      <c r="O27" s="436"/>
      <c r="P27" s="437"/>
      <c r="Q27" s="440"/>
      <c r="R27" s="431"/>
      <c r="S27" s="431"/>
      <c r="T27" s="432"/>
      <c r="U27" s="431"/>
      <c r="V27" s="431"/>
      <c r="W27" s="432"/>
    </row>
    <row r="28" spans="1:23">
      <c r="A28" s="432"/>
      <c r="B28" s="431"/>
      <c r="C28" s="432"/>
      <c r="D28" s="436"/>
      <c r="E28" s="436"/>
      <c r="F28" s="436"/>
      <c r="G28" s="437"/>
      <c r="H28" s="436"/>
      <c r="I28" s="436"/>
      <c r="J28" s="436"/>
      <c r="K28" s="436"/>
      <c r="L28" s="437"/>
      <c r="M28" s="436"/>
      <c r="N28" s="436"/>
      <c r="O28" s="436"/>
      <c r="P28" s="437"/>
      <c r="Q28" s="440"/>
      <c r="R28" s="431"/>
      <c r="S28" s="431"/>
      <c r="T28" s="432"/>
      <c r="U28" s="431"/>
      <c r="V28" s="431"/>
      <c r="W28" s="432"/>
    </row>
    <row r="29" spans="1:23">
      <c r="A29" s="432"/>
      <c r="B29" s="431"/>
      <c r="C29" s="432"/>
      <c r="D29" s="436"/>
      <c r="E29" s="436"/>
      <c r="F29" s="436"/>
      <c r="G29" s="437"/>
      <c r="H29" s="436"/>
      <c r="I29" s="436"/>
      <c r="J29" s="436"/>
      <c r="K29" s="436"/>
      <c r="L29" s="437"/>
      <c r="M29" s="436"/>
      <c r="N29" s="436"/>
      <c r="O29" s="436"/>
      <c r="P29" s="437"/>
      <c r="Q29" s="440"/>
      <c r="R29" s="431"/>
      <c r="S29" s="431"/>
      <c r="T29" s="432"/>
      <c r="U29" s="431"/>
      <c r="V29" s="431"/>
      <c r="W29" s="432"/>
    </row>
    <row r="30" spans="1:23">
      <c r="A30" s="432"/>
      <c r="B30" s="431"/>
      <c r="C30" s="432"/>
      <c r="D30" s="436"/>
      <c r="E30" s="436"/>
      <c r="F30" s="436"/>
      <c r="G30" s="437"/>
      <c r="H30" s="436"/>
      <c r="I30" s="436"/>
      <c r="J30" s="436"/>
      <c r="K30" s="436"/>
      <c r="L30" s="437"/>
      <c r="M30" s="436"/>
      <c r="N30" s="436"/>
      <c r="O30" s="436"/>
      <c r="P30" s="437"/>
      <c r="Q30" s="440"/>
      <c r="R30" s="431"/>
      <c r="S30" s="431"/>
      <c r="T30" s="432"/>
      <c r="U30" s="431"/>
      <c r="V30" s="431"/>
      <c r="W30" s="432"/>
    </row>
    <row r="31" spans="1:23">
      <c r="A31" s="432"/>
      <c r="B31" s="431"/>
      <c r="C31" s="432"/>
      <c r="D31" s="436"/>
      <c r="E31" s="436"/>
      <c r="F31" s="436"/>
      <c r="G31" s="437"/>
      <c r="H31" s="436"/>
      <c r="I31" s="436"/>
      <c r="J31" s="436"/>
      <c r="K31" s="436"/>
      <c r="L31" s="437"/>
      <c r="M31" s="436"/>
      <c r="N31" s="436"/>
      <c r="O31" s="436"/>
      <c r="P31" s="437"/>
      <c r="Q31" s="440"/>
      <c r="R31" s="431"/>
      <c r="S31" s="431"/>
      <c r="T31" s="432"/>
      <c r="U31" s="431"/>
      <c r="V31" s="431"/>
      <c r="W31" s="432"/>
    </row>
    <row r="32" spans="1:23">
      <c r="A32" s="432"/>
      <c r="B32" s="431"/>
      <c r="C32" s="432"/>
      <c r="D32" s="436"/>
      <c r="E32" s="436"/>
      <c r="F32" s="436"/>
      <c r="G32" s="437"/>
      <c r="H32" s="436"/>
      <c r="I32" s="436"/>
      <c r="J32" s="436"/>
      <c r="K32" s="436"/>
      <c r="L32" s="437"/>
      <c r="M32" s="436"/>
      <c r="N32" s="436"/>
      <c r="O32" s="436"/>
      <c r="P32" s="437"/>
      <c r="Q32" s="440"/>
      <c r="R32" s="431"/>
      <c r="S32" s="431"/>
      <c r="T32" s="432"/>
      <c r="U32" s="431"/>
      <c r="V32" s="431"/>
      <c r="W32" s="432"/>
    </row>
    <row r="33" spans="1:23">
      <c r="A33" s="432"/>
      <c r="B33" s="431"/>
      <c r="C33" s="432"/>
      <c r="D33" s="436"/>
      <c r="E33" s="436"/>
      <c r="F33" s="436"/>
      <c r="G33" s="437"/>
      <c r="H33" s="436"/>
      <c r="I33" s="436"/>
      <c r="J33" s="436"/>
      <c r="K33" s="436"/>
      <c r="L33" s="437"/>
      <c r="M33" s="436"/>
      <c r="N33" s="436"/>
      <c r="O33" s="436"/>
      <c r="P33" s="437"/>
      <c r="Q33" s="440"/>
      <c r="R33" s="431"/>
      <c r="S33" s="431"/>
      <c r="T33" s="432"/>
      <c r="U33" s="431"/>
      <c r="V33" s="431"/>
      <c r="W33" s="432"/>
    </row>
    <row r="34" spans="1:23">
      <c r="A34" s="432"/>
      <c r="B34" s="431"/>
      <c r="C34" s="432"/>
      <c r="D34" s="436"/>
      <c r="E34" s="436"/>
      <c r="F34" s="436"/>
      <c r="G34" s="437"/>
      <c r="H34" s="431"/>
      <c r="I34" s="431"/>
      <c r="J34" s="431"/>
      <c r="K34" s="431"/>
      <c r="L34" s="432"/>
      <c r="M34" s="431"/>
      <c r="N34" s="431"/>
      <c r="O34" s="431"/>
      <c r="P34" s="432"/>
      <c r="Q34" s="440"/>
      <c r="R34" s="431"/>
      <c r="S34" s="431"/>
      <c r="T34" s="432"/>
      <c r="U34" s="431"/>
      <c r="V34" s="431"/>
      <c r="W34" s="432"/>
    </row>
    <row r="35" spans="1:23">
      <c r="A35" s="432"/>
      <c r="B35" s="431"/>
      <c r="C35" s="432"/>
      <c r="D35" s="431"/>
      <c r="E35" s="431"/>
      <c r="F35" s="431"/>
      <c r="G35" s="43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W33"/>
  <sheetViews>
    <sheetView workbookViewId="0">
      <selection activeCell="H14" sqref="H14"/>
    </sheetView>
  </sheetViews>
  <sheetFormatPr defaultRowHeight="15"/>
  <cols>
    <col min="1" max="1" width="11.7109375" style="434" customWidth="1"/>
    <col min="3" max="3" width="9.140625" style="434"/>
    <col min="7" max="7" width="9.140625" style="434"/>
    <col min="12" max="12" width="9.140625" style="434"/>
    <col min="16" max="16" width="9.140625" style="434"/>
    <col min="17" max="17" width="24.28515625" style="435" customWidth="1"/>
    <col min="20" max="20" width="9.140625" style="434"/>
    <col min="23" max="23" width="9.140625" style="434"/>
  </cols>
  <sheetData>
    <row r="1" spans="1:23" s="268" customFormat="1" ht="11.25">
      <c r="A1" s="364"/>
      <c r="B1" s="365"/>
      <c r="C1" s="366"/>
      <c r="G1" s="367"/>
      <c r="H1" s="368" t="s">
        <v>99</v>
      </c>
      <c r="I1" s="369"/>
      <c r="K1" s="370" t="s">
        <v>100</v>
      </c>
      <c r="L1" s="371"/>
      <c r="M1" s="372"/>
      <c r="N1" s="373"/>
      <c r="O1" s="374"/>
      <c r="P1" s="375" t="s">
        <v>101</v>
      </c>
      <c r="Q1" s="376"/>
      <c r="R1" s="377" t="s">
        <v>102</v>
      </c>
      <c r="S1" s="378"/>
      <c r="T1" s="379"/>
      <c r="U1" s="380" t="s">
        <v>103</v>
      </c>
      <c r="V1" s="381"/>
      <c r="W1" s="382"/>
    </row>
    <row r="2" spans="1:23" s="268" customFormat="1" ht="11.25">
      <c r="A2" s="383"/>
      <c r="B2" s="384"/>
      <c r="C2" s="385"/>
      <c r="E2" s="386" t="s">
        <v>104</v>
      </c>
      <c r="F2" s="387" t="s">
        <v>105</v>
      </c>
      <c r="G2" s="367" t="s">
        <v>106</v>
      </c>
      <c r="H2" s="368" t="s">
        <v>106</v>
      </c>
      <c r="I2" s="388" t="s">
        <v>45</v>
      </c>
      <c r="K2" s="389" t="s">
        <v>107</v>
      </c>
      <c r="L2" s="390"/>
      <c r="M2" s="391" t="s">
        <v>108</v>
      </c>
      <c r="N2" s="392" t="s">
        <v>109</v>
      </c>
      <c r="O2" s="393" t="s">
        <v>110</v>
      </c>
      <c r="P2" s="375" t="s">
        <v>111</v>
      </c>
      <c r="Q2" s="376"/>
      <c r="R2" s="394"/>
      <c r="S2" s="394"/>
      <c r="T2" s="395" t="s">
        <v>107</v>
      </c>
      <c r="U2" s="396" t="s">
        <v>112</v>
      </c>
      <c r="V2" s="381"/>
      <c r="W2" s="395" t="s">
        <v>107</v>
      </c>
    </row>
    <row r="3" spans="1:23" s="268" customFormat="1" ht="11.25">
      <c r="A3" s="383"/>
      <c r="B3" s="384"/>
      <c r="C3" s="385" t="s">
        <v>113</v>
      </c>
      <c r="D3" s="397" t="s">
        <v>114</v>
      </c>
      <c r="E3" s="386" t="s">
        <v>115</v>
      </c>
      <c r="F3" s="387" t="s">
        <v>116</v>
      </c>
      <c r="G3" s="395" t="s">
        <v>117</v>
      </c>
      <c r="H3" s="397" t="s">
        <v>117</v>
      </c>
      <c r="I3" s="393" t="s">
        <v>40</v>
      </c>
      <c r="J3" s="397" t="s">
        <v>40</v>
      </c>
      <c r="K3" s="393" t="s">
        <v>118</v>
      </c>
      <c r="L3" s="375" t="s">
        <v>119</v>
      </c>
      <c r="M3" s="391" t="s">
        <v>120</v>
      </c>
      <c r="N3" s="392" t="s">
        <v>120</v>
      </c>
      <c r="O3" s="393" t="s">
        <v>120</v>
      </c>
      <c r="P3" s="375" t="s">
        <v>120</v>
      </c>
      <c r="Q3" s="398" t="s">
        <v>121</v>
      </c>
      <c r="R3" s="399" t="s">
        <v>122</v>
      </c>
      <c r="S3" s="399"/>
      <c r="T3" s="395" t="s">
        <v>116</v>
      </c>
      <c r="U3" s="396" t="s">
        <v>123</v>
      </c>
      <c r="V3" s="400"/>
      <c r="W3" s="395" t="s">
        <v>116</v>
      </c>
    </row>
    <row r="4" spans="1:23" s="268" customFormat="1" ht="14.25">
      <c r="A4" s="401" t="s">
        <v>124</v>
      </c>
      <c r="B4" s="402" t="s">
        <v>125</v>
      </c>
      <c r="C4" s="403" t="s">
        <v>126</v>
      </c>
      <c r="D4" s="397" t="s">
        <v>41</v>
      </c>
      <c r="E4" s="386" t="s">
        <v>34</v>
      </c>
      <c r="F4" s="387" t="s">
        <v>114</v>
      </c>
      <c r="G4" s="404" t="s">
        <v>127</v>
      </c>
      <c r="H4" s="405" t="s">
        <v>114</v>
      </c>
      <c r="I4" s="393" t="s">
        <v>43</v>
      </c>
      <c r="J4" s="397" t="s">
        <v>26</v>
      </c>
      <c r="K4" s="393"/>
      <c r="L4" s="375" t="s">
        <v>26</v>
      </c>
      <c r="M4" s="391"/>
      <c r="N4" s="373"/>
      <c r="O4" s="374"/>
      <c r="P4" s="406"/>
      <c r="Q4" s="376"/>
      <c r="R4" s="407" t="s">
        <v>128</v>
      </c>
      <c r="S4" s="407" t="s">
        <v>129</v>
      </c>
      <c r="T4" s="408" t="s">
        <v>130</v>
      </c>
      <c r="U4" s="409" t="s">
        <v>131</v>
      </c>
      <c r="V4" s="410" t="s">
        <v>132</v>
      </c>
      <c r="W4" s="408" t="s">
        <v>130</v>
      </c>
    </row>
    <row r="5" spans="1:23" s="268" customFormat="1" ht="12" thickBot="1">
      <c r="A5" s="411" t="s">
        <v>133</v>
      </c>
      <c r="B5" s="412"/>
      <c r="C5" s="413"/>
      <c r="D5" s="414"/>
      <c r="E5" s="415" t="s">
        <v>134</v>
      </c>
      <c r="F5" s="414" t="s">
        <v>135</v>
      </c>
      <c r="G5" s="416" t="s">
        <v>136</v>
      </c>
      <c r="H5" s="417" t="s">
        <v>137</v>
      </c>
      <c r="I5" s="418" t="s">
        <v>138</v>
      </c>
      <c r="J5" s="414"/>
      <c r="K5" s="419" t="s">
        <v>138</v>
      </c>
      <c r="L5" s="420"/>
      <c r="M5" s="421"/>
      <c r="N5" s="422" t="s">
        <v>139</v>
      </c>
      <c r="O5" s="422" t="s">
        <v>139</v>
      </c>
      <c r="P5" s="423" t="s">
        <v>139</v>
      </c>
      <c r="Q5" s="424"/>
      <c r="R5" s="425" t="s">
        <v>138</v>
      </c>
      <c r="S5" s="425" t="s">
        <v>138</v>
      </c>
      <c r="T5" s="426" t="s">
        <v>138</v>
      </c>
      <c r="U5" s="427" t="s">
        <v>140</v>
      </c>
      <c r="V5" s="428"/>
      <c r="W5" s="429" t="s">
        <v>138</v>
      </c>
    </row>
    <row r="6" spans="1:23" s="552" customFormat="1">
      <c r="A6" s="541">
        <v>40422</v>
      </c>
      <c r="B6" s="542" t="s">
        <v>141</v>
      </c>
      <c r="C6" s="543" t="s">
        <v>147</v>
      </c>
      <c r="D6" s="542" t="s">
        <v>144</v>
      </c>
      <c r="E6" s="544">
        <f>25*0.3048</f>
        <v>7.62</v>
      </c>
      <c r="F6" s="544">
        <v>4.16</v>
      </c>
      <c r="G6" s="545">
        <f>E6-F6</f>
        <v>3.46</v>
      </c>
      <c r="H6" s="544"/>
      <c r="I6" s="544"/>
      <c r="J6" s="544"/>
      <c r="K6" s="544"/>
      <c r="L6" s="545"/>
      <c r="M6" s="544"/>
      <c r="N6" s="544"/>
      <c r="O6" s="544"/>
      <c r="P6" s="545"/>
      <c r="Q6" s="546"/>
      <c r="R6" s="547"/>
      <c r="S6" s="547"/>
      <c r="T6" s="548"/>
      <c r="U6" s="549"/>
      <c r="V6" s="550"/>
      <c r="W6" s="551"/>
    </row>
    <row r="7" spans="1:23" s="553" customFormat="1">
      <c r="A7" s="541">
        <v>40680</v>
      </c>
      <c r="B7" s="542" t="s">
        <v>152</v>
      </c>
      <c r="C7" s="543" t="s">
        <v>147</v>
      </c>
      <c r="D7" s="542" t="s">
        <v>40</v>
      </c>
      <c r="E7" s="544">
        <f>25*0.3048</f>
        <v>7.62</v>
      </c>
      <c r="F7" s="544">
        <v>1.5</v>
      </c>
      <c r="G7" s="545">
        <f>E7-F7</f>
        <v>6.12</v>
      </c>
      <c r="H7" s="544">
        <f>G7-G6</f>
        <v>2.66</v>
      </c>
      <c r="I7" s="544">
        <v>2.35</v>
      </c>
      <c r="J7" s="544">
        <v>0.6</v>
      </c>
      <c r="K7" s="544">
        <f>G7-I7</f>
        <v>3.77</v>
      </c>
      <c r="L7" s="545"/>
      <c r="M7" s="544"/>
      <c r="N7" s="544">
        <f>0.6*((H7+I7)/2)</f>
        <v>1.5029999999999999</v>
      </c>
      <c r="O7" s="544"/>
      <c r="P7" s="545"/>
      <c r="Q7" s="546" t="s">
        <v>175</v>
      </c>
      <c r="R7" s="542"/>
      <c r="S7" s="542"/>
      <c r="T7" s="543"/>
      <c r="U7" s="542"/>
      <c r="V7" s="542"/>
      <c r="W7" s="543"/>
    </row>
    <row r="8" spans="1:23" s="553" customFormat="1">
      <c r="A8" s="541">
        <v>40708</v>
      </c>
      <c r="B8" s="542" t="s">
        <v>152</v>
      </c>
      <c r="C8" s="543" t="s">
        <v>149</v>
      </c>
      <c r="D8" s="542" t="s">
        <v>143</v>
      </c>
      <c r="E8" s="544">
        <f>E7</f>
        <v>7.62</v>
      </c>
      <c r="F8" s="544">
        <f>1.53+1.2</f>
        <v>2.73</v>
      </c>
      <c r="G8" s="545">
        <f>E8-F8</f>
        <v>4.8900000000000006</v>
      </c>
      <c r="H8" s="544">
        <f>G8-G7</f>
        <v>-1.2299999999999995</v>
      </c>
      <c r="J8" s="544"/>
      <c r="K8" s="544"/>
      <c r="L8" s="545"/>
      <c r="M8" s="544"/>
      <c r="N8" s="544"/>
      <c r="O8" s="544"/>
      <c r="P8" s="545"/>
      <c r="Q8" s="546"/>
      <c r="R8" s="542"/>
      <c r="S8" s="542"/>
      <c r="T8" s="543"/>
      <c r="U8" s="542"/>
      <c r="V8" s="542"/>
      <c r="W8" s="543"/>
    </row>
    <row r="9" spans="1:23" s="553" customFormat="1">
      <c r="A9" s="541">
        <v>40777</v>
      </c>
      <c r="B9" s="542" t="s">
        <v>152</v>
      </c>
      <c r="C9" s="543" t="s">
        <v>147</v>
      </c>
      <c r="D9" s="542" t="s">
        <v>168</v>
      </c>
      <c r="E9" s="544">
        <f>25*0.3048</f>
        <v>7.62</v>
      </c>
      <c r="F9" s="544">
        <f>1.6+3.05</f>
        <v>4.6500000000000004</v>
      </c>
      <c r="G9" s="545">
        <f>E9-F9</f>
        <v>2.9699999999999998</v>
      </c>
      <c r="H9" s="544">
        <f>G9-G6</f>
        <v>-0.49000000000000021</v>
      </c>
      <c r="I9" s="544"/>
      <c r="J9" s="544"/>
      <c r="K9" s="544"/>
      <c r="L9" s="545"/>
      <c r="M9" s="544"/>
      <c r="N9" s="544"/>
      <c r="O9" s="544">
        <f>H9*0.9</f>
        <v>-0.44100000000000023</v>
      </c>
      <c r="P9" s="545"/>
      <c r="Q9" s="546"/>
      <c r="R9" s="542"/>
      <c r="S9" s="542"/>
      <c r="T9" s="543"/>
      <c r="U9" s="542"/>
      <c r="V9" s="542"/>
      <c r="W9" s="543"/>
    </row>
    <row r="11" spans="1:23">
      <c r="A11" s="432"/>
      <c r="B11" s="431"/>
      <c r="C11" s="432"/>
      <c r="D11" s="431"/>
      <c r="E11" s="436"/>
      <c r="F11" s="436"/>
      <c r="G11" s="437"/>
      <c r="H11" s="436"/>
      <c r="I11" s="436"/>
      <c r="J11" s="436"/>
      <c r="K11" s="436"/>
      <c r="L11" s="437"/>
      <c r="M11" s="436"/>
      <c r="N11" s="436"/>
      <c r="O11" s="436"/>
      <c r="P11" s="437"/>
      <c r="Q11" s="439"/>
      <c r="R11" s="431"/>
      <c r="S11" s="431"/>
      <c r="T11" s="432"/>
      <c r="U11" s="431"/>
      <c r="V11" s="431"/>
      <c r="W11" s="432"/>
    </row>
    <row r="12" spans="1:23" s="532" customFormat="1">
      <c r="A12" s="526">
        <v>40422</v>
      </c>
      <c r="B12" s="527" t="s">
        <v>141</v>
      </c>
      <c r="C12" s="528" t="s">
        <v>150</v>
      </c>
      <c r="D12" s="527" t="s">
        <v>144</v>
      </c>
      <c r="E12" s="529">
        <v>11.81</v>
      </c>
      <c r="F12" s="529">
        <v>5.03</v>
      </c>
      <c r="G12" s="530">
        <f>E12-F12</f>
        <v>6.78</v>
      </c>
      <c r="H12" s="529"/>
      <c r="I12" s="540"/>
      <c r="J12" s="529"/>
      <c r="K12" s="529"/>
      <c r="L12" s="530"/>
      <c r="M12" s="529"/>
      <c r="N12" s="529"/>
      <c r="O12" s="529"/>
      <c r="P12" s="530"/>
      <c r="Q12" s="531"/>
      <c r="R12" s="527"/>
      <c r="S12" s="527"/>
      <c r="T12" s="528"/>
      <c r="U12" s="527"/>
      <c r="V12" s="527"/>
      <c r="W12" s="528"/>
    </row>
    <row r="13" spans="1:23" s="532" customFormat="1">
      <c r="A13" s="537">
        <v>40777</v>
      </c>
      <c r="B13" s="534" t="s">
        <v>152</v>
      </c>
      <c r="C13" s="535" t="s">
        <v>150</v>
      </c>
      <c r="D13" s="534" t="s">
        <v>168</v>
      </c>
      <c r="E13" s="538">
        <v>11.81</v>
      </c>
      <c r="F13" s="538">
        <v>7.4</v>
      </c>
      <c r="G13" s="530">
        <f>E13-F13</f>
        <v>4.41</v>
      </c>
      <c r="H13" s="529">
        <f>G13-G12</f>
        <v>-2.37</v>
      </c>
      <c r="I13" s="540"/>
      <c r="J13" s="529"/>
      <c r="K13" s="529"/>
      <c r="L13" s="530"/>
      <c r="M13" s="529"/>
      <c r="N13" s="529"/>
      <c r="O13" s="529"/>
      <c r="P13" s="530"/>
      <c r="Q13" s="531"/>
      <c r="R13" s="527"/>
      <c r="S13" s="527"/>
      <c r="T13" s="528"/>
      <c r="U13" s="527"/>
      <c r="V13" s="527"/>
      <c r="W13" s="528"/>
    </row>
    <row r="14" spans="1:23">
      <c r="A14" s="430"/>
      <c r="B14" s="431"/>
      <c r="C14" s="432"/>
      <c r="D14" s="431"/>
      <c r="E14" s="436"/>
      <c r="F14" s="436"/>
      <c r="G14" s="437"/>
      <c r="H14" s="436"/>
      <c r="I14" s="441"/>
      <c r="J14" s="436"/>
      <c r="K14" s="436"/>
      <c r="L14" s="437"/>
      <c r="M14" s="436"/>
      <c r="N14" s="436"/>
      <c r="O14" s="436"/>
      <c r="P14" s="437"/>
      <c r="Q14" s="439"/>
      <c r="R14" s="431"/>
      <c r="S14" s="431"/>
      <c r="T14" s="432"/>
      <c r="U14" s="431"/>
      <c r="V14" s="431"/>
      <c r="W14" s="432"/>
    </row>
    <row r="15" spans="1:23" s="536" customFormat="1">
      <c r="A15" s="537">
        <v>40708</v>
      </c>
      <c r="B15" s="534" t="s">
        <v>152</v>
      </c>
      <c r="C15" s="535" t="s">
        <v>150</v>
      </c>
      <c r="D15" s="534" t="s">
        <v>142</v>
      </c>
      <c r="E15" s="538" t="s">
        <v>142</v>
      </c>
      <c r="F15" s="538">
        <v>0.625</v>
      </c>
      <c r="G15" s="539" t="e">
        <f>E15-F15</f>
        <v>#VALUE!</v>
      </c>
      <c r="H15" s="538"/>
      <c r="I15" s="544">
        <f>AVERAGE(2.08,2.2,1.95,3.2,2.27,2.28,3.2,2.5,2.16,1.5,3.2,2,2.07,3.2)</f>
        <v>2.415</v>
      </c>
      <c r="J15" s="538"/>
      <c r="K15" s="538"/>
      <c r="L15" s="539"/>
      <c r="M15" s="538"/>
      <c r="N15" s="538"/>
      <c r="O15" s="538"/>
      <c r="P15" s="539"/>
      <c r="Q15" s="533" t="s">
        <v>159</v>
      </c>
      <c r="R15" s="534"/>
      <c r="S15" s="534"/>
      <c r="T15" s="535"/>
      <c r="U15" s="534"/>
      <c r="V15" s="534"/>
      <c r="W15" s="535"/>
    </row>
    <row r="16" spans="1:23" s="536" customFormat="1">
      <c r="G16" s="539">
        <f>E13-F13</f>
        <v>4.41</v>
      </c>
      <c r="H16" s="538">
        <f>G16-G12</f>
        <v>-2.37</v>
      </c>
      <c r="I16" s="538"/>
      <c r="J16" s="538"/>
      <c r="K16" s="538"/>
      <c r="L16" s="539"/>
      <c r="M16" s="538"/>
      <c r="N16" s="538"/>
      <c r="O16" s="538"/>
      <c r="P16" s="539"/>
      <c r="Q16" s="533" t="s">
        <v>160</v>
      </c>
      <c r="R16" s="534"/>
      <c r="S16" s="534"/>
      <c r="T16" s="535"/>
      <c r="U16" s="534"/>
      <c r="V16" s="534"/>
      <c r="W16" s="535"/>
    </row>
    <row r="17" spans="1:23">
      <c r="A17" s="432"/>
      <c r="B17" s="431"/>
      <c r="C17" s="432"/>
      <c r="D17" s="431"/>
      <c r="E17" s="436"/>
      <c r="F17" s="436"/>
      <c r="G17" s="437"/>
      <c r="H17" s="436"/>
      <c r="I17" s="436"/>
      <c r="J17" s="436"/>
      <c r="K17" s="436"/>
      <c r="L17" s="437"/>
      <c r="M17" s="436"/>
      <c r="N17" s="436"/>
      <c r="O17" s="436"/>
      <c r="P17" s="437"/>
      <c r="Q17" s="439"/>
      <c r="R17" s="431"/>
      <c r="S17" s="431"/>
      <c r="T17" s="432"/>
      <c r="U17" s="431"/>
      <c r="V17" s="431"/>
      <c r="W17" s="432"/>
    </row>
    <row r="19" spans="1:23">
      <c r="J19" s="436"/>
      <c r="K19" s="436"/>
      <c r="L19" s="437"/>
      <c r="M19" s="436"/>
      <c r="N19" s="436"/>
      <c r="O19" s="436"/>
      <c r="P19" s="437"/>
      <c r="Q19" s="440"/>
      <c r="R19" s="431"/>
      <c r="S19" s="431"/>
      <c r="T19" s="432"/>
      <c r="U19" s="431"/>
      <c r="V19" s="431"/>
      <c r="W19" s="432"/>
    </row>
    <row r="20" spans="1:23">
      <c r="A20" s="432"/>
      <c r="B20" s="431"/>
      <c r="C20" s="432"/>
      <c r="D20" s="431"/>
      <c r="E20" s="436"/>
      <c r="F20" s="436"/>
      <c r="G20" s="437"/>
      <c r="H20" s="436"/>
      <c r="I20" s="436"/>
      <c r="J20" s="436"/>
      <c r="K20" s="436"/>
      <c r="L20" s="437"/>
      <c r="M20" s="436"/>
      <c r="N20" s="436"/>
      <c r="O20" s="436"/>
      <c r="P20" s="437"/>
      <c r="Q20" s="439"/>
      <c r="R20" s="431"/>
      <c r="S20" s="431"/>
      <c r="T20" s="432"/>
      <c r="U20" s="431"/>
      <c r="V20" s="431"/>
      <c r="W20" s="432"/>
    </row>
    <row r="21" spans="1:23">
      <c r="A21" s="432"/>
      <c r="B21" s="431"/>
      <c r="C21" s="432"/>
      <c r="D21" s="431"/>
      <c r="E21" s="436"/>
      <c r="F21" s="436"/>
      <c r="G21" s="437"/>
      <c r="H21" s="436"/>
      <c r="I21" s="436"/>
      <c r="J21" s="436"/>
      <c r="K21" s="436"/>
      <c r="L21" s="437"/>
      <c r="M21" s="436"/>
      <c r="N21" s="436"/>
      <c r="O21" s="436"/>
      <c r="P21" s="437"/>
      <c r="Q21" s="439"/>
      <c r="R21" s="431"/>
      <c r="S21" s="431"/>
      <c r="T21" s="432"/>
      <c r="U21" s="431"/>
      <c r="V21" s="431"/>
      <c r="W21" s="432"/>
    </row>
    <row r="22" spans="1:23">
      <c r="A22" s="432"/>
      <c r="B22" s="431"/>
      <c r="C22" s="432"/>
      <c r="D22" s="431"/>
      <c r="E22" s="436"/>
      <c r="F22" s="436"/>
      <c r="G22" s="437"/>
      <c r="H22" s="436"/>
      <c r="I22" s="436"/>
      <c r="J22" s="436"/>
      <c r="K22" s="436"/>
      <c r="L22" s="437"/>
      <c r="M22" s="436"/>
      <c r="N22" s="436"/>
      <c r="O22" s="436"/>
      <c r="P22" s="437"/>
      <c r="Q22" s="439"/>
      <c r="R22" s="431"/>
      <c r="S22" s="431"/>
      <c r="T22" s="432"/>
      <c r="U22" s="431"/>
      <c r="V22" s="431"/>
      <c r="W22" s="432"/>
    </row>
    <row r="23" spans="1:23">
      <c r="A23" s="432"/>
      <c r="B23" s="431"/>
      <c r="C23" s="432"/>
      <c r="D23" s="431"/>
      <c r="E23" s="436"/>
      <c r="F23" s="436"/>
      <c r="G23" s="437"/>
      <c r="H23" s="436"/>
      <c r="I23" s="436"/>
      <c r="J23" s="436"/>
      <c r="K23" s="436"/>
      <c r="L23" s="437"/>
      <c r="M23" s="436"/>
      <c r="N23" s="436"/>
      <c r="O23" s="436"/>
      <c r="P23" s="437"/>
      <c r="Q23" s="439"/>
      <c r="R23" s="431"/>
      <c r="S23" s="431"/>
      <c r="T23" s="432"/>
      <c r="U23" s="431"/>
      <c r="V23" s="431"/>
      <c r="W23" s="432"/>
    </row>
    <row r="24" spans="1:23">
      <c r="A24" s="432"/>
      <c r="B24" s="431"/>
      <c r="C24" s="432"/>
      <c r="D24" s="431"/>
      <c r="E24" s="436"/>
      <c r="F24" s="436"/>
      <c r="G24" s="437"/>
      <c r="H24" s="436"/>
      <c r="I24" s="436"/>
      <c r="J24" s="436"/>
      <c r="K24" s="436"/>
      <c r="L24" s="437"/>
      <c r="M24" s="436"/>
      <c r="N24" s="436"/>
      <c r="O24" s="436"/>
      <c r="P24" s="437"/>
      <c r="Q24" s="439"/>
      <c r="R24" s="431"/>
      <c r="S24" s="431"/>
      <c r="T24" s="432"/>
      <c r="U24" s="431"/>
      <c r="V24" s="431"/>
      <c r="W24" s="432"/>
    </row>
    <row r="25" spans="1:23">
      <c r="A25" s="432"/>
      <c r="B25" s="431"/>
      <c r="C25" s="432"/>
      <c r="D25" s="431"/>
      <c r="E25" s="436"/>
      <c r="F25" s="436"/>
      <c r="G25" s="437"/>
      <c r="H25" s="436"/>
      <c r="I25" s="436"/>
      <c r="J25" s="436"/>
      <c r="K25" s="436"/>
      <c r="L25" s="437"/>
      <c r="M25" s="436"/>
      <c r="N25" s="436"/>
      <c r="O25" s="436"/>
      <c r="P25" s="437"/>
      <c r="Q25" s="433"/>
      <c r="R25" s="431"/>
      <c r="S25" s="431"/>
      <c r="T25" s="432"/>
      <c r="U25" s="431"/>
      <c r="V25" s="431"/>
      <c r="W25" s="432"/>
    </row>
    <row r="26" spans="1:23">
      <c r="A26" s="432"/>
      <c r="B26" s="431"/>
      <c r="C26" s="432"/>
      <c r="D26" s="431"/>
      <c r="E26" s="436"/>
      <c r="F26" s="436"/>
      <c r="G26" s="437"/>
      <c r="H26" s="436"/>
      <c r="I26" s="436"/>
      <c r="J26" s="436"/>
      <c r="K26" s="436"/>
      <c r="L26" s="437"/>
      <c r="M26" s="436"/>
      <c r="N26" s="436"/>
      <c r="O26" s="436"/>
      <c r="P26" s="437"/>
      <c r="Q26" s="433"/>
      <c r="R26" s="431"/>
      <c r="S26" s="431"/>
      <c r="T26" s="432"/>
      <c r="U26" s="431"/>
      <c r="V26" s="431"/>
      <c r="W26" s="432"/>
    </row>
    <row r="27" spans="1:23">
      <c r="A27" s="432"/>
      <c r="B27" s="431"/>
      <c r="C27" s="432"/>
      <c r="D27" s="431"/>
      <c r="E27" s="436"/>
      <c r="F27" s="436"/>
      <c r="G27" s="437"/>
      <c r="H27" s="436"/>
      <c r="I27" s="436"/>
      <c r="J27" s="436"/>
      <c r="K27" s="436"/>
      <c r="L27" s="437"/>
      <c r="M27" s="436"/>
      <c r="N27" s="436"/>
      <c r="O27" s="436"/>
      <c r="P27" s="437"/>
      <c r="Q27" s="433"/>
      <c r="R27" s="431"/>
      <c r="S27" s="431"/>
      <c r="T27" s="432"/>
      <c r="U27" s="431"/>
      <c r="V27" s="431"/>
      <c r="W27" s="432"/>
    </row>
    <row r="28" spans="1:23">
      <c r="A28" s="432"/>
      <c r="B28" s="431"/>
      <c r="C28" s="432"/>
      <c r="D28" s="431"/>
      <c r="E28" s="436"/>
      <c r="F28" s="436"/>
      <c r="G28" s="437"/>
      <c r="H28" s="436"/>
      <c r="I28" s="436"/>
      <c r="J28" s="436"/>
      <c r="K28" s="436"/>
      <c r="L28" s="437"/>
      <c r="M28" s="436"/>
      <c r="N28" s="436"/>
      <c r="O28" s="436"/>
      <c r="P28" s="437"/>
      <c r="Q28" s="433"/>
      <c r="R28" s="431"/>
      <c r="S28" s="431"/>
      <c r="T28" s="432"/>
      <c r="U28" s="431"/>
      <c r="V28" s="431"/>
      <c r="W28" s="432"/>
    </row>
    <row r="29" spans="1:23">
      <c r="A29" s="432"/>
      <c r="B29" s="431"/>
      <c r="C29" s="432"/>
      <c r="D29" s="431"/>
      <c r="E29" s="436"/>
      <c r="F29" s="436"/>
      <c r="G29" s="437"/>
      <c r="H29" s="436"/>
      <c r="I29" s="436"/>
      <c r="J29" s="436"/>
      <c r="K29" s="436"/>
      <c r="L29" s="437"/>
      <c r="M29" s="436"/>
      <c r="N29" s="436"/>
      <c r="O29" s="436"/>
      <c r="P29" s="437"/>
      <c r="Q29" s="433"/>
      <c r="R29" s="431"/>
      <c r="S29" s="431"/>
      <c r="T29" s="432"/>
      <c r="U29" s="431"/>
      <c r="V29" s="431"/>
      <c r="W29" s="432"/>
    </row>
    <row r="30" spans="1:23">
      <c r="A30" s="432"/>
      <c r="B30" s="431"/>
      <c r="C30" s="432"/>
      <c r="D30" s="431"/>
      <c r="E30" s="436"/>
      <c r="F30" s="436"/>
      <c r="G30" s="437"/>
      <c r="H30" s="441"/>
      <c r="I30" s="441"/>
      <c r="J30" s="441"/>
      <c r="K30" s="441"/>
      <c r="L30" s="438"/>
      <c r="M30" s="441"/>
      <c r="N30" s="441"/>
      <c r="O30" s="441"/>
      <c r="P30" s="438"/>
    </row>
    <row r="31" spans="1:23">
      <c r="E31" s="441"/>
      <c r="F31" s="441"/>
      <c r="G31" s="438"/>
      <c r="H31" s="441"/>
      <c r="I31" s="441"/>
      <c r="J31" s="441"/>
      <c r="K31" s="441"/>
      <c r="L31" s="438"/>
      <c r="M31" s="441"/>
      <c r="N31" s="441"/>
      <c r="O31" s="441"/>
      <c r="P31" s="438"/>
    </row>
    <row r="32" spans="1:23">
      <c r="E32" s="441"/>
      <c r="F32" s="441"/>
      <c r="G32" s="438"/>
      <c r="H32" s="441"/>
      <c r="I32" s="441"/>
      <c r="J32" s="441"/>
      <c r="K32" s="441"/>
      <c r="L32" s="438"/>
      <c r="M32" s="441"/>
      <c r="N32" s="441"/>
      <c r="O32" s="441"/>
      <c r="P32" s="438"/>
    </row>
    <row r="33" spans="5:16">
      <c r="E33" s="441"/>
      <c r="F33" s="441"/>
      <c r="G33" s="438"/>
      <c r="H33" s="441"/>
      <c r="I33" s="441"/>
      <c r="J33" s="441"/>
      <c r="K33" s="441"/>
      <c r="L33" s="438"/>
      <c r="M33" s="441"/>
      <c r="N33" s="441"/>
      <c r="O33" s="441"/>
      <c r="P33" s="438"/>
    </row>
  </sheetData>
  <pageMargins left="0.7" right="0.7" top="0.75" bottom="0.75" header="0.3" footer="0.3"/>
  <ignoredErrors>
    <ignoredError sqref="E8" formula="1"/>
  </ignoredError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38"/>
  <sheetViews>
    <sheetView workbookViewId="0">
      <selection activeCell="O18" sqref="O18"/>
    </sheetView>
  </sheetViews>
  <sheetFormatPr defaultRowHeight="15"/>
  <cols>
    <col min="1" max="1" width="10" style="434" customWidth="1"/>
    <col min="3" max="3" width="9.140625" style="434"/>
    <col min="7" max="7" width="9.140625" style="434"/>
    <col min="12" max="12" width="9.140625" style="434"/>
    <col min="16" max="16" width="9.140625" style="434"/>
    <col min="17" max="17" width="19.7109375" style="435" customWidth="1"/>
    <col min="20" max="20" width="9.140625" style="434"/>
    <col min="23" max="23" width="9.140625" style="434"/>
  </cols>
  <sheetData>
    <row r="1" spans="1:23" s="268" customFormat="1" ht="11.25">
      <c r="A1" s="364"/>
      <c r="B1" s="365"/>
      <c r="C1" s="366"/>
      <c r="G1" s="367"/>
      <c r="H1" s="368" t="s">
        <v>99</v>
      </c>
      <c r="I1" s="369"/>
      <c r="K1" s="370" t="s">
        <v>100</v>
      </c>
      <c r="L1" s="371"/>
      <c r="M1" s="372"/>
      <c r="N1" s="373"/>
      <c r="O1" s="374"/>
      <c r="P1" s="375" t="s">
        <v>101</v>
      </c>
      <c r="Q1" s="376"/>
      <c r="R1" s="377" t="s">
        <v>102</v>
      </c>
      <c r="S1" s="378"/>
      <c r="T1" s="379"/>
      <c r="U1" s="380" t="s">
        <v>103</v>
      </c>
      <c r="V1" s="381"/>
      <c r="W1" s="382"/>
    </row>
    <row r="2" spans="1:23" s="268" customFormat="1" ht="11.25">
      <c r="A2" s="383"/>
      <c r="B2" s="384"/>
      <c r="C2" s="385"/>
      <c r="E2" s="386" t="s">
        <v>104</v>
      </c>
      <c r="F2" s="387" t="s">
        <v>105</v>
      </c>
      <c r="G2" s="367" t="s">
        <v>106</v>
      </c>
      <c r="H2" s="368" t="s">
        <v>106</v>
      </c>
      <c r="I2" s="388" t="s">
        <v>45</v>
      </c>
      <c r="K2" s="389" t="s">
        <v>107</v>
      </c>
      <c r="L2" s="390"/>
      <c r="M2" s="391" t="s">
        <v>108</v>
      </c>
      <c r="N2" s="392" t="s">
        <v>109</v>
      </c>
      <c r="O2" s="393" t="s">
        <v>110</v>
      </c>
      <c r="P2" s="375" t="s">
        <v>111</v>
      </c>
      <c r="Q2" s="376"/>
      <c r="R2" s="394"/>
      <c r="S2" s="394"/>
      <c r="T2" s="395" t="s">
        <v>107</v>
      </c>
      <c r="U2" s="396" t="s">
        <v>112</v>
      </c>
      <c r="V2" s="381"/>
      <c r="W2" s="395" t="s">
        <v>107</v>
      </c>
    </row>
    <row r="3" spans="1:23" s="268" customFormat="1" ht="11.25">
      <c r="A3" s="383"/>
      <c r="B3" s="384"/>
      <c r="C3" s="385" t="s">
        <v>113</v>
      </c>
      <c r="D3" s="397" t="s">
        <v>114</v>
      </c>
      <c r="E3" s="386" t="s">
        <v>115</v>
      </c>
      <c r="F3" s="387" t="s">
        <v>116</v>
      </c>
      <c r="G3" s="395" t="s">
        <v>117</v>
      </c>
      <c r="H3" s="397" t="s">
        <v>117</v>
      </c>
      <c r="I3" s="393" t="s">
        <v>40</v>
      </c>
      <c r="J3" s="397" t="s">
        <v>40</v>
      </c>
      <c r="K3" s="393" t="s">
        <v>118</v>
      </c>
      <c r="L3" s="375" t="s">
        <v>119</v>
      </c>
      <c r="M3" s="391" t="s">
        <v>120</v>
      </c>
      <c r="N3" s="392" t="s">
        <v>120</v>
      </c>
      <c r="O3" s="393" t="s">
        <v>120</v>
      </c>
      <c r="P3" s="375" t="s">
        <v>120</v>
      </c>
      <c r="Q3" s="398" t="s">
        <v>121</v>
      </c>
      <c r="R3" s="399" t="s">
        <v>122</v>
      </c>
      <c r="S3" s="399"/>
      <c r="T3" s="395" t="s">
        <v>116</v>
      </c>
      <c r="U3" s="396" t="s">
        <v>123</v>
      </c>
      <c r="V3" s="400"/>
      <c r="W3" s="395" t="s">
        <v>116</v>
      </c>
    </row>
    <row r="4" spans="1:23" s="268" customFormat="1" ht="14.25">
      <c r="A4" s="401" t="s">
        <v>124</v>
      </c>
      <c r="B4" s="402" t="s">
        <v>125</v>
      </c>
      <c r="C4" s="403" t="s">
        <v>126</v>
      </c>
      <c r="D4" s="397" t="s">
        <v>41</v>
      </c>
      <c r="E4" s="386" t="s">
        <v>34</v>
      </c>
      <c r="F4" s="387" t="s">
        <v>114</v>
      </c>
      <c r="G4" s="404" t="s">
        <v>127</v>
      </c>
      <c r="H4" s="405" t="s">
        <v>114</v>
      </c>
      <c r="I4" s="393" t="s">
        <v>43</v>
      </c>
      <c r="J4" s="397" t="s">
        <v>26</v>
      </c>
      <c r="K4" s="393"/>
      <c r="L4" s="375" t="s">
        <v>26</v>
      </c>
      <c r="M4" s="391"/>
      <c r="N4" s="373"/>
      <c r="O4" s="374"/>
      <c r="P4" s="406"/>
      <c r="Q4" s="376"/>
      <c r="R4" s="407" t="s">
        <v>128</v>
      </c>
      <c r="S4" s="407" t="s">
        <v>129</v>
      </c>
      <c r="T4" s="408" t="s">
        <v>130</v>
      </c>
      <c r="U4" s="409" t="s">
        <v>131</v>
      </c>
      <c r="V4" s="410" t="s">
        <v>132</v>
      </c>
      <c r="W4" s="408" t="s">
        <v>130</v>
      </c>
    </row>
    <row r="5" spans="1:23" s="268" customFormat="1" ht="12" thickBot="1">
      <c r="A5" s="411" t="s">
        <v>133</v>
      </c>
      <c r="B5" s="412"/>
      <c r="C5" s="413"/>
      <c r="D5" s="414"/>
      <c r="E5" s="415" t="s">
        <v>134</v>
      </c>
      <c r="F5" s="414" t="s">
        <v>135</v>
      </c>
      <c r="G5" s="416" t="s">
        <v>136</v>
      </c>
      <c r="H5" s="417" t="s">
        <v>137</v>
      </c>
      <c r="I5" s="418" t="s">
        <v>138</v>
      </c>
      <c r="J5" s="414"/>
      <c r="K5" s="419" t="s">
        <v>138</v>
      </c>
      <c r="L5" s="420"/>
      <c r="M5" s="421"/>
      <c r="N5" s="422" t="s">
        <v>139</v>
      </c>
      <c r="O5" s="422" t="s">
        <v>139</v>
      </c>
      <c r="P5" s="423" t="s">
        <v>139</v>
      </c>
      <c r="Q5" s="424"/>
      <c r="R5" s="425" t="s">
        <v>138</v>
      </c>
      <c r="S5" s="425" t="s">
        <v>138</v>
      </c>
      <c r="T5" s="426" t="s">
        <v>138</v>
      </c>
      <c r="U5" s="427" t="s">
        <v>140</v>
      </c>
      <c r="V5" s="428"/>
      <c r="W5" s="429" t="s">
        <v>138</v>
      </c>
    </row>
    <row r="6" spans="1:23" s="496" customFormat="1">
      <c r="A6" s="490">
        <v>40422</v>
      </c>
      <c r="B6" s="491" t="s">
        <v>141</v>
      </c>
      <c r="C6" s="492" t="s">
        <v>146</v>
      </c>
      <c r="D6" s="491" t="s">
        <v>144</v>
      </c>
      <c r="E6" s="493">
        <f>25*0.3048</f>
        <v>7.62</v>
      </c>
      <c r="F6" s="493">
        <v>3.99</v>
      </c>
      <c r="G6" s="494">
        <f>E6-F6</f>
        <v>3.63</v>
      </c>
      <c r="H6" s="493"/>
      <c r="I6" s="493"/>
      <c r="J6" s="493"/>
      <c r="K6" s="493">
        <v>3.63</v>
      </c>
      <c r="L6" s="494"/>
      <c r="M6" s="493"/>
      <c r="N6" s="493"/>
      <c r="O6" s="493"/>
      <c r="P6" s="494"/>
      <c r="Q6" s="495"/>
      <c r="R6" s="491"/>
      <c r="S6" s="491"/>
      <c r="T6" s="492"/>
      <c r="U6" s="491"/>
      <c r="V6" s="491"/>
      <c r="W6" s="492"/>
    </row>
    <row r="7" spans="1:23" s="496" customFormat="1" ht="15" customHeight="1">
      <c r="A7" s="490">
        <v>40708</v>
      </c>
      <c r="B7" s="491" t="s">
        <v>152</v>
      </c>
      <c r="C7" s="492" t="s">
        <v>146</v>
      </c>
      <c r="D7" s="491" t="s">
        <v>40</v>
      </c>
      <c r="E7" s="493">
        <f>E6</f>
        <v>7.62</v>
      </c>
      <c r="F7" s="493">
        <v>3.55</v>
      </c>
      <c r="G7" s="494">
        <f>E7-F7</f>
        <v>4.07</v>
      </c>
      <c r="H7" s="493">
        <f>G7-G6</f>
        <v>0.44000000000000039</v>
      </c>
      <c r="I7" s="493">
        <f>AVERAGE(1.02,1.04,1,1.08,1.08,0.59,1.18,1.03,1.15,1.11,1.06,0.93,0.97,0.93,0.97,1.06)</f>
        <v>1.0125</v>
      </c>
      <c r="J7" s="493"/>
      <c r="K7" s="493">
        <f>G7-I7</f>
        <v>3.0575000000000001</v>
      </c>
      <c r="L7" s="494"/>
      <c r="M7" s="493"/>
      <c r="N7" s="493"/>
      <c r="O7" s="493"/>
      <c r="P7" s="494">
        <f>0.9*(K7-K6)</f>
        <v>-0.51524999999999987</v>
      </c>
      <c r="Q7" s="495" t="s">
        <v>161</v>
      </c>
      <c r="R7" s="491"/>
      <c r="S7" s="491"/>
      <c r="T7" s="492"/>
      <c r="U7" s="491"/>
      <c r="V7" s="491"/>
      <c r="W7" s="492"/>
    </row>
    <row r="8" spans="1:23" s="496" customFormat="1" ht="15" customHeight="1">
      <c r="A8" s="490">
        <v>40708</v>
      </c>
      <c r="B8" s="491" t="s">
        <v>152</v>
      </c>
      <c r="C8" s="492" t="s">
        <v>146</v>
      </c>
      <c r="D8" s="491" t="s">
        <v>40</v>
      </c>
      <c r="E8" s="493">
        <f>E7-1.5-3.05</f>
        <v>3.0700000000000003</v>
      </c>
      <c r="F8" s="493">
        <f>E8-4.07</f>
        <v>-1</v>
      </c>
      <c r="G8" s="494">
        <f>E8-F8</f>
        <v>4.07</v>
      </c>
      <c r="H8" s="493">
        <f>G8-G7</f>
        <v>0</v>
      </c>
      <c r="I8" s="493">
        <f>AVERAGE(1.02,1.04,1,1.08,1.08,0.59,1.18,1.03,1.15,1.11,1.06,0.93,0.97,0.93,0.97,1.06)</f>
        <v>1.0125</v>
      </c>
      <c r="J8" s="493"/>
      <c r="K8" s="493"/>
      <c r="L8" s="494"/>
      <c r="M8" s="493"/>
      <c r="N8" s="493"/>
      <c r="O8" s="493">
        <f>-3.06*0.9</f>
        <v>-2.754</v>
      </c>
      <c r="P8" s="494"/>
      <c r="Q8" s="495" t="s">
        <v>177</v>
      </c>
      <c r="R8" s="491"/>
      <c r="S8" s="491"/>
      <c r="T8" s="492"/>
      <c r="U8" s="491"/>
      <c r="V8" s="491"/>
      <c r="W8" s="492"/>
    </row>
    <row r="9" spans="1:23" ht="15" customHeight="1">
      <c r="A9" s="430">
        <v>40804</v>
      </c>
      <c r="B9" s="431" t="s">
        <v>167</v>
      </c>
      <c r="C9" s="432" t="s">
        <v>146</v>
      </c>
      <c r="D9" s="431" t="s">
        <v>144</v>
      </c>
      <c r="E9" s="436" t="s">
        <v>176</v>
      </c>
      <c r="F9" s="436"/>
      <c r="G9" s="437"/>
      <c r="H9" s="436"/>
      <c r="I9" s="436"/>
      <c r="J9" s="436"/>
      <c r="K9" s="436"/>
      <c r="L9" s="437"/>
      <c r="M9" s="436"/>
      <c r="N9" s="436"/>
      <c r="O9" s="436"/>
      <c r="P9" s="437"/>
      <c r="Q9" s="440"/>
      <c r="R9" s="431"/>
      <c r="S9" s="431"/>
      <c r="T9" s="432"/>
      <c r="U9" s="431"/>
      <c r="V9" s="431"/>
      <c r="W9" s="432"/>
    </row>
    <row r="10" spans="1:23" ht="15" customHeight="1">
      <c r="A10" s="430"/>
      <c r="B10" s="431"/>
      <c r="C10" s="432"/>
      <c r="D10" s="431"/>
      <c r="E10" s="436"/>
      <c r="F10" s="436"/>
      <c r="G10" s="437"/>
      <c r="H10" s="436"/>
      <c r="I10" s="436"/>
      <c r="J10" s="436"/>
      <c r="K10" s="436"/>
      <c r="L10" s="437"/>
      <c r="M10" s="436"/>
      <c r="N10" s="436"/>
      <c r="O10" s="436"/>
      <c r="P10" s="437"/>
      <c r="Q10" s="440"/>
      <c r="R10" s="431"/>
      <c r="S10" s="431"/>
      <c r="T10" s="432"/>
      <c r="U10" s="431"/>
      <c r="V10" s="431"/>
      <c r="W10" s="432"/>
    </row>
    <row r="11" spans="1:23" s="504" customFormat="1">
      <c r="A11" s="498">
        <v>40804</v>
      </c>
      <c r="B11" s="499" t="s">
        <v>152</v>
      </c>
      <c r="C11" s="500" t="s">
        <v>146</v>
      </c>
      <c r="D11" s="499" t="s">
        <v>144</v>
      </c>
      <c r="E11" s="501">
        <v>7.73</v>
      </c>
      <c r="F11" s="501">
        <v>4.4000000000000004</v>
      </c>
      <c r="G11" s="502">
        <f>E14-F11</f>
        <v>6.6999999999999993</v>
      </c>
      <c r="H11" s="501"/>
      <c r="I11" s="501"/>
      <c r="J11" s="501"/>
      <c r="K11" s="501"/>
      <c r="L11" s="502"/>
      <c r="M11" s="501"/>
      <c r="N11" s="501"/>
      <c r="O11" s="501"/>
      <c r="P11" s="502"/>
      <c r="Q11" s="503"/>
      <c r="R11" s="499"/>
      <c r="S11" s="499"/>
      <c r="T11" s="500"/>
      <c r="U11" s="499"/>
      <c r="V11" s="499"/>
      <c r="W11" s="500"/>
    </row>
    <row r="12" spans="1:23">
      <c r="E12" s="441"/>
      <c r="F12" s="441"/>
      <c r="G12" s="438"/>
      <c r="H12" s="441"/>
      <c r="I12" s="441"/>
      <c r="J12" s="441"/>
      <c r="K12" s="441"/>
      <c r="L12" s="438"/>
      <c r="M12" s="441"/>
      <c r="N12" s="441"/>
      <c r="O12" s="441"/>
      <c r="P12" s="438"/>
      <c r="R12" s="431"/>
      <c r="S12" s="431"/>
      <c r="T12" s="432"/>
      <c r="U12" s="431"/>
      <c r="V12" s="431"/>
      <c r="W12" s="432"/>
    </row>
    <row r="13" spans="1:23">
      <c r="E13" s="441"/>
      <c r="F13" s="441"/>
      <c r="G13" s="438"/>
      <c r="H13" s="441"/>
      <c r="I13" s="436"/>
      <c r="J13" s="436"/>
      <c r="K13" s="436"/>
      <c r="L13" s="437"/>
      <c r="M13" s="436"/>
      <c r="N13" s="436"/>
      <c r="O13" s="436"/>
      <c r="P13" s="437"/>
      <c r="Q13" s="440"/>
      <c r="R13" s="431"/>
      <c r="S13" s="431"/>
      <c r="T13" s="432"/>
      <c r="U13" s="431"/>
      <c r="V13" s="431"/>
      <c r="W13" s="432"/>
    </row>
    <row r="14" spans="1:23" s="518" customFormat="1" ht="15" customHeight="1">
      <c r="A14" s="512">
        <v>40708</v>
      </c>
      <c r="B14" s="513" t="s">
        <v>152</v>
      </c>
      <c r="C14" s="514" t="s">
        <v>150</v>
      </c>
      <c r="D14" s="513" t="s">
        <v>40</v>
      </c>
      <c r="E14" s="515">
        <v>11.1</v>
      </c>
      <c r="F14" s="515">
        <v>0.65</v>
      </c>
      <c r="G14" s="516">
        <f>E14-F14</f>
        <v>10.45</v>
      </c>
      <c r="H14" s="515"/>
      <c r="I14" s="515"/>
      <c r="J14" s="515"/>
      <c r="K14" s="515"/>
      <c r="L14" s="516"/>
      <c r="M14" s="515"/>
      <c r="N14" s="515"/>
      <c r="O14" s="515"/>
      <c r="P14" s="516"/>
      <c r="Q14" s="517"/>
      <c r="R14" s="513"/>
      <c r="S14" s="513"/>
      <c r="T14" s="514"/>
      <c r="U14" s="513"/>
      <c r="V14" s="513"/>
      <c r="W14" s="514"/>
    </row>
    <row r="15" spans="1:23" s="518" customFormat="1" ht="30">
      <c r="A15" s="512">
        <v>40804</v>
      </c>
      <c r="B15" s="513" t="s">
        <v>152</v>
      </c>
      <c r="C15" s="514" t="s">
        <v>150</v>
      </c>
      <c r="D15" s="513" t="s">
        <v>144</v>
      </c>
      <c r="E15" s="515">
        <f>E14</f>
        <v>11.1</v>
      </c>
      <c r="F15" s="515">
        <v>5.27</v>
      </c>
      <c r="G15" s="516">
        <f>E15-F15</f>
        <v>5.83</v>
      </c>
      <c r="H15" s="515">
        <f>G15-G14</f>
        <v>-4.6199999999999992</v>
      </c>
      <c r="I15" s="515"/>
      <c r="J15" s="515"/>
      <c r="K15" s="515"/>
      <c r="L15" s="516"/>
      <c r="M15" s="515"/>
      <c r="N15" s="515"/>
      <c r="O15" s="515">
        <f>-3.6*0.9</f>
        <v>-3.24</v>
      </c>
      <c r="P15" s="516"/>
      <c r="Q15" s="517" t="s">
        <v>178</v>
      </c>
      <c r="R15" s="513"/>
      <c r="S15" s="513"/>
      <c r="T15" s="514"/>
      <c r="U15" s="513"/>
      <c r="V15" s="513"/>
      <c r="W15" s="514"/>
    </row>
    <row r="16" spans="1:23">
      <c r="A16" s="432"/>
      <c r="B16" s="431"/>
      <c r="C16" s="432"/>
      <c r="D16" s="431"/>
      <c r="E16" s="436"/>
      <c r="F16" s="436"/>
      <c r="G16" s="437"/>
      <c r="H16" s="436"/>
      <c r="I16" s="436"/>
      <c r="J16" s="436"/>
      <c r="K16" s="436"/>
      <c r="L16" s="437"/>
      <c r="M16" s="436"/>
      <c r="N16" s="436"/>
      <c r="O16" s="436"/>
      <c r="P16" s="437"/>
      <c r="Q16" s="440"/>
      <c r="R16" s="431"/>
      <c r="S16" s="431"/>
      <c r="T16" s="432"/>
      <c r="U16" s="431"/>
      <c r="V16" s="431"/>
      <c r="W16" s="432"/>
    </row>
    <row r="17" spans="1:23">
      <c r="A17" s="432"/>
      <c r="B17" s="431"/>
      <c r="C17" s="432"/>
      <c r="D17" s="431"/>
      <c r="E17" s="436"/>
      <c r="F17" s="436"/>
      <c r="G17" s="437"/>
      <c r="H17" s="436"/>
      <c r="I17" s="436"/>
      <c r="J17" s="436"/>
      <c r="K17" s="436"/>
      <c r="L17" s="437"/>
      <c r="M17" s="436"/>
      <c r="N17" s="436"/>
      <c r="O17" s="436"/>
      <c r="P17" s="437"/>
      <c r="Q17" s="440"/>
      <c r="R17" s="431"/>
      <c r="S17" s="431"/>
      <c r="T17" s="432"/>
      <c r="U17" s="431"/>
      <c r="V17" s="431"/>
      <c r="W17" s="432"/>
    </row>
    <row r="18" spans="1:23">
      <c r="A18" s="432"/>
      <c r="B18" s="431"/>
      <c r="C18" s="432"/>
      <c r="D18" s="431"/>
      <c r="E18" s="436"/>
      <c r="F18" s="436"/>
      <c r="G18" s="437"/>
      <c r="H18" s="436"/>
      <c r="I18" s="436"/>
      <c r="J18" s="436"/>
      <c r="K18" s="436"/>
      <c r="L18" s="437"/>
      <c r="M18" s="436"/>
      <c r="N18" s="436"/>
      <c r="O18" s="436"/>
      <c r="P18" s="437"/>
      <c r="Q18" s="440"/>
      <c r="R18" s="431"/>
      <c r="S18" s="431"/>
      <c r="T18" s="432"/>
      <c r="U18" s="431"/>
      <c r="V18" s="431"/>
      <c r="W18" s="432"/>
    </row>
    <row r="19" spans="1:23">
      <c r="A19" s="432"/>
      <c r="B19" s="431"/>
      <c r="C19" s="432"/>
      <c r="D19" s="431"/>
      <c r="E19" s="436"/>
      <c r="F19" s="436"/>
      <c r="G19" s="437"/>
      <c r="H19" s="436"/>
      <c r="I19" s="436"/>
      <c r="J19" s="436"/>
      <c r="K19" s="436"/>
      <c r="L19" s="437"/>
      <c r="M19" s="436"/>
      <c r="N19" s="436"/>
      <c r="O19" s="436"/>
      <c r="P19" s="437"/>
      <c r="Q19" s="440"/>
      <c r="R19" s="431"/>
      <c r="S19" s="431"/>
      <c r="T19" s="432"/>
      <c r="U19" s="431"/>
      <c r="V19" s="431"/>
      <c r="W19" s="432"/>
    </row>
    <row r="20" spans="1:23">
      <c r="A20" s="432"/>
      <c r="B20" s="431"/>
      <c r="C20" s="432"/>
      <c r="D20" s="431"/>
      <c r="E20" s="436"/>
      <c r="F20" s="436"/>
      <c r="G20" s="437"/>
      <c r="H20" s="436"/>
      <c r="I20" s="436"/>
      <c r="J20" s="436"/>
      <c r="K20" s="436"/>
      <c r="L20" s="437"/>
      <c r="M20" s="436"/>
      <c r="N20" s="436"/>
      <c r="O20" s="436"/>
      <c r="P20" s="437"/>
      <c r="Q20" s="440"/>
      <c r="R20" s="431"/>
      <c r="S20" s="431"/>
      <c r="T20" s="432"/>
      <c r="U20" s="431"/>
      <c r="V20" s="431"/>
      <c r="W20" s="432"/>
    </row>
    <row r="21" spans="1:23">
      <c r="A21" s="432"/>
      <c r="B21" s="431"/>
      <c r="C21" s="432"/>
      <c r="D21" s="431"/>
      <c r="E21" s="436"/>
      <c r="F21" s="436"/>
      <c r="G21" s="437"/>
      <c r="H21" s="436"/>
      <c r="I21" s="436"/>
      <c r="J21" s="436"/>
      <c r="K21" s="436"/>
      <c r="L21" s="437"/>
      <c r="M21" s="436"/>
      <c r="N21" s="436"/>
      <c r="O21" s="436"/>
      <c r="P21" s="437"/>
      <c r="Q21" s="440"/>
      <c r="R21" s="431"/>
      <c r="S21" s="431"/>
      <c r="T21" s="432"/>
      <c r="U21" s="431"/>
      <c r="V21" s="431"/>
      <c r="W21" s="432"/>
    </row>
    <row r="22" spans="1:23">
      <c r="A22" s="432"/>
      <c r="B22" s="431"/>
      <c r="C22" s="432"/>
      <c r="D22" s="431"/>
      <c r="E22" s="436"/>
      <c r="F22" s="436"/>
      <c r="G22" s="437"/>
      <c r="H22" s="436"/>
      <c r="I22" s="436"/>
      <c r="J22" s="436"/>
      <c r="K22" s="436"/>
      <c r="L22" s="437"/>
      <c r="M22" s="436"/>
      <c r="N22" s="436"/>
      <c r="O22" s="436"/>
      <c r="P22" s="437"/>
      <c r="Q22" s="440"/>
      <c r="R22" s="431"/>
      <c r="S22" s="431"/>
      <c r="T22" s="432"/>
      <c r="U22" s="431"/>
      <c r="V22" s="431"/>
      <c r="W22" s="432"/>
    </row>
    <row r="23" spans="1:23">
      <c r="A23" s="432"/>
      <c r="B23" s="431"/>
      <c r="C23" s="432"/>
      <c r="D23" s="431"/>
      <c r="E23" s="436"/>
      <c r="F23" s="436"/>
      <c r="G23" s="437"/>
      <c r="H23" s="436"/>
      <c r="I23" s="436"/>
      <c r="J23" s="436"/>
      <c r="K23" s="436"/>
      <c r="L23" s="437"/>
      <c r="M23" s="436"/>
      <c r="N23" s="436"/>
      <c r="O23" s="436"/>
      <c r="P23" s="437"/>
      <c r="Q23" s="440"/>
      <c r="R23" s="431"/>
      <c r="S23" s="431"/>
      <c r="T23" s="432"/>
      <c r="U23" s="431"/>
      <c r="V23" s="431"/>
      <c r="W23" s="432"/>
    </row>
    <row r="24" spans="1:23">
      <c r="A24" s="432"/>
      <c r="B24" s="431"/>
      <c r="C24" s="432"/>
      <c r="D24" s="431"/>
      <c r="E24" s="436"/>
      <c r="F24" s="436"/>
      <c r="G24" s="437"/>
      <c r="H24" s="436"/>
      <c r="I24" s="436"/>
      <c r="J24" s="436"/>
      <c r="K24" s="436"/>
      <c r="L24" s="437"/>
      <c r="M24" s="436"/>
      <c r="N24" s="436"/>
      <c r="O24" s="436"/>
      <c r="P24" s="437"/>
      <c r="Q24" s="440"/>
      <c r="R24" s="431"/>
      <c r="S24" s="431"/>
      <c r="T24" s="432"/>
      <c r="U24" s="431"/>
      <c r="V24" s="431"/>
      <c r="W24" s="432"/>
    </row>
    <row r="25" spans="1:23">
      <c r="A25" s="432"/>
      <c r="B25" s="431"/>
      <c r="C25" s="432"/>
      <c r="D25" s="431"/>
      <c r="E25" s="436"/>
      <c r="F25" s="436"/>
      <c r="G25" s="437"/>
      <c r="H25" s="436"/>
      <c r="I25" s="436"/>
      <c r="J25" s="436"/>
      <c r="K25" s="436"/>
      <c r="L25" s="437"/>
      <c r="M25" s="436"/>
      <c r="N25" s="436"/>
      <c r="O25" s="436"/>
      <c r="P25" s="437"/>
      <c r="Q25" s="433"/>
      <c r="R25" s="431"/>
      <c r="S25" s="431"/>
      <c r="T25" s="432"/>
      <c r="U25" s="431"/>
      <c r="V25" s="431"/>
      <c r="W25" s="432"/>
    </row>
    <row r="26" spans="1:23">
      <c r="A26" s="432"/>
      <c r="B26" s="431"/>
      <c r="C26" s="432"/>
      <c r="D26" s="431"/>
      <c r="E26" s="436"/>
      <c r="F26" s="436"/>
      <c r="G26" s="437"/>
      <c r="H26" s="436"/>
      <c r="I26" s="436"/>
      <c r="J26" s="436"/>
      <c r="K26" s="436"/>
      <c r="L26" s="437"/>
      <c r="M26" s="436"/>
      <c r="N26" s="436"/>
      <c r="O26" s="436"/>
      <c r="P26" s="437"/>
      <c r="Q26" s="433"/>
      <c r="R26" s="431"/>
      <c r="S26" s="431"/>
      <c r="T26" s="432"/>
      <c r="U26" s="431"/>
      <c r="V26" s="431"/>
      <c r="W26" s="432"/>
    </row>
    <row r="27" spans="1:23">
      <c r="A27" s="432"/>
      <c r="B27" s="431"/>
      <c r="C27" s="432"/>
      <c r="D27" s="431"/>
      <c r="E27" s="436"/>
      <c r="F27" s="436"/>
      <c r="G27" s="437"/>
      <c r="H27" s="436"/>
      <c r="I27" s="436"/>
      <c r="J27" s="436"/>
      <c r="K27" s="436"/>
      <c r="L27" s="437"/>
      <c r="M27" s="436"/>
      <c r="N27" s="436"/>
      <c r="O27" s="436"/>
      <c r="P27" s="437"/>
      <c r="Q27" s="433"/>
      <c r="R27" s="431"/>
      <c r="S27" s="431"/>
      <c r="T27" s="432"/>
      <c r="U27" s="431"/>
      <c r="V27" s="431"/>
      <c r="W27" s="432"/>
    </row>
    <row r="28" spans="1:23">
      <c r="A28" s="432"/>
      <c r="B28" s="431"/>
      <c r="C28" s="432"/>
      <c r="D28" s="431"/>
      <c r="E28" s="436"/>
      <c r="F28" s="436"/>
      <c r="G28" s="437"/>
      <c r="H28" s="436"/>
      <c r="I28" s="436"/>
      <c r="J28" s="436"/>
      <c r="K28" s="436"/>
      <c r="L28" s="437"/>
      <c r="M28" s="436"/>
      <c r="N28" s="436"/>
      <c r="O28" s="436"/>
      <c r="P28" s="437"/>
      <c r="Q28" s="433"/>
      <c r="R28" s="431"/>
      <c r="S28" s="431"/>
      <c r="T28" s="432"/>
      <c r="U28" s="431"/>
      <c r="V28" s="431"/>
      <c r="W28" s="432"/>
    </row>
    <row r="29" spans="1:23">
      <c r="A29" s="432"/>
      <c r="B29" s="431"/>
      <c r="C29" s="432"/>
      <c r="D29" s="431"/>
      <c r="E29" s="436"/>
      <c r="F29" s="436"/>
      <c r="G29" s="437"/>
      <c r="H29" s="436"/>
      <c r="I29" s="436"/>
      <c r="J29" s="436"/>
      <c r="K29" s="436"/>
      <c r="L29" s="437"/>
      <c r="M29" s="436"/>
      <c r="N29" s="436"/>
      <c r="O29" s="436"/>
      <c r="P29" s="437"/>
      <c r="Q29" s="433"/>
      <c r="R29" s="431"/>
      <c r="S29" s="431"/>
      <c r="T29" s="432"/>
      <c r="U29" s="431"/>
      <c r="V29" s="431"/>
      <c r="W29" s="432"/>
    </row>
    <row r="30" spans="1:23">
      <c r="A30" s="432"/>
      <c r="B30" s="431"/>
      <c r="C30" s="432"/>
      <c r="D30" s="431"/>
      <c r="E30" s="436"/>
      <c r="F30" s="436"/>
      <c r="G30" s="437"/>
      <c r="H30" s="436"/>
      <c r="I30" s="436"/>
      <c r="J30" s="436"/>
      <c r="K30" s="436"/>
      <c r="L30" s="437"/>
      <c r="M30" s="436"/>
      <c r="N30" s="436"/>
      <c r="O30" s="436"/>
      <c r="P30" s="437"/>
      <c r="Q30" s="433"/>
      <c r="R30" s="431"/>
      <c r="S30" s="431"/>
      <c r="T30" s="432"/>
      <c r="U30" s="431"/>
      <c r="V30" s="431"/>
      <c r="W30" s="432"/>
    </row>
    <row r="31" spans="1:23">
      <c r="A31" s="432"/>
      <c r="B31" s="431"/>
      <c r="C31" s="432"/>
      <c r="D31" s="431"/>
      <c r="E31" s="436"/>
      <c r="F31" s="436"/>
      <c r="G31" s="437"/>
      <c r="H31" s="436"/>
      <c r="I31" s="436"/>
      <c r="J31" s="436"/>
      <c r="K31" s="436"/>
      <c r="L31" s="437"/>
      <c r="M31" s="436"/>
      <c r="N31" s="436"/>
      <c r="O31" s="436"/>
      <c r="P31" s="437"/>
      <c r="Q31" s="433"/>
      <c r="R31" s="431"/>
      <c r="S31" s="431"/>
      <c r="T31" s="432"/>
      <c r="U31" s="431"/>
      <c r="V31" s="431"/>
      <c r="W31" s="432"/>
    </row>
    <row r="32" spans="1:23">
      <c r="A32" s="432"/>
      <c r="B32" s="431"/>
      <c r="C32" s="432"/>
      <c r="D32" s="431"/>
      <c r="E32" s="436"/>
      <c r="F32" s="436"/>
      <c r="G32" s="437"/>
      <c r="H32" s="436"/>
      <c r="I32" s="436"/>
      <c r="J32" s="436"/>
      <c r="K32" s="436"/>
      <c r="L32" s="437"/>
      <c r="M32" s="436"/>
      <c r="N32" s="436"/>
      <c r="O32" s="436"/>
      <c r="P32" s="437"/>
      <c r="Q32" s="433"/>
      <c r="R32" s="431"/>
      <c r="S32" s="431"/>
      <c r="T32" s="432"/>
      <c r="U32" s="431"/>
      <c r="V32" s="431"/>
      <c r="W32" s="432"/>
    </row>
    <row r="33" spans="1:23">
      <c r="A33" s="432"/>
      <c r="B33" s="431"/>
      <c r="C33" s="432"/>
      <c r="D33" s="431"/>
      <c r="E33" s="436"/>
      <c r="F33" s="436"/>
      <c r="G33" s="437"/>
      <c r="H33" s="436"/>
      <c r="I33" s="436"/>
      <c r="J33" s="436"/>
      <c r="K33" s="436"/>
      <c r="L33" s="437"/>
      <c r="M33" s="436"/>
      <c r="N33" s="436"/>
      <c r="O33" s="436"/>
      <c r="P33" s="437"/>
      <c r="Q33" s="433"/>
      <c r="R33" s="431"/>
      <c r="S33" s="431"/>
      <c r="T33" s="432"/>
      <c r="U33" s="431"/>
      <c r="V33" s="431"/>
      <c r="W33" s="432"/>
    </row>
    <row r="34" spans="1:23">
      <c r="A34" s="432"/>
      <c r="B34" s="431"/>
      <c r="C34" s="432"/>
      <c r="D34" s="431"/>
      <c r="E34" s="436"/>
      <c r="F34" s="436"/>
      <c r="G34" s="437"/>
      <c r="H34" s="436"/>
      <c r="I34" s="436"/>
      <c r="J34" s="436"/>
      <c r="K34" s="436"/>
      <c r="L34" s="437"/>
      <c r="M34" s="436"/>
      <c r="N34" s="436"/>
      <c r="O34" s="436"/>
      <c r="P34" s="437"/>
      <c r="Q34" s="433"/>
      <c r="R34" s="431"/>
      <c r="S34" s="431"/>
      <c r="T34" s="432"/>
      <c r="U34" s="431"/>
      <c r="V34" s="431"/>
      <c r="W34" s="432"/>
    </row>
    <row r="35" spans="1:23">
      <c r="A35" s="432"/>
      <c r="B35" s="431"/>
      <c r="C35" s="432"/>
      <c r="D35" s="431"/>
      <c r="E35" s="436"/>
      <c r="F35" s="436"/>
      <c r="G35" s="437"/>
      <c r="H35" s="436"/>
      <c r="I35" s="436"/>
      <c r="J35" s="436"/>
      <c r="K35" s="436"/>
      <c r="L35" s="437"/>
      <c r="M35" s="436"/>
      <c r="N35" s="436"/>
      <c r="O35" s="436"/>
      <c r="P35" s="437"/>
      <c r="Q35" s="433"/>
      <c r="R35" s="431"/>
      <c r="S35" s="431"/>
      <c r="T35" s="432"/>
      <c r="U35" s="431"/>
      <c r="V35" s="431"/>
      <c r="W35" s="432"/>
    </row>
    <row r="36" spans="1:23">
      <c r="A36" s="432"/>
      <c r="B36" s="431"/>
      <c r="C36" s="432"/>
      <c r="D36" s="431"/>
      <c r="E36" s="436"/>
      <c r="F36" s="436"/>
      <c r="G36" s="437"/>
      <c r="H36" s="436"/>
      <c r="I36" s="436"/>
      <c r="J36" s="436"/>
      <c r="K36" s="436"/>
      <c r="L36" s="437"/>
      <c r="M36" s="436"/>
      <c r="N36" s="436"/>
      <c r="O36" s="436"/>
      <c r="P36" s="437"/>
      <c r="Q36" s="433"/>
      <c r="R36" s="431"/>
      <c r="S36" s="431"/>
      <c r="T36" s="432"/>
      <c r="U36" s="431"/>
      <c r="V36" s="431"/>
      <c r="W36" s="432"/>
    </row>
    <row r="37" spans="1:23">
      <c r="A37" s="432"/>
      <c r="B37" s="431"/>
      <c r="C37" s="432"/>
      <c r="D37" s="431"/>
      <c r="E37" s="436"/>
      <c r="F37" s="436"/>
      <c r="G37" s="437"/>
      <c r="H37" s="436"/>
      <c r="I37" s="436"/>
      <c r="J37" s="436"/>
      <c r="K37" s="436"/>
      <c r="L37" s="437"/>
      <c r="M37" s="436"/>
      <c r="N37" s="436"/>
      <c r="O37" s="436"/>
      <c r="P37" s="437"/>
      <c r="Q37" s="433"/>
      <c r="R37" s="431"/>
      <c r="S37" s="431"/>
      <c r="T37" s="432"/>
      <c r="U37" s="431"/>
      <c r="V37" s="431"/>
      <c r="W37" s="432"/>
    </row>
    <row r="38" spans="1:23">
      <c r="A38" s="432"/>
      <c r="B38" s="431"/>
      <c r="C38" s="432"/>
      <c r="D38" s="431"/>
      <c r="E38" s="431"/>
      <c r="F38" s="431"/>
      <c r="G38" s="432"/>
      <c r="H38" s="431"/>
      <c r="I38" s="431"/>
      <c r="J38" s="431"/>
      <c r="K38" s="431"/>
      <c r="L38" s="432"/>
      <c r="M38" s="431"/>
      <c r="N38" s="431"/>
      <c r="O38" s="431"/>
      <c r="P38" s="432"/>
      <c r="Q38" s="433"/>
      <c r="R38" s="431"/>
      <c r="S38" s="431"/>
      <c r="T38" s="432"/>
      <c r="U38" s="431"/>
      <c r="V38" s="431"/>
      <c r="W38" s="432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W36"/>
  <sheetViews>
    <sheetView workbookViewId="0">
      <selection activeCell="O9" sqref="O9"/>
    </sheetView>
  </sheetViews>
  <sheetFormatPr defaultRowHeight="15"/>
  <cols>
    <col min="1" max="1" width="11.85546875" style="434" customWidth="1"/>
    <col min="3" max="3" width="9.140625" style="434"/>
    <col min="7" max="7" width="9.140625" style="434"/>
    <col min="12" max="12" width="9.140625" style="434"/>
    <col min="16" max="16" width="9.140625" style="434"/>
    <col min="17" max="17" width="19.7109375" style="435" customWidth="1"/>
    <col min="20" max="20" width="9.140625" style="434"/>
    <col min="23" max="23" width="9.140625" style="434"/>
  </cols>
  <sheetData>
    <row r="1" spans="1:23" s="268" customFormat="1" ht="11.25">
      <c r="A1" s="364"/>
      <c r="B1" s="365"/>
      <c r="C1" s="366"/>
      <c r="G1" s="367"/>
      <c r="H1" s="368" t="s">
        <v>99</v>
      </c>
      <c r="I1" s="369"/>
      <c r="K1" s="370" t="s">
        <v>100</v>
      </c>
      <c r="L1" s="371"/>
      <c r="M1" s="372"/>
      <c r="N1" s="373"/>
      <c r="O1" s="374"/>
      <c r="P1" s="375" t="s">
        <v>101</v>
      </c>
      <c r="Q1" s="376"/>
      <c r="R1" s="377" t="s">
        <v>102</v>
      </c>
      <c r="S1" s="378"/>
      <c r="T1" s="379"/>
      <c r="U1" s="380" t="s">
        <v>103</v>
      </c>
      <c r="V1" s="381"/>
      <c r="W1" s="382"/>
    </row>
    <row r="2" spans="1:23" s="268" customFormat="1" ht="11.25">
      <c r="A2" s="383"/>
      <c r="B2" s="384"/>
      <c r="C2" s="385"/>
      <c r="E2" s="386" t="s">
        <v>104</v>
      </c>
      <c r="F2" s="387" t="s">
        <v>105</v>
      </c>
      <c r="G2" s="367" t="s">
        <v>106</v>
      </c>
      <c r="H2" s="368" t="s">
        <v>106</v>
      </c>
      <c r="I2" s="388" t="s">
        <v>45</v>
      </c>
      <c r="K2" s="389" t="s">
        <v>107</v>
      </c>
      <c r="L2" s="390"/>
      <c r="M2" s="391" t="s">
        <v>108</v>
      </c>
      <c r="N2" s="392" t="s">
        <v>109</v>
      </c>
      <c r="O2" s="393" t="s">
        <v>110</v>
      </c>
      <c r="P2" s="375" t="s">
        <v>111</v>
      </c>
      <c r="Q2" s="376"/>
      <c r="R2" s="394"/>
      <c r="S2" s="394"/>
      <c r="T2" s="395" t="s">
        <v>107</v>
      </c>
      <c r="U2" s="396" t="s">
        <v>112</v>
      </c>
      <c r="V2" s="381"/>
      <c r="W2" s="395" t="s">
        <v>107</v>
      </c>
    </row>
    <row r="3" spans="1:23" s="268" customFormat="1" ht="11.25">
      <c r="A3" s="383"/>
      <c r="B3" s="384"/>
      <c r="C3" s="385" t="s">
        <v>113</v>
      </c>
      <c r="D3" s="397" t="s">
        <v>114</v>
      </c>
      <c r="E3" s="386" t="s">
        <v>115</v>
      </c>
      <c r="F3" s="387" t="s">
        <v>116</v>
      </c>
      <c r="G3" s="395" t="s">
        <v>117</v>
      </c>
      <c r="H3" s="397" t="s">
        <v>117</v>
      </c>
      <c r="I3" s="393" t="s">
        <v>40</v>
      </c>
      <c r="J3" s="397" t="s">
        <v>40</v>
      </c>
      <c r="K3" s="393" t="s">
        <v>118</v>
      </c>
      <c r="L3" s="375" t="s">
        <v>119</v>
      </c>
      <c r="M3" s="391" t="s">
        <v>120</v>
      </c>
      <c r="N3" s="392" t="s">
        <v>120</v>
      </c>
      <c r="O3" s="393" t="s">
        <v>120</v>
      </c>
      <c r="P3" s="375" t="s">
        <v>120</v>
      </c>
      <c r="Q3" s="398" t="s">
        <v>121</v>
      </c>
      <c r="R3" s="399" t="s">
        <v>122</v>
      </c>
      <c r="S3" s="399"/>
      <c r="T3" s="395" t="s">
        <v>116</v>
      </c>
      <c r="U3" s="396" t="s">
        <v>123</v>
      </c>
      <c r="V3" s="400"/>
      <c r="W3" s="395" t="s">
        <v>116</v>
      </c>
    </row>
    <row r="4" spans="1:23" s="268" customFormat="1" ht="14.25">
      <c r="A4" s="401" t="s">
        <v>124</v>
      </c>
      <c r="B4" s="402" t="s">
        <v>125</v>
      </c>
      <c r="C4" s="403" t="s">
        <v>126</v>
      </c>
      <c r="D4" s="397" t="s">
        <v>41</v>
      </c>
      <c r="E4" s="386" t="s">
        <v>34</v>
      </c>
      <c r="F4" s="387" t="s">
        <v>114</v>
      </c>
      <c r="G4" s="404" t="s">
        <v>127</v>
      </c>
      <c r="H4" s="405" t="s">
        <v>114</v>
      </c>
      <c r="I4" s="393" t="s">
        <v>43</v>
      </c>
      <c r="J4" s="397" t="s">
        <v>26</v>
      </c>
      <c r="K4" s="393"/>
      <c r="L4" s="375" t="s">
        <v>26</v>
      </c>
      <c r="M4" s="391"/>
      <c r="N4" s="373"/>
      <c r="O4" s="374"/>
      <c r="P4" s="406"/>
      <c r="Q4" s="376"/>
      <c r="R4" s="407" t="s">
        <v>128</v>
      </c>
      <c r="S4" s="407" t="s">
        <v>129</v>
      </c>
      <c r="T4" s="408" t="s">
        <v>130</v>
      </c>
      <c r="U4" s="409" t="s">
        <v>131</v>
      </c>
      <c r="V4" s="410" t="s">
        <v>132</v>
      </c>
      <c r="W4" s="408" t="s">
        <v>130</v>
      </c>
    </row>
    <row r="5" spans="1:23" s="268" customFormat="1" ht="12" thickBot="1">
      <c r="A5" s="411" t="s">
        <v>133</v>
      </c>
      <c r="B5" s="412"/>
      <c r="C5" s="413"/>
      <c r="D5" s="414"/>
      <c r="E5" s="415" t="s">
        <v>134</v>
      </c>
      <c r="F5" s="414" t="s">
        <v>135</v>
      </c>
      <c r="G5" s="416" t="s">
        <v>136</v>
      </c>
      <c r="H5" s="417" t="s">
        <v>137</v>
      </c>
      <c r="I5" s="418" t="s">
        <v>138</v>
      </c>
      <c r="J5" s="414"/>
      <c r="K5" s="419" t="s">
        <v>138</v>
      </c>
      <c r="L5" s="420"/>
      <c r="M5" s="421"/>
      <c r="N5" s="422" t="s">
        <v>139</v>
      </c>
      <c r="O5" s="422" t="s">
        <v>139</v>
      </c>
      <c r="P5" s="423" t="s">
        <v>139</v>
      </c>
      <c r="Q5" s="424"/>
      <c r="R5" s="425" t="s">
        <v>138</v>
      </c>
      <c r="S5" s="425" t="s">
        <v>138</v>
      </c>
      <c r="T5" s="426" t="s">
        <v>138</v>
      </c>
      <c r="U5" s="427" t="s">
        <v>140</v>
      </c>
      <c r="V5" s="428"/>
      <c r="W5" s="429" t="s">
        <v>138</v>
      </c>
    </row>
    <row r="6" spans="1:23" s="565" customFormat="1">
      <c r="A6" s="561">
        <v>40423</v>
      </c>
      <c r="B6" s="562" t="s">
        <v>141</v>
      </c>
      <c r="C6" s="563" t="s">
        <v>71</v>
      </c>
      <c r="D6" s="562" t="s">
        <v>179</v>
      </c>
      <c r="E6" s="562">
        <f>25*0.3048</f>
        <v>7.62</v>
      </c>
      <c r="F6" s="562">
        <v>4.6500000000000004</v>
      </c>
      <c r="G6" s="563">
        <f>E6-F6</f>
        <v>2.9699999999999998</v>
      </c>
      <c r="H6" s="562"/>
      <c r="I6" s="562"/>
      <c r="J6" s="562"/>
      <c r="K6" s="562"/>
      <c r="L6" s="563"/>
      <c r="M6" s="562"/>
      <c r="N6" s="562"/>
      <c r="O6" s="562"/>
      <c r="P6" s="563"/>
      <c r="Q6" s="564"/>
      <c r="R6" s="562"/>
      <c r="S6" s="562"/>
      <c r="T6" s="563"/>
      <c r="U6" s="562"/>
      <c r="V6" s="562"/>
      <c r="W6" s="563"/>
    </row>
    <row r="7" spans="1:23" s="565" customFormat="1">
      <c r="A7" s="561">
        <v>40680</v>
      </c>
      <c r="B7" s="562" t="s">
        <v>152</v>
      </c>
      <c r="C7" s="563" t="s">
        <v>71</v>
      </c>
      <c r="D7" s="562" t="s">
        <v>143</v>
      </c>
      <c r="E7" s="562" t="s">
        <v>180</v>
      </c>
      <c r="F7" s="562"/>
      <c r="G7" s="563"/>
      <c r="H7" s="562"/>
      <c r="I7" s="562"/>
      <c r="J7" s="562">
        <v>0.4</v>
      </c>
      <c r="K7" s="562"/>
      <c r="L7" s="563"/>
      <c r="M7" s="562"/>
      <c r="N7" s="562">
        <f>0.4*4.65</f>
        <v>1.8600000000000003</v>
      </c>
      <c r="O7" s="562"/>
      <c r="P7" s="563"/>
      <c r="Q7" s="564" t="s">
        <v>181</v>
      </c>
      <c r="R7" s="562"/>
      <c r="S7" s="562"/>
      <c r="T7" s="563"/>
      <c r="U7" s="562"/>
      <c r="V7" s="562"/>
      <c r="W7" s="563"/>
    </row>
    <row r="8" spans="1:23">
      <c r="A8" s="430">
        <v>40784</v>
      </c>
      <c r="B8" s="431" t="s">
        <v>182</v>
      </c>
      <c r="C8" s="443" t="s">
        <v>71</v>
      </c>
      <c r="D8" s="431" t="s">
        <v>119</v>
      </c>
      <c r="E8" s="431">
        <v>7.62</v>
      </c>
      <c r="F8" s="431">
        <v>2.57</v>
      </c>
      <c r="G8" s="432">
        <f>E8-F8</f>
        <v>5.0500000000000007</v>
      </c>
      <c r="H8" s="431">
        <f>G8-G6</f>
        <v>2.080000000000001</v>
      </c>
      <c r="I8" s="431"/>
      <c r="J8" s="431"/>
      <c r="K8" s="431"/>
      <c r="L8" s="432">
        <v>0.53</v>
      </c>
      <c r="M8" s="431"/>
      <c r="N8" s="431"/>
      <c r="O8" s="431">
        <f>2.15*L8</f>
        <v>1.1395</v>
      </c>
      <c r="P8" s="432"/>
      <c r="Q8" s="439"/>
      <c r="R8" s="431"/>
      <c r="S8" s="431"/>
      <c r="T8" s="432"/>
      <c r="U8" s="431"/>
      <c r="V8" s="431"/>
      <c r="W8" s="432"/>
    </row>
    <row r="9" spans="1:23">
      <c r="A9" s="430"/>
      <c r="B9" s="431"/>
      <c r="C9" s="443"/>
      <c r="D9" s="431"/>
      <c r="E9" s="431"/>
      <c r="F9" s="431"/>
      <c r="G9" s="432"/>
      <c r="H9" s="431"/>
      <c r="I9" s="431"/>
      <c r="J9" s="431"/>
      <c r="K9" s="431"/>
      <c r="L9" s="432"/>
      <c r="M9" s="431"/>
      <c r="N9" s="431"/>
      <c r="O9" s="431"/>
      <c r="P9" s="432"/>
      <c r="Q9" s="439"/>
      <c r="R9" s="431"/>
      <c r="S9" s="431"/>
      <c r="T9" s="432"/>
      <c r="U9" s="431"/>
      <c r="V9" s="431"/>
      <c r="W9" s="432"/>
    </row>
    <row r="10" spans="1:23" s="560" customFormat="1">
      <c r="A10" s="554">
        <v>40777</v>
      </c>
      <c r="B10" s="555" t="s">
        <v>152</v>
      </c>
      <c r="C10" s="556" t="s">
        <v>153</v>
      </c>
      <c r="D10" s="557" t="s">
        <v>142</v>
      </c>
      <c r="E10" s="557">
        <f>F10+G10</f>
        <v>7.9399999999999995</v>
      </c>
      <c r="F10" s="557">
        <v>4.8899999999999997</v>
      </c>
      <c r="G10" s="558">
        <v>3.05</v>
      </c>
      <c r="H10" s="555"/>
      <c r="I10" s="555"/>
      <c r="J10" s="555"/>
      <c r="K10" s="555"/>
      <c r="L10" s="556"/>
      <c r="M10" s="555"/>
      <c r="N10" s="555"/>
      <c r="O10" s="555"/>
      <c r="P10" s="556"/>
      <c r="Q10" s="559" t="s">
        <v>163</v>
      </c>
      <c r="R10" s="555"/>
      <c r="S10" s="555"/>
      <c r="T10" s="556"/>
      <c r="U10" s="555"/>
      <c r="V10" s="555"/>
      <c r="W10" s="556"/>
    </row>
    <row r="11" spans="1:23" s="560" customFormat="1">
      <c r="A11" s="554">
        <v>40784</v>
      </c>
      <c r="B11" s="555" t="s">
        <v>152</v>
      </c>
      <c r="C11" s="556" t="s">
        <v>71</v>
      </c>
      <c r="D11" s="557"/>
      <c r="E11" s="557"/>
      <c r="F11" s="557"/>
      <c r="G11" s="558"/>
      <c r="H11" s="555"/>
      <c r="I11" s="555">
        <v>2.4</v>
      </c>
      <c r="J11" s="555">
        <v>0.53</v>
      </c>
      <c r="K11" s="555"/>
      <c r="L11" s="556"/>
      <c r="M11" s="555"/>
      <c r="N11" s="555"/>
      <c r="O11" s="555"/>
      <c r="P11" s="556"/>
      <c r="Q11" s="559" t="s">
        <v>166</v>
      </c>
      <c r="R11" s="555"/>
      <c r="S11" s="555"/>
      <c r="T11" s="556"/>
      <c r="U11" s="555"/>
      <c r="V11" s="555"/>
      <c r="W11" s="556"/>
    </row>
    <row r="12" spans="1:23" s="560" customFormat="1">
      <c r="A12" s="554">
        <v>40804</v>
      </c>
      <c r="B12" s="555" t="s">
        <v>152</v>
      </c>
      <c r="C12" s="556" t="s">
        <v>162</v>
      </c>
      <c r="D12" s="555" t="s">
        <v>40</v>
      </c>
      <c r="E12" s="557">
        <f>E10</f>
        <v>7.9399999999999995</v>
      </c>
      <c r="F12" s="555">
        <v>4.3</v>
      </c>
      <c r="G12" s="558">
        <f>E12-F12</f>
        <v>3.6399999999999997</v>
      </c>
      <c r="H12" s="557">
        <f>G12-G10</f>
        <v>0.58999999999999986</v>
      </c>
      <c r="I12" s="555"/>
      <c r="J12" s="555"/>
      <c r="K12" s="555"/>
      <c r="L12" s="556"/>
      <c r="M12" s="555"/>
      <c r="N12" s="555"/>
      <c r="O12" s="555"/>
      <c r="P12" s="556"/>
      <c r="Q12" s="559" t="s">
        <v>164</v>
      </c>
      <c r="R12" s="555"/>
      <c r="S12" s="555"/>
      <c r="T12" s="556"/>
      <c r="U12" s="555"/>
      <c r="V12" s="555"/>
      <c r="W12" s="556"/>
    </row>
    <row r="13" spans="1:23" s="560" customFormat="1">
      <c r="A13" s="554">
        <v>40826</v>
      </c>
      <c r="B13" s="555" t="s">
        <v>152</v>
      </c>
      <c r="C13" s="556" t="s">
        <v>157</v>
      </c>
      <c r="D13" s="555" t="s">
        <v>40</v>
      </c>
      <c r="E13" s="557">
        <f>E10</f>
        <v>7.9399999999999995</v>
      </c>
      <c r="F13" s="555">
        <v>0.56999999999999995</v>
      </c>
      <c r="G13" s="558">
        <f>E13-F13</f>
        <v>7.3699999999999992</v>
      </c>
      <c r="H13" s="557">
        <f>G13-G12</f>
        <v>3.7299999999999995</v>
      </c>
      <c r="I13" s="555"/>
      <c r="J13" s="555"/>
      <c r="K13" s="555"/>
      <c r="L13" s="556"/>
      <c r="M13" s="555"/>
      <c r="N13" s="555"/>
      <c r="O13" s="555"/>
      <c r="P13" s="556"/>
      <c r="Q13" s="559" t="s">
        <v>158</v>
      </c>
      <c r="R13" s="555"/>
      <c r="S13" s="555"/>
      <c r="T13" s="556"/>
      <c r="U13" s="555"/>
      <c r="V13" s="555"/>
      <c r="W13" s="556"/>
    </row>
    <row r="14" spans="1:23" s="560" customFormat="1">
      <c r="A14" s="554">
        <v>40826</v>
      </c>
      <c r="B14" s="555" t="s">
        <v>152</v>
      </c>
      <c r="C14" s="556" t="s">
        <v>157</v>
      </c>
      <c r="D14" s="555" t="s">
        <v>40</v>
      </c>
      <c r="E14" s="557">
        <f>E13+2.09</f>
        <v>10.029999999999999</v>
      </c>
      <c r="F14" s="555">
        <f>F13+2.09</f>
        <v>2.6599999999999997</v>
      </c>
      <c r="G14" s="558">
        <f>E14-F14</f>
        <v>7.3699999999999992</v>
      </c>
      <c r="H14" s="555"/>
      <c r="I14" s="555"/>
      <c r="J14" s="555"/>
      <c r="K14" s="555"/>
      <c r="L14" s="556"/>
      <c r="M14" s="555"/>
      <c r="N14" s="555"/>
      <c r="O14" s="555"/>
      <c r="P14" s="556"/>
      <c r="Q14" s="559"/>
      <c r="R14" s="555"/>
      <c r="S14" s="555"/>
      <c r="T14" s="556"/>
      <c r="U14" s="555"/>
      <c r="V14" s="555"/>
      <c r="W14" s="556"/>
    </row>
    <row r="15" spans="1:23">
      <c r="A15" s="432"/>
      <c r="B15" s="431"/>
      <c r="C15" s="432"/>
      <c r="D15" s="431"/>
      <c r="E15" s="431"/>
      <c r="F15" s="431"/>
      <c r="G15" s="432"/>
      <c r="H15" s="431"/>
      <c r="I15" s="431"/>
      <c r="J15" s="431"/>
      <c r="K15" s="431"/>
      <c r="L15" s="432"/>
      <c r="M15" s="431"/>
      <c r="N15" s="431"/>
      <c r="O15" s="431"/>
      <c r="P15" s="432"/>
      <c r="Q15" s="439"/>
      <c r="R15" s="431"/>
      <c r="S15" s="431"/>
      <c r="T15" s="432"/>
      <c r="U15" s="431"/>
      <c r="V15" s="431"/>
      <c r="W15" s="432"/>
    </row>
    <row r="16" spans="1:23">
      <c r="A16" s="432"/>
      <c r="B16" s="431"/>
      <c r="C16" s="432"/>
      <c r="D16" s="431"/>
      <c r="E16" s="431"/>
      <c r="F16" s="431"/>
      <c r="G16" s="432"/>
      <c r="H16" s="431"/>
      <c r="I16" s="431"/>
      <c r="J16" s="431"/>
      <c r="K16" s="431"/>
      <c r="L16" s="432"/>
      <c r="M16" s="431"/>
      <c r="N16" s="431"/>
      <c r="O16" s="431"/>
      <c r="P16" s="432"/>
      <c r="Q16" s="439"/>
      <c r="R16" s="431"/>
      <c r="S16" s="431"/>
      <c r="T16" s="432"/>
      <c r="U16" s="431"/>
      <c r="V16" s="431"/>
      <c r="W16" s="432"/>
    </row>
    <row r="17" spans="1:23">
      <c r="A17" s="432"/>
      <c r="B17" s="431"/>
      <c r="C17" s="432"/>
      <c r="D17" s="431"/>
      <c r="E17" s="431"/>
      <c r="F17" s="431"/>
      <c r="G17" s="432"/>
      <c r="H17" s="431"/>
      <c r="I17" s="431"/>
      <c r="J17" s="431"/>
      <c r="K17" s="431"/>
      <c r="L17" s="432"/>
      <c r="M17" s="431"/>
      <c r="N17" s="431"/>
      <c r="O17" s="431"/>
      <c r="P17" s="432"/>
      <c r="Q17" s="439"/>
      <c r="R17" s="431"/>
      <c r="S17" s="431"/>
      <c r="T17" s="432"/>
      <c r="U17" s="431"/>
      <c r="V17" s="431"/>
      <c r="W17" s="432"/>
    </row>
    <row r="18" spans="1:23">
      <c r="A18" s="432"/>
      <c r="B18" s="431"/>
      <c r="C18" s="432"/>
      <c r="D18" s="431"/>
      <c r="E18" s="431"/>
      <c r="F18" s="431"/>
      <c r="G18" s="432"/>
      <c r="H18" s="431"/>
      <c r="I18" s="431"/>
      <c r="J18" s="431"/>
      <c r="K18" s="431"/>
      <c r="L18" s="432"/>
      <c r="M18" s="431"/>
      <c r="N18" s="431"/>
      <c r="O18" s="431"/>
      <c r="P18" s="432"/>
      <c r="Q18" s="439"/>
      <c r="R18" s="431"/>
      <c r="S18" s="431"/>
      <c r="T18" s="432"/>
      <c r="U18" s="431"/>
      <c r="V18" s="431"/>
      <c r="W18" s="432"/>
    </row>
    <row r="19" spans="1:23">
      <c r="A19" s="432"/>
      <c r="B19" s="431"/>
      <c r="C19" s="432"/>
      <c r="D19" s="431"/>
      <c r="E19" s="431"/>
      <c r="F19" s="431"/>
      <c r="G19" s="432"/>
      <c r="H19" s="431"/>
      <c r="I19" s="431"/>
      <c r="J19" s="431"/>
      <c r="K19" s="431"/>
      <c r="L19" s="432"/>
      <c r="M19" s="431"/>
      <c r="N19" s="431"/>
      <c r="O19" s="431"/>
      <c r="P19" s="432"/>
      <c r="Q19" s="439"/>
      <c r="R19" s="431"/>
      <c r="S19" s="431"/>
      <c r="T19" s="432"/>
      <c r="U19" s="431"/>
      <c r="V19" s="431"/>
      <c r="W19" s="432"/>
    </row>
    <row r="20" spans="1:23">
      <c r="A20" s="432"/>
      <c r="B20" s="431"/>
      <c r="C20" s="432"/>
      <c r="D20" s="431"/>
      <c r="E20" s="431"/>
      <c r="F20" s="431"/>
      <c r="G20" s="432"/>
      <c r="H20" s="431"/>
      <c r="I20" s="431"/>
      <c r="J20" s="431"/>
      <c r="K20" s="431"/>
      <c r="L20" s="432"/>
      <c r="M20" s="431"/>
      <c r="N20" s="431"/>
      <c r="O20" s="431"/>
      <c r="P20" s="432"/>
      <c r="Q20" s="439"/>
      <c r="R20" s="431"/>
      <c r="S20" s="431"/>
      <c r="T20" s="432"/>
      <c r="U20" s="431"/>
      <c r="V20" s="431"/>
      <c r="W20" s="432"/>
    </row>
    <row r="21" spans="1:23">
      <c r="A21" s="432"/>
      <c r="B21" s="431"/>
      <c r="C21" s="432"/>
      <c r="D21" s="431"/>
      <c r="E21" s="431"/>
      <c r="F21" s="431"/>
      <c r="G21" s="432"/>
      <c r="H21" s="431"/>
      <c r="I21" s="431"/>
      <c r="J21" s="431"/>
      <c r="K21" s="431"/>
      <c r="L21" s="432"/>
      <c r="M21" s="431"/>
      <c r="N21" s="431"/>
      <c r="O21" s="431"/>
      <c r="P21" s="432"/>
      <c r="Q21" s="439"/>
      <c r="R21" s="431"/>
      <c r="S21" s="431"/>
      <c r="T21" s="432"/>
      <c r="U21" s="431"/>
      <c r="V21" s="431"/>
      <c r="W21" s="432"/>
    </row>
    <row r="22" spans="1:23">
      <c r="A22" s="432"/>
      <c r="B22" s="431"/>
      <c r="C22" s="432"/>
      <c r="D22" s="431"/>
      <c r="E22" s="431"/>
      <c r="F22" s="431"/>
      <c r="G22" s="432"/>
      <c r="H22" s="431"/>
      <c r="I22" s="431"/>
      <c r="J22" s="431"/>
      <c r="K22" s="431"/>
      <c r="L22" s="432"/>
      <c r="M22" s="431"/>
      <c r="N22" s="431"/>
      <c r="O22" s="431"/>
      <c r="P22" s="432"/>
      <c r="Q22" s="433"/>
      <c r="R22" s="431"/>
      <c r="S22" s="431"/>
      <c r="T22" s="432"/>
      <c r="U22" s="431"/>
      <c r="V22" s="431"/>
      <c r="W22" s="432"/>
    </row>
    <row r="23" spans="1:23">
      <c r="A23" s="432"/>
      <c r="B23" s="431"/>
      <c r="C23" s="432"/>
      <c r="D23" s="431"/>
      <c r="E23" s="431"/>
      <c r="F23" s="431"/>
      <c r="G23" s="432"/>
      <c r="H23" s="431"/>
      <c r="I23" s="431"/>
      <c r="J23" s="431"/>
      <c r="K23" s="431"/>
      <c r="L23" s="432"/>
      <c r="M23" s="431"/>
      <c r="N23" s="431"/>
      <c r="O23" s="431"/>
      <c r="P23" s="432"/>
      <c r="Q23" s="433"/>
      <c r="R23" s="431"/>
      <c r="S23" s="431"/>
      <c r="T23" s="432"/>
      <c r="U23" s="431"/>
      <c r="V23" s="431"/>
      <c r="W23" s="432"/>
    </row>
    <row r="24" spans="1:23">
      <c r="A24" s="432"/>
      <c r="B24" s="431"/>
      <c r="C24" s="432"/>
      <c r="D24" s="431"/>
      <c r="E24" s="431"/>
      <c r="F24" s="431"/>
      <c r="G24" s="432"/>
      <c r="H24" s="431"/>
      <c r="I24" s="431"/>
      <c r="J24" s="431"/>
      <c r="K24" s="431"/>
      <c r="L24" s="432"/>
      <c r="M24" s="431"/>
      <c r="N24" s="431"/>
      <c r="O24" s="431"/>
      <c r="P24" s="432"/>
      <c r="Q24" s="433"/>
      <c r="R24" s="431"/>
      <c r="S24" s="431"/>
      <c r="T24" s="432"/>
      <c r="U24" s="431"/>
      <c r="V24" s="431"/>
      <c r="W24" s="432"/>
    </row>
    <row r="25" spans="1:23">
      <c r="A25" s="432"/>
      <c r="B25" s="431"/>
      <c r="C25" s="432"/>
      <c r="D25" s="431"/>
      <c r="E25" s="431"/>
      <c r="F25" s="431"/>
      <c r="G25" s="432"/>
      <c r="H25" s="431"/>
      <c r="I25" s="431"/>
      <c r="J25" s="431"/>
      <c r="K25" s="431"/>
      <c r="L25" s="432"/>
      <c r="M25" s="431"/>
      <c r="N25" s="431"/>
      <c r="O25" s="431"/>
      <c r="P25" s="432"/>
      <c r="Q25" s="433"/>
      <c r="R25" s="431"/>
      <c r="S25" s="431"/>
      <c r="T25" s="432"/>
      <c r="U25" s="431"/>
      <c r="V25" s="431"/>
      <c r="W25" s="432"/>
    </row>
    <row r="26" spans="1:23">
      <c r="A26" s="432"/>
      <c r="B26" s="431"/>
      <c r="C26" s="432"/>
      <c r="D26" s="431"/>
      <c r="E26" s="431"/>
      <c r="F26" s="431"/>
      <c r="G26" s="432"/>
      <c r="H26" s="431"/>
      <c r="I26" s="431"/>
      <c r="J26" s="431"/>
      <c r="K26" s="431"/>
      <c r="L26" s="432"/>
      <c r="M26" s="431"/>
      <c r="N26" s="431"/>
      <c r="O26" s="431"/>
      <c r="P26" s="432"/>
      <c r="Q26" s="433"/>
      <c r="R26" s="431"/>
      <c r="S26" s="431"/>
      <c r="T26" s="432"/>
      <c r="U26" s="431"/>
      <c r="V26" s="431"/>
      <c r="W26" s="432"/>
    </row>
    <row r="27" spans="1:23">
      <c r="A27" s="432"/>
      <c r="B27" s="431"/>
      <c r="C27" s="432"/>
      <c r="D27" s="431"/>
      <c r="E27" s="431"/>
      <c r="F27" s="431"/>
      <c r="G27" s="432"/>
      <c r="H27" s="431"/>
      <c r="I27" s="431"/>
      <c r="J27" s="431"/>
      <c r="K27" s="431"/>
      <c r="L27" s="432"/>
      <c r="M27" s="431"/>
      <c r="N27" s="431"/>
      <c r="O27" s="431"/>
      <c r="P27" s="432"/>
      <c r="Q27" s="433"/>
      <c r="R27" s="431"/>
      <c r="S27" s="431"/>
      <c r="T27" s="432"/>
      <c r="U27" s="431"/>
      <c r="V27" s="431"/>
      <c r="W27" s="432"/>
    </row>
    <row r="28" spans="1:23">
      <c r="A28" s="432"/>
      <c r="B28" s="431"/>
      <c r="C28" s="432"/>
      <c r="D28" s="431"/>
      <c r="E28" s="431"/>
      <c r="F28" s="431"/>
      <c r="G28" s="432"/>
      <c r="H28" s="431"/>
      <c r="I28" s="431"/>
      <c r="J28" s="431"/>
      <c r="K28" s="431"/>
      <c r="L28" s="432"/>
      <c r="M28" s="431"/>
      <c r="N28" s="431"/>
      <c r="O28" s="431"/>
      <c r="P28" s="432"/>
      <c r="Q28" s="433"/>
      <c r="R28" s="431"/>
      <c r="S28" s="431"/>
      <c r="T28" s="432"/>
      <c r="U28" s="431"/>
      <c r="V28" s="431"/>
      <c r="W28" s="432"/>
    </row>
    <row r="29" spans="1:23">
      <c r="A29" s="432"/>
      <c r="B29" s="431"/>
      <c r="C29" s="432"/>
      <c r="D29" s="431"/>
      <c r="E29" s="431"/>
      <c r="F29" s="431"/>
      <c r="G29" s="432"/>
      <c r="H29" s="431"/>
      <c r="I29" s="431"/>
      <c r="J29" s="431"/>
      <c r="K29" s="431"/>
      <c r="L29" s="432"/>
      <c r="M29" s="431"/>
      <c r="N29" s="431"/>
      <c r="O29" s="431"/>
      <c r="P29" s="432"/>
      <c r="Q29" s="433"/>
      <c r="R29" s="431"/>
      <c r="S29" s="431"/>
      <c r="T29" s="432"/>
      <c r="U29" s="431"/>
      <c r="V29" s="431"/>
      <c r="W29" s="432"/>
    </row>
    <row r="30" spans="1:23">
      <c r="A30" s="432"/>
      <c r="B30" s="431"/>
      <c r="C30" s="432"/>
      <c r="D30" s="431"/>
      <c r="E30" s="431"/>
      <c r="F30" s="431"/>
      <c r="G30" s="432"/>
      <c r="H30" s="431"/>
      <c r="I30" s="431"/>
      <c r="J30" s="431"/>
      <c r="K30" s="431"/>
      <c r="L30" s="432"/>
      <c r="M30" s="431"/>
      <c r="N30" s="431"/>
      <c r="O30" s="431"/>
      <c r="P30" s="432"/>
      <c r="Q30" s="433"/>
      <c r="R30" s="431"/>
      <c r="S30" s="431"/>
      <c r="T30" s="432"/>
      <c r="U30" s="431"/>
      <c r="V30" s="431"/>
      <c r="W30" s="432"/>
    </row>
    <row r="31" spans="1:23">
      <c r="A31" s="432"/>
      <c r="B31" s="431"/>
      <c r="C31" s="432"/>
      <c r="D31" s="431"/>
      <c r="E31" s="431"/>
      <c r="F31" s="431"/>
      <c r="G31" s="432"/>
      <c r="H31" s="431"/>
      <c r="I31" s="431"/>
      <c r="J31" s="431"/>
      <c r="K31" s="431"/>
      <c r="L31" s="432"/>
      <c r="M31" s="431"/>
      <c r="N31" s="431"/>
      <c r="O31" s="431"/>
      <c r="P31" s="432"/>
      <c r="Q31" s="433"/>
      <c r="R31" s="431"/>
      <c r="S31" s="431"/>
      <c r="T31" s="432"/>
      <c r="U31" s="431"/>
      <c r="V31" s="431"/>
      <c r="W31" s="432"/>
    </row>
    <row r="32" spans="1:23">
      <c r="A32" s="432"/>
      <c r="B32" s="431"/>
      <c r="C32" s="432"/>
      <c r="D32" s="431"/>
      <c r="E32" s="431"/>
      <c r="F32" s="431"/>
      <c r="G32" s="432"/>
      <c r="H32" s="431"/>
      <c r="I32" s="431"/>
      <c r="J32" s="431"/>
      <c r="K32" s="431"/>
      <c r="L32" s="432"/>
      <c r="M32" s="431"/>
      <c r="N32" s="431"/>
      <c r="O32" s="431"/>
      <c r="P32" s="432"/>
      <c r="Q32" s="433"/>
      <c r="R32" s="431"/>
      <c r="S32" s="431"/>
      <c r="T32" s="432"/>
      <c r="U32" s="431"/>
      <c r="V32" s="431"/>
      <c r="W32" s="432"/>
    </row>
    <row r="33" spans="1:23">
      <c r="A33" s="432"/>
      <c r="B33" s="431"/>
      <c r="C33" s="432"/>
      <c r="D33" s="431"/>
      <c r="E33" s="431"/>
      <c r="F33" s="431"/>
      <c r="G33" s="432"/>
      <c r="H33" s="431"/>
      <c r="I33" s="431"/>
      <c r="J33" s="431"/>
      <c r="K33" s="431"/>
      <c r="L33" s="432"/>
      <c r="M33" s="431"/>
      <c r="N33" s="431"/>
      <c r="O33" s="431"/>
      <c r="P33" s="432"/>
      <c r="Q33" s="433"/>
      <c r="R33" s="431"/>
      <c r="S33" s="431"/>
      <c r="T33" s="432"/>
      <c r="U33" s="431"/>
      <c r="V33" s="431"/>
      <c r="W33" s="432"/>
    </row>
    <row r="34" spans="1:23">
      <c r="A34" s="432"/>
      <c r="B34" s="431"/>
      <c r="C34" s="432"/>
      <c r="D34" s="431"/>
      <c r="E34" s="431"/>
      <c r="F34" s="431"/>
      <c r="G34" s="432"/>
      <c r="H34" s="431"/>
      <c r="I34" s="431"/>
      <c r="J34" s="431"/>
      <c r="K34" s="431"/>
      <c r="L34" s="432"/>
      <c r="M34" s="431"/>
      <c r="N34" s="431"/>
      <c r="O34" s="431"/>
      <c r="P34" s="432"/>
      <c r="Q34" s="433"/>
      <c r="R34" s="431"/>
      <c r="S34" s="431"/>
      <c r="T34" s="432"/>
      <c r="U34" s="431"/>
      <c r="V34" s="431"/>
      <c r="W34" s="432"/>
    </row>
    <row r="35" spans="1:23">
      <c r="A35" s="432"/>
      <c r="B35" s="431"/>
      <c r="C35" s="432"/>
      <c r="D35" s="431"/>
      <c r="E35" s="431"/>
      <c r="F35" s="431"/>
      <c r="G35" s="432"/>
      <c r="H35" s="431"/>
      <c r="I35" s="431"/>
      <c r="J35" s="431"/>
      <c r="K35" s="431"/>
      <c r="L35" s="432"/>
      <c r="M35" s="431"/>
      <c r="N35" s="431"/>
      <c r="O35" s="431"/>
      <c r="P35" s="432"/>
      <c r="Q35" s="433"/>
      <c r="R35" s="431"/>
      <c r="S35" s="431"/>
      <c r="T35" s="432"/>
      <c r="U35" s="431"/>
      <c r="V35" s="431"/>
      <c r="W35" s="432"/>
    </row>
    <row r="36" spans="1:23">
      <c r="A36" s="432"/>
      <c r="B36" s="431"/>
      <c r="C36" s="432"/>
      <c r="D36" s="431"/>
      <c r="E36" s="431"/>
      <c r="F36" s="431"/>
      <c r="G36" s="432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W34"/>
  <sheetViews>
    <sheetView workbookViewId="0">
      <selection activeCell="M14" sqref="M14"/>
    </sheetView>
  </sheetViews>
  <sheetFormatPr defaultRowHeight="15"/>
  <cols>
    <col min="1" max="1" width="12.42578125" style="434" customWidth="1"/>
    <col min="3" max="3" width="9.140625" style="434"/>
    <col min="7" max="7" width="9.140625" style="434"/>
    <col min="12" max="12" width="9.140625" style="434"/>
    <col min="16" max="16" width="9.140625" style="434"/>
    <col min="17" max="17" width="18.5703125" style="435" customWidth="1"/>
    <col min="20" max="20" width="9.140625" style="434"/>
    <col min="23" max="23" width="9.140625" style="434"/>
  </cols>
  <sheetData>
    <row r="1" spans="1:23" s="268" customFormat="1" ht="11.25">
      <c r="A1" s="364"/>
      <c r="B1" s="365"/>
      <c r="C1" s="366"/>
      <c r="G1" s="367"/>
      <c r="H1" s="368" t="s">
        <v>99</v>
      </c>
      <c r="I1" s="369"/>
      <c r="K1" s="370" t="s">
        <v>100</v>
      </c>
      <c r="L1" s="371"/>
      <c r="M1" s="372"/>
      <c r="N1" s="373"/>
      <c r="O1" s="374"/>
      <c r="P1" s="375" t="s">
        <v>101</v>
      </c>
      <c r="Q1" s="376"/>
      <c r="R1" s="377" t="s">
        <v>102</v>
      </c>
      <c r="S1" s="378"/>
      <c r="T1" s="379"/>
      <c r="U1" s="380" t="s">
        <v>103</v>
      </c>
      <c r="V1" s="381"/>
      <c r="W1" s="382"/>
    </row>
    <row r="2" spans="1:23" s="268" customFormat="1" ht="11.25">
      <c r="A2" s="383"/>
      <c r="B2" s="384"/>
      <c r="C2" s="385"/>
      <c r="E2" s="386" t="s">
        <v>104</v>
      </c>
      <c r="F2" s="387" t="s">
        <v>105</v>
      </c>
      <c r="G2" s="367" t="s">
        <v>106</v>
      </c>
      <c r="H2" s="368" t="s">
        <v>106</v>
      </c>
      <c r="I2" s="388" t="s">
        <v>45</v>
      </c>
      <c r="K2" s="389" t="s">
        <v>107</v>
      </c>
      <c r="L2" s="390"/>
      <c r="M2" s="391" t="s">
        <v>108</v>
      </c>
      <c r="N2" s="392" t="s">
        <v>109</v>
      </c>
      <c r="O2" s="393" t="s">
        <v>110</v>
      </c>
      <c r="P2" s="375" t="s">
        <v>111</v>
      </c>
      <c r="Q2" s="376"/>
      <c r="R2" s="394"/>
      <c r="S2" s="394"/>
      <c r="T2" s="395" t="s">
        <v>107</v>
      </c>
      <c r="U2" s="396" t="s">
        <v>112</v>
      </c>
      <c r="V2" s="381"/>
      <c r="W2" s="395" t="s">
        <v>107</v>
      </c>
    </row>
    <row r="3" spans="1:23" s="268" customFormat="1" ht="11.25">
      <c r="A3" s="383"/>
      <c r="B3" s="384"/>
      <c r="C3" s="385" t="s">
        <v>113</v>
      </c>
      <c r="D3" s="397" t="s">
        <v>114</v>
      </c>
      <c r="E3" s="386" t="s">
        <v>115</v>
      </c>
      <c r="F3" s="387" t="s">
        <v>116</v>
      </c>
      <c r="G3" s="395" t="s">
        <v>117</v>
      </c>
      <c r="H3" s="397" t="s">
        <v>117</v>
      </c>
      <c r="I3" s="393" t="s">
        <v>40</v>
      </c>
      <c r="J3" s="397" t="s">
        <v>40</v>
      </c>
      <c r="K3" s="393" t="s">
        <v>118</v>
      </c>
      <c r="L3" s="375" t="s">
        <v>119</v>
      </c>
      <c r="M3" s="391" t="s">
        <v>120</v>
      </c>
      <c r="N3" s="392" t="s">
        <v>120</v>
      </c>
      <c r="O3" s="393" t="s">
        <v>120</v>
      </c>
      <c r="P3" s="375" t="s">
        <v>120</v>
      </c>
      <c r="Q3" s="398" t="s">
        <v>121</v>
      </c>
      <c r="R3" s="399" t="s">
        <v>122</v>
      </c>
      <c r="S3" s="399"/>
      <c r="T3" s="395" t="s">
        <v>116</v>
      </c>
      <c r="U3" s="396" t="s">
        <v>123</v>
      </c>
      <c r="V3" s="400"/>
      <c r="W3" s="395" t="s">
        <v>116</v>
      </c>
    </row>
    <row r="4" spans="1:23" s="268" customFormat="1" ht="14.25">
      <c r="A4" s="401" t="s">
        <v>124</v>
      </c>
      <c r="B4" s="402" t="s">
        <v>125</v>
      </c>
      <c r="C4" s="403" t="s">
        <v>126</v>
      </c>
      <c r="D4" s="397" t="s">
        <v>41</v>
      </c>
      <c r="E4" s="386" t="s">
        <v>34</v>
      </c>
      <c r="F4" s="387" t="s">
        <v>114</v>
      </c>
      <c r="G4" s="404" t="s">
        <v>127</v>
      </c>
      <c r="H4" s="405" t="s">
        <v>114</v>
      </c>
      <c r="I4" s="393" t="s">
        <v>43</v>
      </c>
      <c r="J4" s="397" t="s">
        <v>26</v>
      </c>
      <c r="K4" s="393"/>
      <c r="L4" s="375" t="s">
        <v>26</v>
      </c>
      <c r="M4" s="391"/>
      <c r="N4" s="373"/>
      <c r="O4" s="374"/>
      <c r="P4" s="406"/>
      <c r="Q4" s="376"/>
      <c r="R4" s="407" t="s">
        <v>128</v>
      </c>
      <c r="S4" s="407" t="s">
        <v>129</v>
      </c>
      <c r="T4" s="408" t="s">
        <v>130</v>
      </c>
      <c r="U4" s="409" t="s">
        <v>131</v>
      </c>
      <c r="V4" s="410" t="s">
        <v>132</v>
      </c>
      <c r="W4" s="408" t="s">
        <v>130</v>
      </c>
    </row>
    <row r="5" spans="1:23" s="268" customFormat="1" ht="12" thickBot="1">
      <c r="A5" s="411" t="s">
        <v>133</v>
      </c>
      <c r="B5" s="412"/>
      <c r="C5" s="413"/>
      <c r="D5" s="414"/>
      <c r="E5" s="415" t="s">
        <v>134</v>
      </c>
      <c r="F5" s="414" t="s">
        <v>135</v>
      </c>
      <c r="G5" s="416" t="s">
        <v>136</v>
      </c>
      <c r="H5" s="417" t="s">
        <v>137</v>
      </c>
      <c r="I5" s="418" t="s">
        <v>138</v>
      </c>
      <c r="J5" s="414"/>
      <c r="K5" s="419" t="s">
        <v>138</v>
      </c>
      <c r="L5" s="420"/>
      <c r="M5" s="421"/>
      <c r="N5" s="422" t="s">
        <v>139</v>
      </c>
      <c r="O5" s="422" t="s">
        <v>139</v>
      </c>
      <c r="P5" s="423" t="s">
        <v>139</v>
      </c>
      <c r="Q5" s="424"/>
      <c r="R5" s="425" t="s">
        <v>138</v>
      </c>
      <c r="S5" s="425" t="s">
        <v>138</v>
      </c>
      <c r="T5" s="426" t="s">
        <v>138</v>
      </c>
      <c r="U5" s="427" t="s">
        <v>140</v>
      </c>
      <c r="V5" s="428"/>
      <c r="W5" s="429" t="s">
        <v>138</v>
      </c>
    </row>
    <row r="6" spans="1:23" s="455" customFormat="1">
      <c r="A6" s="450">
        <v>40423</v>
      </c>
      <c r="B6" s="451" t="s">
        <v>141</v>
      </c>
      <c r="C6" s="452" t="s">
        <v>155</v>
      </c>
      <c r="D6" s="453" t="s">
        <v>40</v>
      </c>
      <c r="E6" s="453">
        <f>25*0.3048</f>
        <v>7.62</v>
      </c>
      <c r="F6" s="453">
        <v>4</v>
      </c>
      <c r="G6" s="454">
        <f>E6-F6</f>
        <v>3.62</v>
      </c>
      <c r="H6" s="453"/>
      <c r="I6" s="453"/>
      <c r="J6" s="453"/>
      <c r="K6" s="453"/>
      <c r="L6" s="454"/>
      <c r="M6" s="453"/>
      <c r="N6" s="453"/>
      <c r="O6" s="453"/>
      <c r="P6" s="454"/>
      <c r="Q6" s="566"/>
      <c r="R6" s="451"/>
      <c r="S6" s="451"/>
      <c r="T6" s="452"/>
      <c r="U6" s="451"/>
      <c r="V6" s="451"/>
      <c r="W6" s="452"/>
    </row>
    <row r="7" spans="1:23" s="455" customFormat="1" ht="15" customHeight="1">
      <c r="A7" s="450">
        <v>40708</v>
      </c>
      <c r="B7" s="451" t="s">
        <v>152</v>
      </c>
      <c r="C7" s="452" t="s">
        <v>155</v>
      </c>
      <c r="D7" s="453" t="s">
        <v>143</v>
      </c>
      <c r="E7" s="453">
        <f>25*0.3048</f>
        <v>7.62</v>
      </c>
      <c r="F7" s="453">
        <v>0.2</v>
      </c>
      <c r="G7" s="454">
        <f>E7-F7</f>
        <v>7.42</v>
      </c>
      <c r="H7" s="453">
        <f>G7-G6</f>
        <v>3.8</v>
      </c>
      <c r="I7" s="453">
        <f>AVERAGE(2.67,3.16,3.2, 1.65, 1.62, 2.29, 2.35, 1.8, 3.2, 3.2, 2.77, 2.75, 3.2, 2.89, 2.73)</f>
        <v>2.6319999999999997</v>
      </c>
      <c r="J7" s="453"/>
      <c r="K7" s="453"/>
      <c r="L7" s="454"/>
      <c r="M7" s="453"/>
      <c r="N7" s="453">
        <f>3.8*0.45</f>
        <v>1.71</v>
      </c>
      <c r="O7" s="453"/>
      <c r="P7" s="454"/>
      <c r="Q7" s="569" t="s">
        <v>183</v>
      </c>
      <c r="R7" s="451"/>
      <c r="S7" s="451"/>
      <c r="T7" s="452"/>
      <c r="U7" s="451"/>
      <c r="V7" s="451"/>
      <c r="W7" s="452"/>
    </row>
    <row r="8" spans="1:23" s="455" customFormat="1" ht="15" customHeight="1">
      <c r="A8" s="450">
        <v>40784</v>
      </c>
      <c r="B8" s="451" t="s">
        <v>152</v>
      </c>
      <c r="C8" s="452" t="s">
        <v>154</v>
      </c>
      <c r="D8" s="453" t="s">
        <v>40</v>
      </c>
      <c r="E8" s="453">
        <f>E7</f>
        <v>7.62</v>
      </c>
      <c r="F8" s="453">
        <v>3.05</v>
      </c>
      <c r="G8" s="454">
        <f>E8-F8</f>
        <v>4.57</v>
      </c>
      <c r="H8" s="453">
        <f>G8-G6</f>
        <v>0.95000000000000018</v>
      </c>
      <c r="I8" s="453">
        <v>0.73</v>
      </c>
      <c r="J8" s="453"/>
      <c r="K8" s="453"/>
      <c r="L8" s="454"/>
      <c r="M8" s="453"/>
      <c r="N8" s="453"/>
      <c r="O8" s="453">
        <f>0.73*0.55</f>
        <v>0.40150000000000002</v>
      </c>
      <c r="P8" s="454"/>
      <c r="Q8" s="570" t="s">
        <v>165</v>
      </c>
      <c r="R8" s="451"/>
      <c r="S8" s="451"/>
      <c r="T8" s="452"/>
      <c r="U8" s="451"/>
      <c r="V8" s="451"/>
      <c r="W8" s="452"/>
    </row>
    <row r="9" spans="1:23" s="455" customFormat="1" ht="15" customHeight="1">
      <c r="A9" s="450">
        <v>40784</v>
      </c>
      <c r="B9" s="451" t="s">
        <v>152</v>
      </c>
      <c r="C9" s="452" t="s">
        <v>154</v>
      </c>
      <c r="D9" s="453" t="s">
        <v>40</v>
      </c>
      <c r="E9" s="453">
        <f>E7+3.05-1.5</f>
        <v>9.17</v>
      </c>
      <c r="F9" s="453">
        <f>F8+3.05-1.5</f>
        <v>4.5999999999999996</v>
      </c>
      <c r="G9" s="454">
        <f>E9-F9</f>
        <v>4.57</v>
      </c>
      <c r="H9" s="453"/>
      <c r="I9" s="453"/>
      <c r="J9" s="453"/>
      <c r="K9" s="453"/>
      <c r="L9" s="454"/>
      <c r="M9" s="453"/>
      <c r="N9" s="453"/>
      <c r="O9" s="453"/>
      <c r="P9" s="454"/>
      <c r="Q9" s="570"/>
      <c r="R9" s="451"/>
      <c r="S9" s="451"/>
      <c r="T9" s="452"/>
      <c r="U9" s="451"/>
      <c r="V9" s="451"/>
      <c r="W9" s="452"/>
    </row>
    <row r="10" spans="1:23" s="455" customFormat="1">
      <c r="A10" s="450">
        <v>40826</v>
      </c>
      <c r="B10" s="451" t="s">
        <v>152</v>
      </c>
      <c r="C10" s="452" t="s">
        <v>155</v>
      </c>
      <c r="D10" s="453" t="s">
        <v>40</v>
      </c>
      <c r="E10" s="453">
        <f>E8</f>
        <v>7.62</v>
      </c>
      <c r="F10" s="453">
        <v>0.187</v>
      </c>
      <c r="G10" s="454">
        <f>E10-F10</f>
        <v>7.4329999999999998</v>
      </c>
      <c r="H10" s="453">
        <f>G10-G8</f>
        <v>2.8629999999999995</v>
      </c>
      <c r="I10" s="453"/>
      <c r="J10" s="453"/>
      <c r="K10" s="453"/>
      <c r="L10" s="454"/>
      <c r="M10" s="453"/>
      <c r="N10" s="453"/>
      <c r="O10" s="453"/>
      <c r="P10" s="454"/>
      <c r="Q10" s="566"/>
      <c r="R10" s="451"/>
      <c r="S10" s="451"/>
      <c r="T10" s="452"/>
      <c r="U10" s="451"/>
      <c r="V10" s="451"/>
      <c r="W10" s="452"/>
    </row>
    <row r="13" spans="1:23" s="473" customFormat="1">
      <c r="A13" s="468">
        <v>40708</v>
      </c>
      <c r="B13" s="469" t="s">
        <v>152</v>
      </c>
      <c r="C13" s="470" t="s">
        <v>150</v>
      </c>
      <c r="D13" s="471" t="s">
        <v>143</v>
      </c>
      <c r="E13" s="471">
        <f>9.75+0.55</f>
        <v>10.3</v>
      </c>
      <c r="F13" s="471">
        <v>0.55000000000000004</v>
      </c>
      <c r="G13" s="472">
        <v>9.75</v>
      </c>
      <c r="H13" s="471"/>
      <c r="I13" s="471">
        <f>AVERAGE(2.67,3.16,3.2, 1.65, 1.62, 2.29, 2.35, 1.8, 3.2, 3.2, 2.77, 2.75, 3.2, 2.89, 2.73)</f>
        <v>2.6319999999999997</v>
      </c>
      <c r="J13" s="471"/>
      <c r="K13" s="471"/>
      <c r="L13" s="472"/>
      <c r="M13" s="471">
        <f>H14*0.55</f>
        <v>-1.5416499999999995</v>
      </c>
      <c r="N13" s="471"/>
      <c r="O13" s="471"/>
      <c r="P13" s="472"/>
      <c r="Q13" s="567"/>
      <c r="R13" s="469"/>
      <c r="S13" s="469"/>
      <c r="T13" s="470"/>
      <c r="U13" s="469"/>
      <c r="V13" s="469"/>
      <c r="W13" s="470"/>
    </row>
    <row r="14" spans="1:23" s="473" customFormat="1" ht="15" customHeight="1">
      <c r="A14" s="468">
        <v>40777</v>
      </c>
      <c r="B14" s="469" t="s">
        <v>152</v>
      </c>
      <c r="C14" s="470" t="s">
        <v>150</v>
      </c>
      <c r="D14" s="471" t="s">
        <v>40</v>
      </c>
      <c r="E14" s="471">
        <f>E13</f>
        <v>10.3</v>
      </c>
      <c r="F14" s="471">
        <v>3.3530000000000002</v>
      </c>
      <c r="G14" s="472">
        <f>E14-F14</f>
        <v>6.947000000000001</v>
      </c>
      <c r="H14" s="471">
        <f>G14-G13</f>
        <v>-2.802999999999999</v>
      </c>
      <c r="I14" s="471">
        <f>AVERAGE(0.7,0.7,0.85,0.7,0.65,0.8,0.72,0.7,0.75)</f>
        <v>0.73</v>
      </c>
      <c r="J14" s="471"/>
      <c r="K14" s="471"/>
      <c r="L14" s="472"/>
      <c r="M14" s="471"/>
      <c r="N14" s="471"/>
      <c r="O14" s="471"/>
      <c r="P14" s="472"/>
      <c r="Q14" s="568"/>
      <c r="R14" s="469"/>
      <c r="S14" s="469"/>
      <c r="T14" s="470"/>
      <c r="U14" s="469"/>
      <c r="V14" s="469"/>
      <c r="W14" s="470"/>
    </row>
    <row r="15" spans="1:23">
      <c r="A15" s="432"/>
      <c r="B15" s="431"/>
      <c r="C15" s="432"/>
      <c r="D15" s="436"/>
      <c r="E15" s="436"/>
      <c r="F15" s="436"/>
      <c r="G15" s="437"/>
      <c r="H15" s="436"/>
      <c r="I15" s="436"/>
      <c r="J15" s="436"/>
      <c r="K15" s="436"/>
      <c r="L15" s="437"/>
      <c r="M15" s="436"/>
      <c r="N15" s="436"/>
      <c r="O15" s="436"/>
      <c r="P15" s="437"/>
      <c r="Q15" s="440"/>
      <c r="R15" s="431"/>
      <c r="S15" s="431"/>
      <c r="T15" s="432"/>
      <c r="U15" s="431"/>
      <c r="V15" s="431"/>
      <c r="W15" s="432"/>
    </row>
    <row r="16" spans="1:23">
      <c r="A16" s="432"/>
      <c r="B16" s="431"/>
      <c r="C16" s="432"/>
      <c r="D16" s="436"/>
      <c r="E16" s="436"/>
      <c r="F16" s="436"/>
      <c r="G16" s="437"/>
      <c r="H16" s="436"/>
      <c r="I16" s="436"/>
      <c r="J16" s="436"/>
      <c r="K16" s="436"/>
      <c r="L16" s="437"/>
      <c r="M16" s="436"/>
      <c r="N16" s="436"/>
      <c r="O16" s="436"/>
      <c r="P16" s="437"/>
      <c r="Q16" s="440"/>
      <c r="R16" s="431"/>
      <c r="S16" s="431"/>
      <c r="T16" s="432"/>
      <c r="U16" s="431"/>
      <c r="V16" s="431"/>
      <c r="W16" s="432"/>
    </row>
    <row r="17" spans="1:23">
      <c r="A17" s="432"/>
      <c r="B17" s="431"/>
      <c r="C17" s="432"/>
      <c r="D17" s="436"/>
      <c r="E17" s="436"/>
      <c r="F17" s="436"/>
      <c r="G17" s="437"/>
      <c r="H17" s="436"/>
      <c r="I17" s="436"/>
      <c r="J17" s="436"/>
      <c r="K17" s="436"/>
      <c r="L17" s="437"/>
      <c r="M17" s="436"/>
      <c r="N17" s="436"/>
      <c r="O17" s="436"/>
      <c r="P17" s="437"/>
      <c r="Q17" s="440"/>
      <c r="R17" s="431"/>
      <c r="S17" s="431"/>
      <c r="T17" s="432"/>
      <c r="U17" s="431"/>
      <c r="V17" s="431"/>
      <c r="W17" s="432"/>
    </row>
    <row r="18" spans="1:23">
      <c r="A18" s="432"/>
      <c r="B18" s="431"/>
      <c r="C18" s="432"/>
      <c r="D18" s="436"/>
      <c r="E18" s="436"/>
      <c r="F18" s="436"/>
      <c r="G18" s="437"/>
      <c r="H18" s="436"/>
      <c r="I18" s="436"/>
      <c r="J18" s="436"/>
      <c r="K18" s="436"/>
      <c r="L18" s="437"/>
      <c r="M18" s="436"/>
      <c r="N18" s="436"/>
      <c r="O18" s="436"/>
      <c r="P18" s="437"/>
      <c r="Q18" s="440"/>
      <c r="R18" s="431"/>
      <c r="S18" s="431"/>
      <c r="T18" s="432"/>
      <c r="U18" s="431"/>
      <c r="V18" s="431"/>
      <c r="W18" s="432"/>
    </row>
    <row r="19" spans="1:23">
      <c r="A19" s="432"/>
      <c r="B19" s="431"/>
      <c r="C19" s="432"/>
      <c r="D19" s="436"/>
      <c r="E19" s="436"/>
      <c r="F19" s="436"/>
      <c r="G19" s="437"/>
      <c r="H19" s="436"/>
      <c r="I19" s="436"/>
      <c r="J19" s="436"/>
      <c r="K19" s="436"/>
      <c r="L19" s="437"/>
      <c r="M19" s="436"/>
      <c r="N19" s="436"/>
      <c r="O19" s="436"/>
      <c r="P19" s="437"/>
      <c r="Q19" s="440"/>
      <c r="R19" s="431"/>
      <c r="S19" s="431"/>
      <c r="T19" s="432"/>
      <c r="U19" s="431"/>
      <c r="V19" s="431"/>
      <c r="W19" s="432"/>
    </row>
    <row r="20" spans="1:23">
      <c r="A20" s="432"/>
      <c r="B20" s="431"/>
      <c r="C20" s="432"/>
      <c r="D20" s="436"/>
      <c r="E20" s="436"/>
      <c r="F20" s="436"/>
      <c r="G20" s="437"/>
      <c r="H20" s="436"/>
      <c r="I20" s="436"/>
      <c r="J20" s="436"/>
      <c r="K20" s="436"/>
      <c r="L20" s="437"/>
      <c r="M20" s="436"/>
      <c r="N20" s="436"/>
      <c r="O20" s="436"/>
      <c r="P20" s="437"/>
      <c r="Q20" s="440"/>
      <c r="R20" s="431"/>
      <c r="S20" s="431"/>
      <c r="T20" s="432"/>
      <c r="U20" s="431"/>
      <c r="V20" s="431"/>
      <c r="W20" s="432"/>
    </row>
    <row r="21" spans="1:23">
      <c r="A21" s="432"/>
      <c r="B21" s="431"/>
      <c r="C21" s="432"/>
      <c r="D21" s="436"/>
      <c r="E21" s="436"/>
      <c r="F21" s="436"/>
      <c r="G21" s="437"/>
      <c r="H21" s="436"/>
      <c r="I21" s="436"/>
      <c r="J21" s="436"/>
      <c r="K21" s="436"/>
      <c r="L21" s="437"/>
      <c r="M21" s="436"/>
      <c r="N21" s="436"/>
      <c r="O21" s="436"/>
      <c r="P21" s="437"/>
      <c r="Q21" s="433"/>
      <c r="R21" s="431"/>
      <c r="S21" s="431"/>
      <c r="T21" s="432"/>
      <c r="U21" s="431"/>
      <c r="V21" s="431"/>
      <c r="W21" s="432"/>
    </row>
    <row r="22" spans="1:23">
      <c r="A22" s="432"/>
      <c r="B22" s="431"/>
      <c r="C22" s="432"/>
      <c r="D22" s="436"/>
      <c r="E22" s="436"/>
      <c r="F22" s="436"/>
      <c r="G22" s="437"/>
      <c r="H22" s="436"/>
      <c r="I22" s="436"/>
      <c r="J22" s="436"/>
      <c r="K22" s="436"/>
      <c r="L22" s="437"/>
      <c r="M22" s="436"/>
      <c r="N22" s="436"/>
      <c r="O22" s="436"/>
      <c r="P22" s="437"/>
      <c r="Q22" s="433"/>
      <c r="R22" s="431"/>
      <c r="S22" s="431"/>
      <c r="T22" s="432"/>
      <c r="U22" s="431"/>
      <c r="V22" s="431"/>
      <c r="W22" s="432"/>
    </row>
    <row r="23" spans="1:23">
      <c r="A23" s="432"/>
      <c r="B23" s="431"/>
      <c r="C23" s="432"/>
      <c r="D23" s="436"/>
      <c r="E23" s="436"/>
      <c r="F23" s="436"/>
      <c r="G23" s="437"/>
      <c r="H23" s="436"/>
      <c r="I23" s="436"/>
      <c r="J23" s="436"/>
      <c r="K23" s="436"/>
      <c r="L23" s="437"/>
      <c r="M23" s="436"/>
      <c r="N23" s="436"/>
      <c r="O23" s="436"/>
      <c r="P23" s="437"/>
      <c r="Q23" s="433"/>
      <c r="R23" s="431"/>
      <c r="S23" s="431"/>
      <c r="T23" s="432"/>
      <c r="U23" s="431"/>
      <c r="V23" s="431"/>
      <c r="W23" s="432"/>
    </row>
    <row r="24" spans="1:23">
      <c r="A24" s="432"/>
      <c r="B24" s="431"/>
      <c r="C24" s="432"/>
      <c r="D24" s="436"/>
      <c r="E24" s="436"/>
      <c r="F24" s="436"/>
      <c r="G24" s="437"/>
      <c r="H24" s="436"/>
      <c r="I24" s="436"/>
      <c r="J24" s="436"/>
      <c r="K24" s="436"/>
      <c r="L24" s="437"/>
      <c r="M24" s="436"/>
      <c r="N24" s="436"/>
      <c r="O24" s="436"/>
      <c r="P24" s="437"/>
      <c r="Q24" s="433"/>
      <c r="R24" s="431"/>
      <c r="S24" s="431"/>
      <c r="T24" s="432"/>
      <c r="U24" s="431"/>
      <c r="V24" s="431"/>
      <c r="W24" s="432"/>
    </row>
    <row r="25" spans="1:23">
      <c r="A25" s="432"/>
      <c r="B25" s="431"/>
      <c r="C25" s="432"/>
      <c r="D25" s="436"/>
      <c r="E25" s="436"/>
      <c r="F25" s="436"/>
      <c r="G25" s="437"/>
      <c r="H25" s="436"/>
      <c r="I25" s="436"/>
      <c r="J25" s="436"/>
      <c r="K25" s="436"/>
      <c r="L25" s="437"/>
      <c r="M25" s="436"/>
      <c r="N25" s="436"/>
      <c r="O25" s="436"/>
      <c r="P25" s="437"/>
      <c r="Q25" s="433"/>
      <c r="R25" s="431"/>
      <c r="S25" s="431"/>
      <c r="T25" s="432"/>
      <c r="U25" s="431"/>
      <c r="V25" s="431"/>
      <c r="W25" s="432"/>
    </row>
    <row r="26" spans="1:23">
      <c r="A26" s="432"/>
      <c r="B26" s="431"/>
      <c r="C26" s="432"/>
      <c r="D26" s="436"/>
      <c r="E26" s="436"/>
      <c r="F26" s="436"/>
      <c r="G26" s="437"/>
      <c r="H26" s="436"/>
      <c r="I26" s="436"/>
      <c r="J26" s="436"/>
      <c r="K26" s="436"/>
      <c r="L26" s="437"/>
      <c r="M26" s="436"/>
      <c r="N26" s="436"/>
      <c r="O26" s="436"/>
      <c r="P26" s="437"/>
      <c r="Q26" s="433"/>
      <c r="R26" s="431"/>
      <c r="S26" s="431"/>
      <c r="T26" s="432"/>
      <c r="U26" s="431"/>
      <c r="V26" s="431"/>
      <c r="W26" s="432"/>
    </row>
    <row r="27" spans="1:23">
      <c r="A27" s="432"/>
      <c r="B27" s="431"/>
      <c r="C27" s="432"/>
      <c r="D27" s="436"/>
      <c r="E27" s="436"/>
      <c r="F27" s="436"/>
      <c r="G27" s="437"/>
      <c r="H27" s="436"/>
      <c r="I27" s="436"/>
      <c r="J27" s="436"/>
      <c r="K27" s="436"/>
      <c r="L27" s="437"/>
      <c r="M27" s="436"/>
      <c r="N27" s="436"/>
      <c r="O27" s="436"/>
      <c r="P27" s="437"/>
      <c r="Q27" s="433"/>
      <c r="R27" s="431"/>
      <c r="S27" s="431"/>
      <c r="T27" s="432"/>
      <c r="U27" s="431"/>
      <c r="V27" s="431"/>
      <c r="W27" s="432"/>
    </row>
    <row r="28" spans="1:23">
      <c r="A28" s="432"/>
      <c r="B28" s="431"/>
      <c r="C28" s="432"/>
      <c r="D28" s="436"/>
      <c r="E28" s="436"/>
      <c r="F28" s="436"/>
      <c r="G28" s="437"/>
      <c r="H28" s="436"/>
      <c r="I28" s="436"/>
      <c r="J28" s="436"/>
      <c r="K28" s="436"/>
      <c r="L28" s="437"/>
      <c r="M28" s="436"/>
      <c r="N28" s="436"/>
      <c r="O28" s="436"/>
      <c r="P28" s="437"/>
      <c r="Q28" s="433"/>
      <c r="R28" s="431"/>
      <c r="S28" s="431"/>
      <c r="T28" s="432"/>
      <c r="U28" s="431"/>
      <c r="V28" s="431"/>
      <c r="W28" s="432"/>
    </row>
    <row r="29" spans="1:23">
      <c r="A29" s="432"/>
      <c r="B29" s="431"/>
      <c r="C29" s="432"/>
      <c r="D29" s="436"/>
      <c r="E29" s="436"/>
      <c r="F29" s="436"/>
      <c r="G29" s="437"/>
      <c r="H29" s="436"/>
      <c r="I29" s="436"/>
      <c r="J29" s="436"/>
      <c r="K29" s="436"/>
      <c r="L29" s="437"/>
      <c r="M29" s="436"/>
      <c r="N29" s="436"/>
      <c r="O29" s="436"/>
      <c r="P29" s="437"/>
      <c r="Q29" s="433"/>
      <c r="R29" s="431"/>
      <c r="S29" s="431"/>
      <c r="T29" s="432"/>
      <c r="U29" s="431"/>
      <c r="V29" s="431"/>
      <c r="W29" s="432"/>
    </row>
    <row r="30" spans="1:23">
      <c r="A30" s="432"/>
      <c r="B30" s="431"/>
      <c r="C30" s="432"/>
      <c r="D30" s="436"/>
      <c r="E30" s="436"/>
      <c r="F30" s="436"/>
      <c r="G30" s="437"/>
      <c r="H30" s="436"/>
      <c r="I30" s="436"/>
      <c r="J30" s="436"/>
      <c r="K30" s="436"/>
      <c r="L30" s="437"/>
      <c r="M30" s="436"/>
      <c r="N30" s="436"/>
      <c r="O30" s="436"/>
      <c r="P30" s="437"/>
      <c r="Q30" s="433"/>
      <c r="R30" s="431"/>
      <c r="S30" s="431"/>
      <c r="T30" s="432"/>
      <c r="U30" s="431"/>
      <c r="V30" s="431"/>
      <c r="W30" s="432"/>
    </row>
    <row r="31" spans="1:23">
      <c r="A31" s="432"/>
      <c r="B31" s="431"/>
      <c r="C31" s="432"/>
      <c r="D31" s="436"/>
      <c r="E31" s="436"/>
      <c r="F31" s="436"/>
      <c r="G31" s="437"/>
      <c r="H31" s="436"/>
      <c r="I31" s="436"/>
      <c r="J31" s="436"/>
      <c r="K31" s="436"/>
      <c r="L31" s="437"/>
      <c r="M31" s="436"/>
      <c r="N31" s="436"/>
      <c r="O31" s="436"/>
      <c r="P31" s="437"/>
      <c r="Q31" s="433"/>
      <c r="R31" s="431"/>
      <c r="S31" s="431"/>
      <c r="T31" s="432"/>
      <c r="U31" s="431"/>
      <c r="V31" s="431"/>
      <c r="W31" s="432"/>
    </row>
    <row r="32" spans="1:23">
      <c r="D32" s="441"/>
      <c r="E32" s="441"/>
      <c r="F32" s="441"/>
      <c r="G32" s="438"/>
      <c r="H32" s="441"/>
      <c r="I32" s="441"/>
      <c r="J32" s="441"/>
      <c r="K32" s="441"/>
      <c r="L32" s="438"/>
      <c r="M32" s="441"/>
      <c r="N32" s="441"/>
      <c r="O32" s="441"/>
      <c r="P32" s="438"/>
    </row>
    <row r="33" spans="4:16">
      <c r="D33" s="441"/>
      <c r="E33" s="441"/>
      <c r="F33" s="441"/>
      <c r="G33" s="438"/>
      <c r="H33" s="441"/>
      <c r="I33" s="441"/>
      <c r="J33" s="441"/>
      <c r="K33" s="441"/>
      <c r="L33" s="438"/>
      <c r="M33" s="441"/>
      <c r="N33" s="441"/>
      <c r="O33" s="441"/>
      <c r="P33" s="438"/>
    </row>
    <row r="34" spans="4:16">
      <c r="D34" s="441"/>
      <c r="E34" s="441"/>
      <c r="F34" s="441"/>
      <c r="G34" s="438"/>
      <c r="H34" s="441"/>
      <c r="I34" s="441"/>
      <c r="J34" s="441"/>
      <c r="K34" s="441"/>
      <c r="L34" s="438"/>
      <c r="M34" s="441"/>
      <c r="N34" s="441"/>
      <c r="O34" s="441"/>
      <c r="P34" s="438"/>
    </row>
  </sheetData>
  <mergeCells count="1">
    <mergeCell ref="Q8:Q9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E155"/>
  <sheetViews>
    <sheetView tabSelected="1" workbookViewId="0">
      <pane ySplit="8" topLeftCell="A9" activePane="bottomLeft" state="frozenSplit"/>
      <selection pane="bottomLeft" activeCell="Q41" sqref="Q41"/>
    </sheetView>
  </sheetViews>
  <sheetFormatPr defaultColWidth="7.85546875" defaultRowHeight="11.25"/>
  <cols>
    <col min="1" max="1" width="5" style="1" customWidth="1"/>
    <col min="2" max="2" width="3.42578125" style="1" customWidth="1"/>
    <col min="3" max="3" width="5.140625" style="7" customWidth="1"/>
    <col min="4" max="6" width="7.7109375" style="7" customWidth="1"/>
    <col min="7" max="7" width="6.28515625" style="5" customWidth="1"/>
    <col min="8" max="8" width="6.85546875" style="6" customWidth="1"/>
    <col min="9" max="10" width="9.7109375" style="5" customWidth="1"/>
    <col min="11" max="11" width="6.85546875" style="5" customWidth="1"/>
    <col min="12" max="12" width="5.5703125" style="5" customWidth="1"/>
    <col min="13" max="13" width="15.85546875" style="4" customWidth="1"/>
    <col min="14" max="14" width="7.140625" style="3" customWidth="1"/>
    <col min="15" max="15" width="12.85546875" style="1" customWidth="1"/>
    <col min="16" max="16" width="11.28515625" style="1" customWidth="1"/>
    <col min="17" max="17" width="14.5703125" style="2" customWidth="1"/>
    <col min="18" max="18" width="2.42578125" style="2" customWidth="1"/>
    <col min="19" max="19" width="14" style="1" bestFit="1" customWidth="1"/>
    <col min="20" max="20" width="5.42578125" style="1" customWidth="1"/>
    <col min="21" max="29" width="5.28515625" style="1" customWidth="1"/>
    <col min="30" max="30" width="21.5703125" style="1" bestFit="1" customWidth="1"/>
    <col min="31" max="16384" width="7.85546875" style="1"/>
  </cols>
  <sheetData>
    <row r="1" spans="1:31" s="219" customFormat="1">
      <c r="A1" s="267"/>
      <c r="B1" s="259" t="s">
        <v>69</v>
      </c>
      <c r="C1" s="266" t="s">
        <v>70</v>
      </c>
      <c r="D1" s="265"/>
      <c r="E1" s="265"/>
      <c r="F1" s="265"/>
      <c r="G1" s="262"/>
      <c r="H1" s="264" t="s">
        <v>68</v>
      </c>
      <c r="I1" s="263">
        <v>40784</v>
      </c>
      <c r="J1" s="261" t="s">
        <v>67</v>
      </c>
      <c r="K1" s="260"/>
      <c r="L1" s="260"/>
      <c r="P1" s="259" t="s">
        <v>66</v>
      </c>
      <c r="Q1" s="258" t="s">
        <v>81</v>
      </c>
      <c r="R1" s="138"/>
      <c r="AD1" s="257" t="s">
        <v>82</v>
      </c>
    </row>
    <row r="2" spans="1:31" s="219" customFormat="1">
      <c r="A2" s="209"/>
      <c r="B2" s="256" t="s">
        <v>64</v>
      </c>
      <c r="C2" s="255" t="s">
        <v>71</v>
      </c>
      <c r="D2" s="254"/>
      <c r="E2" s="254"/>
      <c r="F2" s="254"/>
      <c r="G2" s="251"/>
      <c r="H2" s="253" t="s">
        <v>63</v>
      </c>
      <c r="I2" s="268" t="s">
        <v>72</v>
      </c>
      <c r="J2" s="250" t="s">
        <v>62</v>
      </c>
      <c r="K2" s="249"/>
      <c r="L2" s="249"/>
      <c r="P2" s="248" t="s">
        <v>61</v>
      </c>
      <c r="Q2" s="247"/>
      <c r="R2" s="246" t="s">
        <v>60</v>
      </c>
      <c r="AD2" s="1" t="s">
        <v>83</v>
      </c>
      <c r="AE2" s="220" t="s">
        <v>58</v>
      </c>
    </row>
    <row r="3" spans="1:31" s="234" customFormat="1" ht="11.25" customHeight="1" thickBot="1">
      <c r="A3" s="245"/>
      <c r="B3" s="237" t="s">
        <v>57</v>
      </c>
      <c r="C3" s="269" t="s">
        <v>90</v>
      </c>
      <c r="D3" s="243"/>
      <c r="E3" s="243"/>
      <c r="F3" s="243"/>
      <c r="G3" s="239"/>
      <c r="H3" s="242"/>
      <c r="I3" s="241"/>
      <c r="J3" s="240"/>
      <c r="K3" s="239"/>
      <c r="L3" s="239"/>
      <c r="P3" s="237" t="s">
        <v>56</v>
      </c>
      <c r="Q3" s="236" t="s">
        <v>55</v>
      </c>
      <c r="R3" s="270"/>
      <c r="AD3" s="234" t="s">
        <v>54</v>
      </c>
      <c r="AE3" s="235" t="s">
        <v>84</v>
      </c>
    </row>
    <row r="4" spans="1:31" s="219" customFormat="1">
      <c r="A4" s="233" t="s">
        <v>52</v>
      </c>
      <c r="B4" s="230"/>
      <c r="C4" s="231"/>
      <c r="D4" s="271"/>
      <c r="E4" s="272" t="s">
        <v>85</v>
      </c>
      <c r="F4" s="229"/>
      <c r="G4" s="228" t="s">
        <v>51</v>
      </c>
      <c r="H4" s="227"/>
      <c r="I4" s="226" t="s">
        <v>50</v>
      </c>
      <c r="J4" s="226"/>
      <c r="K4" s="225"/>
      <c r="L4" s="224"/>
      <c r="M4" s="223"/>
      <c r="N4" s="222"/>
      <c r="O4" s="144"/>
      <c r="P4" s="221"/>
      <c r="Q4" s="138"/>
      <c r="R4" s="138"/>
      <c r="AC4" s="1" t="s">
        <v>49</v>
      </c>
      <c r="AD4" s="220" t="s">
        <v>48</v>
      </c>
    </row>
    <row r="5" spans="1:31" s="184" customFormat="1">
      <c r="A5" s="218"/>
      <c r="B5" s="217"/>
      <c r="C5" s="202"/>
      <c r="D5" s="273"/>
      <c r="E5" s="202"/>
      <c r="F5" s="202"/>
      <c r="G5" s="192"/>
      <c r="H5" s="191"/>
      <c r="I5" s="8"/>
      <c r="J5" s="8"/>
      <c r="K5" s="211"/>
      <c r="L5" s="201"/>
      <c r="M5" s="189"/>
      <c r="N5" s="209"/>
      <c r="O5" s="162"/>
      <c r="P5" s="210"/>
      <c r="Q5" s="162"/>
      <c r="R5" s="162"/>
    </row>
    <row r="6" spans="1:31" s="162" customFormat="1">
      <c r="A6" s="209"/>
      <c r="C6" s="208"/>
      <c r="D6" s="274"/>
      <c r="E6" s="202" t="s">
        <v>86</v>
      </c>
      <c r="F6" s="202"/>
      <c r="G6" s="192"/>
      <c r="H6" s="191"/>
      <c r="I6" s="2"/>
      <c r="J6" s="2"/>
      <c r="K6" s="190" t="s">
        <v>43</v>
      </c>
      <c r="L6" s="186" t="s">
        <v>42</v>
      </c>
      <c r="M6" s="189"/>
      <c r="N6" s="275"/>
      <c r="O6" s="276" t="s">
        <v>41</v>
      </c>
      <c r="P6" s="277"/>
      <c r="Q6" s="217"/>
    </row>
    <row r="7" spans="1:31" s="184" customFormat="1">
      <c r="A7" s="188" t="s">
        <v>39</v>
      </c>
      <c r="B7" s="187" t="s">
        <v>38</v>
      </c>
      <c r="C7" s="193" t="s">
        <v>37</v>
      </c>
      <c r="D7" s="278" t="s">
        <v>36</v>
      </c>
      <c r="E7" s="193" t="s">
        <v>30</v>
      </c>
      <c r="F7" s="193" t="s">
        <v>29</v>
      </c>
      <c r="G7" s="192" t="s">
        <v>26</v>
      </c>
      <c r="H7" s="191" t="s">
        <v>27</v>
      </c>
      <c r="I7" s="8" t="s">
        <v>27</v>
      </c>
      <c r="J7" s="8" t="s">
        <v>26</v>
      </c>
      <c r="K7" s="190" t="s">
        <v>25</v>
      </c>
      <c r="L7" s="186" t="s">
        <v>24</v>
      </c>
      <c r="M7" s="189"/>
      <c r="N7" s="275" t="s">
        <v>23</v>
      </c>
      <c r="O7" s="276" t="s">
        <v>22</v>
      </c>
      <c r="P7" s="186" t="s">
        <v>87</v>
      </c>
      <c r="Q7" s="162"/>
      <c r="R7" s="162"/>
    </row>
    <row r="8" spans="1:31" s="290" customFormat="1" ht="11.25" customHeight="1" thickBot="1">
      <c r="A8" s="279" t="s">
        <v>20</v>
      </c>
      <c r="B8" s="280" t="s">
        <v>20</v>
      </c>
      <c r="C8" s="281" t="s">
        <v>11</v>
      </c>
      <c r="D8" s="282" t="s">
        <v>11</v>
      </c>
      <c r="E8" s="281" t="s">
        <v>11</v>
      </c>
      <c r="F8" s="281" t="s">
        <v>11</v>
      </c>
      <c r="G8" s="22" t="s">
        <v>88</v>
      </c>
      <c r="H8" s="283" t="s">
        <v>17</v>
      </c>
      <c r="I8" s="21" t="s">
        <v>17</v>
      </c>
      <c r="J8" s="21" t="s">
        <v>88</v>
      </c>
      <c r="K8" s="284" t="s">
        <v>11</v>
      </c>
      <c r="L8" s="285" t="s">
        <v>15</v>
      </c>
      <c r="M8" s="286" t="s">
        <v>14</v>
      </c>
      <c r="N8" s="287" t="s">
        <v>13</v>
      </c>
      <c r="O8" s="288" t="s">
        <v>12</v>
      </c>
      <c r="P8" s="285" t="s">
        <v>11</v>
      </c>
      <c r="Q8" s="289"/>
    </row>
    <row r="9" spans="1:31" s="102" customFormat="1">
      <c r="A9" s="291"/>
      <c r="B9" s="292"/>
      <c r="C9" s="293">
        <v>0</v>
      </c>
      <c r="D9" s="294"/>
      <c r="E9" s="295"/>
      <c r="F9" s="295"/>
      <c r="G9" s="296"/>
      <c r="H9" s="123"/>
      <c r="I9" s="156"/>
      <c r="J9" s="155"/>
      <c r="K9" s="297">
        <v>0</v>
      </c>
      <c r="L9" s="298">
        <v>0</v>
      </c>
      <c r="M9" s="299"/>
      <c r="N9" s="300">
        <v>1</v>
      </c>
      <c r="O9" s="301" t="s">
        <v>10</v>
      </c>
      <c r="P9" s="302">
        <v>240</v>
      </c>
      <c r="Q9" s="149"/>
      <c r="R9" s="303"/>
    </row>
    <row r="10" spans="1:31" s="102" customFormat="1">
      <c r="A10" s="142">
        <v>568</v>
      </c>
      <c r="B10" s="135">
        <v>0</v>
      </c>
      <c r="C10" s="134">
        <v>25</v>
      </c>
      <c r="D10" s="304" t="str">
        <f>IF(ISNUMBER(A10),FIXED(C9,0)&amp;"-"&amp;FIXED((C10+C11)/2,0),"")</f>
        <v>0-50</v>
      </c>
      <c r="E10" s="82">
        <f>C9</f>
        <v>0</v>
      </c>
      <c r="F10" s="82">
        <f>(C10+C11)  /  IF(ISNUMBER(C11),2,1)</f>
        <v>50</v>
      </c>
      <c r="G10" s="94">
        <f>(A10-B10)/1000</f>
        <v>0.56799999999999995</v>
      </c>
      <c r="H10" s="93">
        <f>(G10*(F10-E10))/100</f>
        <v>0.28399999999999997</v>
      </c>
      <c r="I10" s="92">
        <f>SUM(H$10:H10)</f>
        <v>0.28399999999999997</v>
      </c>
      <c r="J10" s="91">
        <f>I10/F10*100</f>
        <v>0.56799999999999995</v>
      </c>
      <c r="K10" s="297">
        <v>10</v>
      </c>
      <c r="L10" s="305"/>
      <c r="M10" s="299"/>
      <c r="N10" s="306"/>
      <c r="O10" s="307"/>
      <c r="P10" s="308"/>
      <c r="Q10" s="117"/>
    </row>
    <row r="11" spans="1:31" s="102" customFormat="1">
      <c r="A11" s="142">
        <v>507</v>
      </c>
      <c r="B11" s="135">
        <v>0</v>
      </c>
      <c r="C11" s="134">
        <v>75</v>
      </c>
      <c r="D11" s="304" t="str">
        <f>IF(ISNUMBER(A11),   FIXED((C10+C11)/2,0)&amp;"-"&amp;FIXED((C11+C12)  /  IF(ISNUMBER(C12),2,1),0),   "")</f>
        <v>50-100</v>
      </c>
      <c r="E11" s="82">
        <f>(C10+C11)/2</f>
        <v>50</v>
      </c>
      <c r="F11" s="82">
        <f t="shared" ref="F11:F14" si="0">(C11+C12)  /  IF(ISNUMBER(C12),2,1)</f>
        <v>100</v>
      </c>
      <c r="G11" s="94">
        <f t="shared" ref="G11:G14" si="1">(A11-B11)/1000</f>
        <v>0.50700000000000001</v>
      </c>
      <c r="H11" s="93">
        <f t="shared" ref="H11:H14" si="2">(G11*(F11-E11))/100</f>
        <v>0.2535</v>
      </c>
      <c r="I11" s="92">
        <f>SUM(H$10:H11)</f>
        <v>0.53749999999999998</v>
      </c>
      <c r="J11" s="91">
        <f t="shared" ref="J11:J14" si="3">I11/F11*100</f>
        <v>0.53749999999999998</v>
      </c>
      <c r="K11" s="297">
        <v>40</v>
      </c>
      <c r="L11" s="305"/>
      <c r="M11" s="299"/>
      <c r="N11" s="309"/>
      <c r="O11" s="307"/>
      <c r="P11" s="308"/>
      <c r="Q11" s="117"/>
    </row>
    <row r="12" spans="1:31" s="102" customFormat="1">
      <c r="A12" s="142">
        <v>535</v>
      </c>
      <c r="B12" s="135">
        <v>0</v>
      </c>
      <c r="C12" s="134">
        <v>125</v>
      </c>
      <c r="D12" s="304" t="str">
        <f t="shared" ref="D12:D15" si="4">IF(ISNUMBER(A12),   FIXED((C11+C12)/2,0)&amp;"-"&amp;FIXED((C12+C13)  /  IF(ISNUMBER(C13),2,1),0),   "")</f>
        <v>100-150</v>
      </c>
      <c r="E12" s="82">
        <f t="shared" ref="E12:E15" si="5">(C11+C12)/2</f>
        <v>100</v>
      </c>
      <c r="F12" s="82">
        <f t="shared" si="0"/>
        <v>150</v>
      </c>
      <c r="G12" s="94">
        <f t="shared" si="1"/>
        <v>0.53500000000000003</v>
      </c>
      <c r="H12" s="93">
        <f t="shared" si="2"/>
        <v>0.26750000000000002</v>
      </c>
      <c r="I12" s="92">
        <f>SUM(H$10:H12)</f>
        <v>0.80499999999999994</v>
      </c>
      <c r="J12" s="91">
        <f t="shared" si="3"/>
        <v>0.53666666666666663</v>
      </c>
      <c r="K12" s="297">
        <v>80</v>
      </c>
      <c r="L12" s="305"/>
      <c r="M12" s="299"/>
      <c r="N12" s="306"/>
      <c r="O12" s="307"/>
      <c r="P12" s="310"/>
      <c r="Q12" s="141"/>
    </row>
    <row r="13" spans="1:31" s="102" customFormat="1">
      <c r="A13" s="136">
        <v>510</v>
      </c>
      <c r="B13" s="135">
        <v>0</v>
      </c>
      <c r="C13" s="134">
        <v>175</v>
      </c>
      <c r="D13" s="304" t="str">
        <f t="shared" si="4"/>
        <v>150-195</v>
      </c>
      <c r="E13" s="82">
        <f t="shared" si="5"/>
        <v>150</v>
      </c>
      <c r="F13" s="82">
        <f t="shared" si="0"/>
        <v>195</v>
      </c>
      <c r="G13" s="94">
        <f t="shared" si="1"/>
        <v>0.51</v>
      </c>
      <c r="H13" s="93">
        <f t="shared" si="2"/>
        <v>0.22949999999999998</v>
      </c>
      <c r="I13" s="92">
        <f>SUM(H$10:H13)</f>
        <v>1.0345</v>
      </c>
      <c r="J13" s="91">
        <f t="shared" si="3"/>
        <v>0.53051282051282056</v>
      </c>
      <c r="K13" s="297">
        <v>120</v>
      </c>
      <c r="L13" s="305"/>
      <c r="M13" s="299"/>
      <c r="N13" s="306"/>
      <c r="O13" s="307"/>
      <c r="P13" s="308"/>
      <c r="Q13" s="117"/>
    </row>
    <row r="14" spans="1:31" s="102" customFormat="1" ht="11.25" customHeight="1">
      <c r="A14" s="136">
        <v>552</v>
      </c>
      <c r="B14" s="135">
        <v>0</v>
      </c>
      <c r="C14" s="134">
        <v>215</v>
      </c>
      <c r="D14" s="304" t="str">
        <f t="shared" si="4"/>
        <v>195-228</v>
      </c>
      <c r="E14" s="82">
        <f t="shared" si="5"/>
        <v>195</v>
      </c>
      <c r="F14" s="82">
        <f t="shared" si="0"/>
        <v>227.5</v>
      </c>
      <c r="G14" s="94">
        <f t="shared" si="1"/>
        <v>0.55200000000000005</v>
      </c>
      <c r="H14" s="93">
        <f t="shared" si="2"/>
        <v>0.1794</v>
      </c>
      <c r="I14" s="92">
        <f>SUM(H$10:H14)</f>
        <v>1.2139</v>
      </c>
      <c r="J14" s="91">
        <f t="shared" si="3"/>
        <v>0.53358241758241753</v>
      </c>
      <c r="K14" s="297">
        <v>160</v>
      </c>
      <c r="L14" s="305"/>
      <c r="M14" s="299" t="s">
        <v>91</v>
      </c>
      <c r="N14" s="306"/>
      <c r="O14" s="307"/>
      <c r="P14" s="308"/>
      <c r="Q14" s="117"/>
    </row>
    <row r="15" spans="1:31" s="102" customFormat="1">
      <c r="A15" s="136"/>
      <c r="B15" s="135"/>
      <c r="C15" s="134">
        <v>240</v>
      </c>
      <c r="D15" s="304" t="str">
        <f t="shared" si="4"/>
        <v/>
      </c>
      <c r="E15" s="82">
        <f t="shared" si="5"/>
        <v>227.5</v>
      </c>
      <c r="F15" s="82"/>
      <c r="G15" s="94"/>
      <c r="H15" s="93"/>
      <c r="I15" s="92"/>
      <c r="J15" s="91"/>
      <c r="K15" s="297"/>
      <c r="L15" s="305"/>
      <c r="M15" s="311"/>
      <c r="N15" s="306"/>
      <c r="O15" s="307"/>
      <c r="P15" s="308"/>
      <c r="Q15" s="117"/>
    </row>
    <row r="16" spans="1:31" s="102" customFormat="1">
      <c r="A16" s="312"/>
      <c r="B16" s="128"/>
      <c r="C16" s="293"/>
      <c r="D16" s="304"/>
      <c r="E16" s="82"/>
      <c r="F16" s="82"/>
      <c r="G16" s="313" t="str">
        <f>IF(ISNUMBER(A16),(A16-B16)/1000,"")</f>
        <v/>
      </c>
      <c r="H16" s="123"/>
      <c r="I16" s="122" t="str">
        <f>IF(C16,ROUND(SUM(G$10:G16),2),"")</f>
        <v/>
      </c>
      <c r="J16" s="314" t="str">
        <f>IF(ISNUMBER(I16),ROUND(I16/C16*100,3),"")</f>
        <v/>
      </c>
      <c r="K16" s="297"/>
      <c r="L16" s="305"/>
      <c r="M16" s="311"/>
      <c r="N16" s="306"/>
      <c r="O16" s="307"/>
      <c r="P16" s="308"/>
      <c r="Q16" s="117"/>
    </row>
    <row r="17" spans="1:18" s="102" customFormat="1">
      <c r="A17" s="315"/>
      <c r="B17" s="128"/>
      <c r="C17" s="293"/>
      <c r="D17" s="304"/>
      <c r="E17" s="82"/>
      <c r="F17" s="82"/>
      <c r="G17" s="313"/>
      <c r="H17" s="123"/>
      <c r="I17" s="122" t="str">
        <f>IF(C17,ROUND(SUM(G$10:G17),2),"")</f>
        <v/>
      </c>
      <c r="J17" s="314" t="str">
        <f>IF(ISNUMBER(I17),ROUND(I17/C17*100,3),"")</f>
        <v/>
      </c>
      <c r="K17" s="297"/>
      <c r="L17" s="305"/>
      <c r="M17" s="299"/>
      <c r="N17" s="306"/>
      <c r="O17" s="307"/>
      <c r="P17" s="308"/>
      <c r="Q17" s="149"/>
    </row>
    <row r="18" spans="1:18" s="102" customFormat="1">
      <c r="A18" s="315"/>
      <c r="B18" s="128"/>
      <c r="C18" s="293"/>
      <c r="D18" s="304"/>
      <c r="E18" s="82"/>
      <c r="F18" s="82"/>
      <c r="G18" s="313"/>
      <c r="H18" s="123"/>
      <c r="I18" s="122" t="str">
        <f>IF(C18,ROUND(SUM(G$10:G18),2),"")</f>
        <v/>
      </c>
      <c r="J18" s="314" t="str">
        <f>IF(ISNUMBER(I18),ROUND(I18/C18*100,3),"")</f>
        <v/>
      </c>
      <c r="K18" s="297"/>
      <c r="L18" s="305"/>
      <c r="M18" s="316"/>
      <c r="N18" s="306"/>
      <c r="O18" s="307"/>
      <c r="P18" s="308"/>
      <c r="Q18" s="149"/>
    </row>
    <row r="19" spans="1:18" s="102" customFormat="1" ht="10.15" customHeight="1">
      <c r="A19" s="315"/>
      <c r="B19" s="128"/>
      <c r="C19" s="293"/>
      <c r="D19" s="304"/>
      <c r="E19" s="82"/>
      <c r="F19" s="82"/>
      <c r="G19" s="313"/>
      <c r="H19" s="123"/>
      <c r="I19" s="122" t="str">
        <f>IF(C19,ROUND(SUM(G$10:G19),2),"")</f>
        <v/>
      </c>
      <c r="J19" s="314" t="str">
        <f>IF(ISNUMBER(I19),ROUND(I19/C19*100,3),"")</f>
        <v/>
      </c>
      <c r="K19" s="297"/>
      <c r="L19" s="305"/>
      <c r="M19" s="299"/>
      <c r="N19" s="306"/>
      <c r="O19" s="307"/>
      <c r="P19" s="317"/>
      <c r="Q19" s="318"/>
    </row>
    <row r="20" spans="1:18" s="102" customFormat="1">
      <c r="A20" s="319"/>
      <c r="B20" s="320"/>
      <c r="C20" s="321"/>
      <c r="D20" s="322" t="str">
        <f t="shared" ref="D20" si="6">IF(ISNUMBER(C20),FIXED(C19,0)&amp;"-"&amp;FIXED(C20,0),"")</f>
        <v/>
      </c>
      <c r="E20" s="57"/>
      <c r="F20" s="57"/>
      <c r="G20" s="323"/>
      <c r="H20" s="324"/>
      <c r="I20" s="325" t="str">
        <f>IF(C20,ROUND(SUM(G$10:G20),2),"")</f>
        <v/>
      </c>
      <c r="J20" s="326" t="str">
        <f>IF(ISNUMBER(I20),ROUND(I20/C20*100,3),"")</f>
        <v/>
      </c>
      <c r="K20" s="327"/>
      <c r="L20" s="328"/>
      <c r="M20" s="329"/>
      <c r="N20" s="330"/>
      <c r="O20" s="307"/>
      <c r="P20" s="331"/>
      <c r="Q20" s="100"/>
    </row>
    <row r="21" spans="1:18" s="78" customFormat="1">
      <c r="A21" s="571"/>
      <c r="B21" s="71"/>
      <c r="C21" s="332"/>
      <c r="D21" s="322"/>
      <c r="E21" s="57"/>
      <c r="F21" s="322"/>
      <c r="G21" s="66"/>
      <c r="H21" s="333"/>
      <c r="I21" s="55"/>
      <c r="J21" s="334"/>
      <c r="K21" s="335"/>
      <c r="L21" s="97"/>
      <c r="M21" s="336"/>
      <c r="N21" s="330"/>
      <c r="O21" s="307"/>
      <c r="P21" s="331"/>
      <c r="Q21" s="100"/>
    </row>
    <row r="22" spans="1:18" s="78" customFormat="1">
      <c r="A22" s="572"/>
      <c r="B22" s="71"/>
      <c r="C22" s="332"/>
      <c r="D22" s="322"/>
      <c r="E22" s="57"/>
      <c r="F22" s="322"/>
      <c r="G22" s="66"/>
      <c r="H22" s="333"/>
      <c r="I22" s="55"/>
      <c r="J22" s="334"/>
      <c r="K22" s="335"/>
      <c r="L22" s="97"/>
      <c r="M22" s="336"/>
      <c r="N22" s="330"/>
      <c r="O22" s="307"/>
      <c r="P22" s="331"/>
      <c r="Q22" s="100"/>
    </row>
    <row r="23" spans="1:18" s="78" customFormat="1">
      <c r="A23" s="572"/>
      <c r="B23" s="71"/>
      <c r="C23" s="332"/>
      <c r="D23" s="322"/>
      <c r="E23" s="57"/>
      <c r="F23" s="322"/>
      <c r="G23" s="66"/>
      <c r="H23" s="333"/>
      <c r="I23" s="55"/>
      <c r="J23" s="334"/>
      <c r="K23" s="335"/>
      <c r="L23" s="97"/>
      <c r="M23" s="336"/>
      <c r="N23" s="330"/>
      <c r="O23" s="307"/>
      <c r="P23" s="308"/>
      <c r="Q23" s="68"/>
    </row>
    <row r="24" spans="1:18" s="78" customFormat="1">
      <c r="A24" s="572"/>
      <c r="B24" s="71"/>
      <c r="C24" s="332"/>
      <c r="D24" s="322"/>
      <c r="E24" s="57"/>
      <c r="F24" s="322"/>
      <c r="G24" s="66"/>
      <c r="H24" s="333"/>
      <c r="I24" s="55"/>
      <c r="J24" s="334"/>
      <c r="K24" s="335"/>
      <c r="L24" s="97"/>
      <c r="M24" s="336"/>
      <c r="N24" s="330"/>
      <c r="O24" s="307"/>
      <c r="P24" s="308"/>
      <c r="Q24" s="68"/>
    </row>
    <row r="25" spans="1:18" s="78" customFormat="1">
      <c r="A25" s="572"/>
      <c r="B25" s="71"/>
      <c r="C25" s="332"/>
      <c r="D25" s="322"/>
      <c r="E25" s="57"/>
      <c r="F25" s="322"/>
      <c r="G25" s="66"/>
      <c r="H25" s="333"/>
      <c r="I25" s="55"/>
      <c r="J25" s="334"/>
      <c r="K25" s="337"/>
      <c r="L25" s="51"/>
      <c r="M25" s="336"/>
      <c r="N25" s="330"/>
      <c r="O25" s="307"/>
      <c r="P25" s="308"/>
      <c r="Q25" s="68"/>
    </row>
    <row r="26" spans="1:18" s="78" customFormat="1">
      <c r="A26" s="572"/>
      <c r="B26" s="71"/>
      <c r="C26" s="332"/>
      <c r="D26" s="322"/>
      <c r="E26" s="57"/>
      <c r="F26" s="322"/>
      <c r="G26" s="66"/>
      <c r="H26" s="333"/>
      <c r="I26" s="55"/>
      <c r="J26" s="334"/>
      <c r="K26" s="337"/>
      <c r="L26" s="51"/>
      <c r="M26" s="336"/>
      <c r="N26" s="330"/>
      <c r="O26" s="307"/>
      <c r="P26" s="308"/>
      <c r="Q26" s="68"/>
    </row>
    <row r="27" spans="1:18" s="70" customFormat="1">
      <c r="A27" s="572"/>
      <c r="B27" s="71"/>
      <c r="C27" s="339"/>
      <c r="D27" s="322"/>
      <c r="E27" s="57"/>
      <c r="F27" s="322"/>
      <c r="G27" s="66"/>
      <c r="H27" s="333"/>
      <c r="I27" s="340"/>
      <c r="J27" s="341"/>
      <c r="K27" s="337"/>
      <c r="L27" s="73"/>
      <c r="M27" s="338"/>
      <c r="N27" s="330"/>
      <c r="O27" s="307"/>
      <c r="P27" s="308"/>
      <c r="Q27" s="68"/>
    </row>
    <row r="28" spans="1:18" s="70" customFormat="1">
      <c r="A28" s="572"/>
      <c r="B28" s="71"/>
      <c r="C28" s="332"/>
      <c r="D28" s="322"/>
      <c r="E28" s="57"/>
      <c r="F28" s="322"/>
      <c r="G28" s="66"/>
      <c r="H28" s="333"/>
      <c r="I28" s="55"/>
      <c r="J28" s="334"/>
      <c r="K28" s="337"/>
      <c r="L28" s="51"/>
      <c r="M28" s="342"/>
      <c r="N28" s="330"/>
      <c r="O28" s="307"/>
      <c r="P28" s="308"/>
      <c r="Q28" s="68"/>
    </row>
    <row r="29" spans="1:18" s="2" customFormat="1">
      <c r="A29" s="572"/>
      <c r="B29" s="64"/>
      <c r="C29" s="63"/>
      <c r="D29" s="322"/>
      <c r="E29" s="57"/>
      <c r="F29" s="322"/>
      <c r="G29" s="66"/>
      <c r="H29" s="333"/>
      <c r="I29" s="55"/>
      <c r="J29" s="343"/>
      <c r="K29" s="337"/>
      <c r="L29" s="51"/>
      <c r="M29" s="344"/>
      <c r="N29" s="330"/>
      <c r="O29" s="307"/>
      <c r="P29" s="308"/>
      <c r="Q29" s="68"/>
    </row>
    <row r="30" spans="1:18">
      <c r="A30" s="345"/>
      <c r="B30" s="64"/>
      <c r="C30" s="63"/>
      <c r="D30" s="322"/>
      <c r="E30" s="57"/>
      <c r="F30" s="322"/>
      <c r="G30" s="66"/>
      <c r="H30" s="55"/>
      <c r="I30" s="54"/>
      <c r="J30" s="66"/>
      <c r="K30" s="346"/>
      <c r="L30" s="51"/>
      <c r="M30" s="344"/>
      <c r="N30" s="330"/>
      <c r="O30" s="307"/>
      <c r="P30" s="308"/>
      <c r="Q30" s="68"/>
      <c r="R30" s="1"/>
    </row>
    <row r="31" spans="1:18">
      <c r="A31" s="345"/>
      <c r="B31" s="64"/>
      <c r="C31" s="63"/>
      <c r="D31" s="322"/>
      <c r="E31" s="57"/>
      <c r="F31" s="57"/>
      <c r="G31" s="56"/>
      <c r="H31" s="55"/>
      <c r="I31" s="54"/>
      <c r="J31" s="66"/>
      <c r="K31" s="346"/>
      <c r="L31" s="51"/>
      <c r="M31" s="344"/>
      <c r="N31" s="330"/>
      <c r="O31" s="307"/>
      <c r="P31" s="308"/>
      <c r="Q31" s="68"/>
      <c r="R31" s="1"/>
    </row>
    <row r="32" spans="1:18">
      <c r="A32" s="345"/>
      <c r="B32" s="64"/>
      <c r="C32" s="63"/>
      <c r="D32" s="322"/>
      <c r="E32" s="57"/>
      <c r="F32" s="57"/>
      <c r="G32" s="56"/>
      <c r="H32" s="55"/>
      <c r="I32" s="54"/>
      <c r="J32" s="66"/>
      <c r="K32" s="346"/>
      <c r="L32" s="51"/>
      <c r="M32" s="344"/>
      <c r="N32" s="330"/>
      <c r="O32" s="307"/>
      <c r="P32" s="308"/>
      <c r="Q32" s="68"/>
      <c r="R32" s="1"/>
    </row>
    <row r="33" spans="1:19">
      <c r="A33" s="345"/>
      <c r="B33" s="64"/>
      <c r="C33" s="63"/>
      <c r="D33" s="322"/>
      <c r="E33" s="57"/>
      <c r="F33" s="57"/>
      <c r="G33" s="56"/>
      <c r="H33" s="55"/>
      <c r="I33" s="54"/>
      <c r="J33" s="66"/>
      <c r="K33" s="346"/>
      <c r="L33" s="51"/>
      <c r="M33" s="344"/>
      <c r="N33" s="330"/>
      <c r="O33" s="307"/>
      <c r="P33" s="308"/>
      <c r="Q33" s="68"/>
      <c r="R33" s="1"/>
    </row>
    <row r="34" spans="1:19">
      <c r="A34" s="345"/>
      <c r="B34" s="64"/>
      <c r="C34" s="63"/>
      <c r="D34" s="322"/>
      <c r="E34" s="57"/>
      <c r="F34" s="57"/>
      <c r="G34" s="56"/>
      <c r="H34" s="55"/>
      <c r="I34" s="54"/>
      <c r="J34" s="66"/>
      <c r="K34" s="346"/>
      <c r="L34" s="51"/>
      <c r="M34" s="344"/>
      <c r="N34" s="330"/>
      <c r="O34" s="307"/>
      <c r="P34" s="308"/>
      <c r="Q34" s="68"/>
      <c r="R34" s="1"/>
    </row>
    <row r="35" spans="1:19">
      <c r="A35" s="345"/>
      <c r="B35" s="64"/>
      <c r="C35" s="63"/>
      <c r="D35" s="322"/>
      <c r="E35" s="57"/>
      <c r="F35" s="57"/>
      <c r="G35" s="56"/>
      <c r="H35" s="55"/>
      <c r="I35" s="54"/>
      <c r="J35" s="66"/>
      <c r="K35" s="346"/>
      <c r="L35" s="51"/>
      <c r="M35" s="344"/>
      <c r="N35" s="330"/>
      <c r="O35" s="307"/>
      <c r="P35" s="308"/>
      <c r="Q35" s="68"/>
      <c r="R35" s="1"/>
    </row>
    <row r="36" spans="1:19">
      <c r="A36" s="345"/>
      <c r="B36" s="64"/>
      <c r="C36" s="63"/>
      <c r="D36" s="322"/>
      <c r="E36" s="57"/>
      <c r="F36" s="57"/>
      <c r="G36" s="56"/>
      <c r="H36" s="55"/>
      <c r="I36" s="54"/>
      <c r="J36" s="66"/>
      <c r="K36" s="346"/>
      <c r="L36" s="51"/>
      <c r="M36" s="344"/>
      <c r="N36" s="330"/>
      <c r="O36" s="307"/>
      <c r="P36" s="308"/>
      <c r="Q36" s="68"/>
      <c r="R36" s="1"/>
    </row>
    <row r="37" spans="1:19">
      <c r="A37" s="345"/>
      <c r="B37" s="64"/>
      <c r="C37" s="63"/>
      <c r="D37" s="322"/>
      <c r="E37" s="57"/>
      <c r="F37" s="57"/>
      <c r="G37" s="56"/>
      <c r="H37" s="55"/>
      <c r="I37" s="54"/>
      <c r="J37" s="66"/>
      <c r="K37" s="346"/>
      <c r="L37" s="51"/>
      <c r="M37" s="344"/>
      <c r="N37" s="330"/>
      <c r="O37" s="307"/>
      <c r="P37" s="308"/>
      <c r="Q37" s="347"/>
      <c r="R37" s="1"/>
    </row>
    <row r="38" spans="1:19" ht="12" thickBot="1">
      <c r="A38" s="345"/>
      <c r="B38" s="64"/>
      <c r="C38" s="63"/>
      <c r="D38" s="322"/>
      <c r="E38" s="57"/>
      <c r="F38" s="57"/>
      <c r="G38" s="56"/>
      <c r="H38" s="55"/>
      <c r="I38" s="54"/>
      <c r="J38" s="66"/>
      <c r="K38" s="346"/>
      <c r="L38" s="51"/>
      <c r="M38" s="344"/>
      <c r="N38" s="348"/>
      <c r="O38" s="307"/>
      <c r="P38" s="349"/>
      <c r="Q38" s="347"/>
      <c r="R38" s="1"/>
    </row>
    <row r="39" spans="1:19">
      <c r="A39" s="345"/>
      <c r="B39" s="64"/>
      <c r="C39" s="63"/>
      <c r="D39" s="322"/>
      <c r="E39" s="57"/>
      <c r="F39" s="57"/>
      <c r="G39" s="56"/>
      <c r="H39" s="55"/>
      <c r="I39" s="54"/>
      <c r="J39" s="66"/>
      <c r="K39" s="346"/>
      <c r="L39" s="51"/>
      <c r="M39" s="344"/>
      <c r="N39" s="350" t="s">
        <v>9</v>
      </c>
      <c r="O39" s="351"/>
      <c r="P39" s="352">
        <f>AVERAGE(P9:P38)</f>
        <v>240</v>
      </c>
      <c r="Q39" s="77" t="s">
        <v>1</v>
      </c>
      <c r="R39" s="353"/>
      <c r="S39" s="79" t="s">
        <v>0</v>
      </c>
    </row>
    <row r="40" spans="1:19">
      <c r="A40" s="345"/>
      <c r="B40" s="64"/>
      <c r="C40" s="63"/>
      <c r="D40" s="322"/>
      <c r="E40" s="57"/>
      <c r="F40" s="57"/>
      <c r="G40" s="56"/>
      <c r="H40" s="55"/>
      <c r="I40" s="54"/>
      <c r="J40" s="66"/>
      <c r="K40" s="346"/>
      <c r="L40" s="51"/>
      <c r="M40" s="344"/>
      <c r="N40" s="354" t="s">
        <v>8</v>
      </c>
      <c r="O40" s="355"/>
      <c r="P40" s="349" t="e">
        <f>STDEV(P9:P38)</f>
        <v>#DIV/0!</v>
      </c>
      <c r="Q40" s="77">
        <f>2.15</f>
        <v>2.15</v>
      </c>
      <c r="R40" s="353"/>
      <c r="S40" s="75">
        <f>J14</f>
        <v>0.53358241758241753</v>
      </c>
    </row>
    <row r="41" spans="1:19">
      <c r="A41" s="345"/>
      <c r="B41" s="64"/>
      <c r="C41" s="63"/>
      <c r="D41" s="322"/>
      <c r="E41" s="57"/>
      <c r="F41" s="57"/>
      <c r="G41" s="56"/>
      <c r="H41" s="55"/>
      <c r="I41" s="54"/>
      <c r="J41" s="66"/>
      <c r="K41" s="346"/>
      <c r="L41" s="51"/>
      <c r="M41" s="344"/>
      <c r="N41" s="354" t="s">
        <v>7</v>
      </c>
      <c r="O41" s="355"/>
      <c r="P41" s="349" t="e">
        <f>P40/SQRT(COUNT(P9:P37))</f>
        <v>#DIV/0!</v>
      </c>
      <c r="Q41" s="103"/>
      <c r="R41" s="1"/>
    </row>
    <row r="42" spans="1:19">
      <c r="A42" s="345"/>
      <c r="B42" s="64"/>
      <c r="C42" s="63"/>
      <c r="D42" s="322"/>
      <c r="E42" s="57"/>
      <c r="F42" s="57"/>
      <c r="G42" s="56"/>
      <c r="H42" s="55"/>
      <c r="I42" s="54"/>
      <c r="J42" s="66"/>
      <c r="K42" s="346"/>
      <c r="L42" s="51"/>
      <c r="M42" s="344"/>
      <c r="N42" s="354" t="s">
        <v>5</v>
      </c>
      <c r="O42" s="355"/>
      <c r="P42" s="349">
        <f>MAX(P9:P37)</f>
        <v>240</v>
      </c>
      <c r="Q42" s="103"/>
      <c r="R42" s="67"/>
    </row>
    <row r="43" spans="1:19" ht="12" thickBot="1">
      <c r="A43" s="345"/>
      <c r="B43" s="64"/>
      <c r="C43" s="63"/>
      <c r="D43" s="322"/>
      <c r="E43" s="57"/>
      <c r="F43" s="57"/>
      <c r="G43" s="56"/>
      <c r="H43" s="55"/>
      <c r="I43" s="54"/>
      <c r="J43" s="66"/>
      <c r="K43" s="346"/>
      <c r="L43" s="51"/>
      <c r="M43" s="344"/>
      <c r="N43" s="356" t="s">
        <v>4</v>
      </c>
      <c r="O43" s="357"/>
      <c r="P43" s="358">
        <f>MIN(P9:P37)</f>
        <v>240</v>
      </c>
      <c r="Q43" s="67"/>
      <c r="R43" s="67"/>
    </row>
    <row r="44" spans="1:19">
      <c r="A44" s="345"/>
      <c r="B44" s="64"/>
      <c r="C44" s="63"/>
      <c r="D44" s="322"/>
      <c r="E44" s="57"/>
      <c r="F44" s="57"/>
      <c r="G44" s="56"/>
      <c r="H44" s="55"/>
      <c r="I44" s="54"/>
      <c r="J44" s="66"/>
      <c r="K44" s="346"/>
      <c r="L44" s="51"/>
      <c r="M44" s="344"/>
      <c r="N44" s="118" t="s">
        <v>89</v>
      </c>
      <c r="O44" s="104"/>
      <c r="P44" s="103"/>
      <c r="Q44" s="1"/>
      <c r="R44" s="1"/>
    </row>
    <row r="45" spans="1:19">
      <c r="A45" s="345"/>
      <c r="B45" s="64"/>
      <c r="C45" s="63"/>
      <c r="D45" s="322"/>
      <c r="E45" s="57"/>
      <c r="F45" s="57"/>
      <c r="G45" s="56"/>
      <c r="H45" s="55"/>
      <c r="I45" s="54"/>
      <c r="J45" s="66"/>
      <c r="K45" s="346"/>
      <c r="L45" s="51"/>
      <c r="M45" s="344"/>
      <c r="N45" s="105"/>
      <c r="O45" s="104"/>
      <c r="P45" s="103"/>
      <c r="Q45" s="1"/>
      <c r="R45" s="1"/>
    </row>
    <row r="46" spans="1:19">
      <c r="A46" s="345"/>
      <c r="B46" s="64"/>
      <c r="C46" s="63"/>
      <c r="D46" s="322"/>
      <c r="E46" s="57"/>
      <c r="F46" s="57"/>
      <c r="G46" s="56"/>
      <c r="H46" s="55"/>
      <c r="I46" s="54"/>
      <c r="J46" s="66"/>
      <c r="K46" s="346"/>
      <c r="L46" s="51"/>
      <c r="M46" s="344"/>
      <c r="N46" s="1"/>
      <c r="O46" s="2"/>
      <c r="P46" s="2"/>
      <c r="Q46" s="1"/>
      <c r="R46" s="1"/>
    </row>
    <row r="47" spans="1:19">
      <c r="A47" s="345"/>
      <c r="B47" s="64"/>
      <c r="C47" s="63"/>
      <c r="D47" s="322"/>
      <c r="E47" s="57"/>
      <c r="F47" s="57"/>
      <c r="G47" s="56"/>
      <c r="H47" s="55"/>
      <c r="I47" s="54"/>
      <c r="J47" s="66"/>
      <c r="K47" s="346"/>
      <c r="L47" s="51"/>
      <c r="M47" s="344"/>
      <c r="N47" s="1"/>
      <c r="O47" s="2"/>
      <c r="P47" s="2"/>
      <c r="Q47" s="1"/>
      <c r="R47" s="1"/>
    </row>
    <row r="48" spans="1:19">
      <c r="A48" s="345"/>
      <c r="B48" s="64"/>
      <c r="C48" s="63"/>
      <c r="D48" s="322"/>
      <c r="E48" s="57"/>
      <c r="F48" s="57"/>
      <c r="G48" s="56"/>
      <c r="H48" s="55"/>
      <c r="I48" s="54"/>
      <c r="J48" s="66"/>
      <c r="K48" s="346"/>
      <c r="L48" s="51"/>
      <c r="M48" s="344"/>
      <c r="N48" s="1"/>
      <c r="O48" s="2"/>
      <c r="P48" s="2"/>
      <c r="Q48" s="1"/>
      <c r="R48" s="1"/>
    </row>
    <row r="49" spans="1:18">
      <c r="A49" s="345"/>
      <c r="B49" s="64"/>
      <c r="C49" s="63"/>
      <c r="D49" s="322"/>
      <c r="E49" s="57"/>
      <c r="F49" s="57"/>
      <c r="G49" s="56"/>
      <c r="H49" s="55"/>
      <c r="I49" s="54"/>
      <c r="J49" s="66"/>
      <c r="K49" s="346"/>
      <c r="L49" s="51"/>
      <c r="M49" s="344"/>
      <c r="N49" s="1"/>
      <c r="O49" s="2"/>
      <c r="P49" s="2"/>
      <c r="Q49" s="1"/>
      <c r="R49" s="1"/>
    </row>
    <row r="50" spans="1:18">
      <c r="A50" s="345"/>
      <c r="B50" s="64"/>
      <c r="C50" s="63"/>
      <c r="D50" s="322"/>
      <c r="E50" s="57"/>
      <c r="F50" s="57"/>
      <c r="G50" s="56"/>
      <c r="H50" s="55"/>
      <c r="I50" s="54"/>
      <c r="J50" s="66"/>
      <c r="K50" s="346"/>
      <c r="L50" s="51"/>
      <c r="M50" s="344"/>
      <c r="N50" s="1"/>
      <c r="O50" s="2"/>
      <c r="P50" s="2"/>
      <c r="Q50" s="1"/>
      <c r="R50" s="1"/>
    </row>
    <row r="51" spans="1:18">
      <c r="A51" s="345"/>
      <c r="B51" s="64"/>
      <c r="C51" s="63"/>
      <c r="D51" s="322"/>
      <c r="E51" s="57"/>
      <c r="F51" s="57"/>
      <c r="G51" s="56"/>
      <c r="H51" s="55"/>
      <c r="I51" s="54"/>
      <c r="J51" s="66"/>
      <c r="K51" s="346"/>
      <c r="L51" s="51"/>
      <c r="M51" s="344"/>
      <c r="N51" s="1"/>
      <c r="O51" s="2"/>
      <c r="P51" s="2"/>
      <c r="Q51" s="1"/>
      <c r="R51" s="1"/>
    </row>
    <row r="52" spans="1:18">
      <c r="A52" s="345"/>
      <c r="B52" s="64"/>
      <c r="C52" s="63"/>
      <c r="D52" s="322"/>
      <c r="E52" s="57"/>
      <c r="F52" s="57"/>
      <c r="G52" s="56"/>
      <c r="H52" s="55"/>
      <c r="I52" s="54"/>
      <c r="J52" s="66"/>
      <c r="K52" s="346"/>
      <c r="L52" s="51"/>
      <c r="M52" s="344"/>
      <c r="N52" s="1"/>
      <c r="O52" s="2"/>
      <c r="P52" s="2"/>
      <c r="Q52" s="1"/>
      <c r="R52" s="1"/>
    </row>
    <row r="53" spans="1:18">
      <c r="A53" s="345"/>
      <c r="B53" s="64"/>
      <c r="C53" s="63"/>
      <c r="D53" s="322"/>
      <c r="E53" s="57"/>
      <c r="F53" s="57"/>
      <c r="G53" s="56"/>
      <c r="H53" s="55"/>
      <c r="I53" s="54"/>
      <c r="J53" s="66"/>
      <c r="K53" s="346"/>
      <c r="L53" s="51"/>
      <c r="M53" s="344"/>
      <c r="N53" s="1"/>
      <c r="O53" s="2"/>
      <c r="P53" s="2"/>
      <c r="Q53" s="1"/>
      <c r="R53" s="1"/>
    </row>
    <row r="54" spans="1:18">
      <c r="A54" s="345"/>
      <c r="B54" s="64"/>
      <c r="C54" s="63"/>
      <c r="D54" s="322"/>
      <c r="E54" s="57"/>
      <c r="F54" s="57"/>
      <c r="G54" s="56"/>
      <c r="H54" s="55"/>
      <c r="I54" s="54"/>
      <c r="J54" s="66"/>
      <c r="K54" s="346"/>
      <c r="L54" s="51"/>
      <c r="M54" s="344"/>
      <c r="N54" s="1"/>
      <c r="O54" s="2"/>
      <c r="P54" s="2"/>
      <c r="Q54" s="1"/>
      <c r="R54" s="1"/>
    </row>
    <row r="55" spans="1:18">
      <c r="A55" s="345"/>
      <c r="B55" s="64"/>
      <c r="C55" s="63"/>
      <c r="D55" s="322"/>
      <c r="E55" s="57"/>
      <c r="F55" s="57"/>
      <c r="G55" s="56"/>
      <c r="H55" s="55"/>
      <c r="I55" s="54"/>
      <c r="J55" s="53"/>
      <c r="K55" s="346"/>
      <c r="L55" s="51"/>
      <c r="M55" s="344"/>
      <c r="N55" s="1"/>
      <c r="O55" s="2"/>
      <c r="P55" s="2"/>
      <c r="Q55" s="1"/>
      <c r="R55" s="1"/>
    </row>
    <row r="56" spans="1:18">
      <c r="A56" s="49"/>
      <c r="B56" s="48"/>
      <c r="C56" s="47"/>
      <c r="D56" s="359" t="str">
        <f>IF(ISNUMBER(A56),FIXED(C29,0)&amp;"-"&amp;FIXED(C56,0),"")</f>
        <v/>
      </c>
      <c r="E56" s="41"/>
      <c r="F56" s="41"/>
      <c r="G56" s="40"/>
      <c r="H56" s="39"/>
      <c r="I56" s="38"/>
      <c r="J56" s="37"/>
      <c r="K56" s="360"/>
      <c r="L56" s="35"/>
      <c r="M56" s="342"/>
      <c r="N56" s="1"/>
      <c r="O56" s="2"/>
      <c r="P56" s="2"/>
      <c r="Q56" s="1"/>
      <c r="R56" s="1"/>
    </row>
    <row r="57" spans="1:18" ht="12" thickBot="1">
      <c r="A57" s="33"/>
      <c r="B57" s="32"/>
      <c r="C57" s="31"/>
      <c r="D57" s="361" t="str">
        <f>IF(ISNUMBER(A57),FIXED(C56,0)&amp;"-"&amp;FIXED(C57,0),"")</f>
        <v/>
      </c>
      <c r="E57" s="25"/>
      <c r="F57" s="25"/>
      <c r="G57" s="24"/>
      <c r="H57" s="23"/>
      <c r="I57" s="22"/>
      <c r="J57" s="21"/>
      <c r="K57" s="362"/>
      <c r="L57" s="19"/>
      <c r="M57" s="363"/>
      <c r="N57" s="1"/>
      <c r="O57" s="2"/>
      <c r="P57" s="2"/>
      <c r="Q57" s="1"/>
      <c r="R57" s="1"/>
    </row>
    <row r="58" spans="1:18">
      <c r="A58" s="17"/>
      <c r="B58" s="17"/>
      <c r="C58" s="16"/>
      <c r="D58" s="15"/>
      <c r="E58" s="15"/>
      <c r="F58" s="15"/>
      <c r="G58" s="14"/>
      <c r="H58" s="11"/>
      <c r="I58" s="10"/>
      <c r="J58" s="10"/>
      <c r="K58" s="10"/>
      <c r="L58" s="10"/>
      <c r="N58" s="1"/>
      <c r="O58" s="2"/>
      <c r="P58" s="2"/>
    </row>
    <row r="59" spans="1:18">
      <c r="A59" s="2"/>
      <c r="B59" s="2"/>
      <c r="C59" s="12"/>
      <c r="D59" s="12"/>
      <c r="E59" s="12"/>
      <c r="F59" s="12"/>
      <c r="G59" s="10"/>
      <c r="H59" s="11"/>
      <c r="I59" s="10"/>
      <c r="J59" s="10"/>
      <c r="K59" s="10"/>
      <c r="L59" s="10"/>
      <c r="N59" s="1"/>
      <c r="O59" s="2"/>
      <c r="P59" s="2"/>
    </row>
    <row r="60" spans="1:18">
      <c r="A60" s="5"/>
      <c r="B60" s="5"/>
      <c r="C60" s="5"/>
      <c r="D60" s="5"/>
      <c r="E60" s="4"/>
      <c r="F60" s="3"/>
      <c r="G60" s="2"/>
      <c r="H60" s="1"/>
      <c r="I60" s="2"/>
      <c r="J60" s="2"/>
      <c r="K60" s="1"/>
      <c r="L60" s="1"/>
      <c r="M60" s="1"/>
      <c r="N60" s="1"/>
      <c r="Q60" s="1"/>
      <c r="R60" s="1"/>
    </row>
    <row r="61" spans="1:18">
      <c r="A61" s="9"/>
      <c r="B61" s="9"/>
      <c r="C61" s="5"/>
      <c r="D61" s="5"/>
      <c r="E61" s="4"/>
      <c r="F61" s="3"/>
      <c r="G61" s="1"/>
      <c r="H61" s="1"/>
      <c r="I61" s="2"/>
      <c r="J61" s="2"/>
      <c r="K61" s="1"/>
      <c r="L61" s="1"/>
      <c r="M61" s="1"/>
      <c r="N61" s="1"/>
      <c r="Q61" s="1"/>
      <c r="R61" s="1"/>
    </row>
    <row r="62" spans="1:18">
      <c r="A62" s="8"/>
      <c r="B62" s="8"/>
      <c r="C62" s="5"/>
      <c r="D62" s="5"/>
      <c r="E62" s="4"/>
      <c r="F62" s="3"/>
      <c r="G62" s="1"/>
      <c r="H62" s="1"/>
      <c r="I62" s="2"/>
      <c r="J62" s="2"/>
      <c r="K62" s="1"/>
      <c r="L62" s="1"/>
      <c r="M62" s="1"/>
      <c r="N62" s="1"/>
      <c r="Q62" s="1"/>
      <c r="R62" s="1"/>
    </row>
    <row r="63" spans="1:18">
      <c r="A63" s="5"/>
      <c r="B63" s="5"/>
      <c r="C63" s="5"/>
      <c r="D63" s="5"/>
      <c r="E63" s="4"/>
      <c r="F63" s="3"/>
      <c r="G63" s="1"/>
      <c r="H63" s="1"/>
      <c r="I63" s="2"/>
      <c r="J63" s="2"/>
      <c r="K63" s="1"/>
      <c r="L63" s="1"/>
      <c r="M63" s="1"/>
      <c r="N63" s="1"/>
      <c r="Q63" s="1"/>
      <c r="R63" s="1"/>
    </row>
    <row r="64" spans="1:18">
      <c r="A64" s="5"/>
      <c r="B64" s="5"/>
      <c r="C64" s="5"/>
      <c r="D64" s="5"/>
      <c r="E64" s="4"/>
      <c r="F64" s="3"/>
      <c r="G64" s="1"/>
      <c r="H64" s="1"/>
      <c r="I64" s="2"/>
      <c r="J64" s="2"/>
      <c r="K64" s="1"/>
      <c r="L64" s="1"/>
      <c r="M64" s="1"/>
      <c r="N64" s="1"/>
      <c r="Q64" s="1"/>
      <c r="R64" s="1"/>
    </row>
    <row r="65" spans="1:18">
      <c r="A65" s="5"/>
      <c r="B65" s="5"/>
      <c r="C65" s="5"/>
      <c r="D65" s="5"/>
      <c r="E65" s="4"/>
      <c r="F65" s="3"/>
      <c r="G65" s="1"/>
      <c r="H65" s="1"/>
      <c r="I65" s="2"/>
      <c r="J65" s="2"/>
      <c r="K65" s="1"/>
      <c r="L65" s="1"/>
      <c r="M65" s="1"/>
      <c r="N65" s="1"/>
      <c r="Q65" s="1"/>
      <c r="R65" s="1"/>
    </row>
    <row r="66" spans="1:18">
      <c r="A66" s="5"/>
      <c r="B66" s="5"/>
      <c r="C66" s="5"/>
      <c r="D66" s="5"/>
      <c r="E66" s="4"/>
      <c r="F66" s="3"/>
      <c r="G66" s="1"/>
      <c r="H66" s="1"/>
      <c r="I66" s="2"/>
      <c r="J66" s="2"/>
      <c r="K66" s="1"/>
      <c r="L66" s="1"/>
      <c r="M66" s="1"/>
      <c r="N66" s="1"/>
      <c r="Q66" s="1"/>
      <c r="R66" s="1"/>
    </row>
    <row r="67" spans="1:18">
      <c r="A67" s="5"/>
      <c r="B67" s="5"/>
      <c r="C67" s="5"/>
      <c r="D67" s="5"/>
      <c r="E67" s="4"/>
      <c r="F67" s="3"/>
      <c r="G67" s="1"/>
      <c r="H67" s="1"/>
      <c r="I67" s="2"/>
      <c r="J67" s="2"/>
      <c r="K67" s="1"/>
      <c r="L67" s="1"/>
      <c r="M67" s="1"/>
      <c r="N67" s="1"/>
      <c r="Q67" s="1"/>
      <c r="R67" s="1"/>
    </row>
    <row r="68" spans="1:18">
      <c r="A68" s="5"/>
      <c r="B68" s="5"/>
      <c r="C68" s="5"/>
      <c r="D68" s="5"/>
      <c r="E68" s="4"/>
      <c r="F68" s="3"/>
      <c r="G68" s="1"/>
      <c r="H68" s="1"/>
      <c r="I68" s="2"/>
      <c r="J68" s="2"/>
      <c r="K68" s="1"/>
      <c r="L68" s="1"/>
      <c r="M68" s="1"/>
      <c r="N68" s="1"/>
      <c r="Q68" s="1"/>
      <c r="R68" s="1"/>
    </row>
    <row r="69" spans="1:18">
      <c r="A69" s="5"/>
      <c r="B69" s="5"/>
      <c r="C69" s="5"/>
      <c r="D69" s="5"/>
      <c r="E69" s="4"/>
      <c r="F69" s="3"/>
      <c r="G69" s="1"/>
      <c r="H69" s="1"/>
      <c r="I69" s="2"/>
      <c r="J69" s="2"/>
      <c r="K69" s="1"/>
      <c r="L69" s="1"/>
      <c r="M69" s="1"/>
      <c r="N69" s="1"/>
      <c r="Q69" s="1"/>
      <c r="R69" s="1"/>
    </row>
    <row r="70" spans="1:18">
      <c r="A70" s="5"/>
      <c r="B70" s="5"/>
      <c r="C70" s="5"/>
      <c r="D70" s="5"/>
      <c r="E70" s="4"/>
      <c r="F70" s="3"/>
      <c r="G70" s="1"/>
      <c r="H70" s="1"/>
      <c r="I70" s="2"/>
      <c r="J70" s="2"/>
      <c r="K70" s="1"/>
      <c r="L70" s="1"/>
      <c r="M70" s="1"/>
      <c r="N70" s="1"/>
      <c r="Q70" s="1"/>
      <c r="R70" s="1"/>
    </row>
    <row r="71" spans="1:18">
      <c r="A71" s="5"/>
      <c r="B71" s="5"/>
      <c r="C71" s="5"/>
      <c r="D71" s="5"/>
      <c r="E71" s="4"/>
      <c r="F71" s="3"/>
      <c r="G71" s="1"/>
      <c r="H71" s="1"/>
      <c r="I71" s="2"/>
      <c r="J71" s="2"/>
      <c r="K71" s="1"/>
      <c r="L71" s="1"/>
      <c r="M71" s="1"/>
      <c r="N71" s="1"/>
      <c r="Q71" s="1"/>
      <c r="R71" s="1"/>
    </row>
    <row r="72" spans="1:18">
      <c r="A72" s="5"/>
      <c r="B72" s="5"/>
      <c r="C72" s="5"/>
      <c r="D72" s="5"/>
      <c r="E72" s="4"/>
      <c r="F72" s="3"/>
      <c r="G72" s="1"/>
      <c r="H72" s="1"/>
      <c r="I72" s="2"/>
      <c r="J72" s="2"/>
      <c r="K72" s="1"/>
      <c r="L72" s="1"/>
      <c r="M72" s="1"/>
      <c r="N72" s="1"/>
      <c r="Q72" s="1"/>
      <c r="R72" s="1"/>
    </row>
    <row r="73" spans="1:18">
      <c r="A73" s="5"/>
      <c r="B73" s="5"/>
      <c r="C73" s="5"/>
      <c r="D73" s="5"/>
      <c r="E73" s="4"/>
      <c r="F73" s="3"/>
      <c r="G73" s="1"/>
      <c r="H73" s="1"/>
      <c r="I73" s="2"/>
      <c r="J73" s="2"/>
      <c r="K73" s="1"/>
      <c r="L73" s="1"/>
      <c r="M73" s="1"/>
      <c r="N73" s="1"/>
      <c r="Q73" s="1"/>
      <c r="R73" s="1"/>
    </row>
    <row r="74" spans="1:18">
      <c r="A74" s="5"/>
      <c r="B74" s="5"/>
      <c r="C74" s="5"/>
      <c r="D74" s="5"/>
      <c r="E74" s="4"/>
      <c r="F74" s="3"/>
      <c r="G74" s="1"/>
      <c r="H74" s="1"/>
      <c r="I74" s="2"/>
      <c r="J74" s="2"/>
      <c r="K74" s="1"/>
      <c r="L74" s="1"/>
      <c r="M74" s="1"/>
      <c r="N74" s="1"/>
      <c r="Q74" s="1"/>
      <c r="R74" s="1"/>
    </row>
    <row r="75" spans="1:18">
      <c r="A75" s="5"/>
      <c r="B75" s="5"/>
      <c r="C75" s="5"/>
      <c r="D75" s="5"/>
      <c r="E75" s="4"/>
      <c r="F75" s="3"/>
      <c r="G75" s="1"/>
      <c r="H75" s="1"/>
      <c r="I75" s="2"/>
      <c r="J75" s="2"/>
      <c r="K75" s="1"/>
      <c r="L75" s="1"/>
      <c r="M75" s="1"/>
      <c r="N75" s="1"/>
      <c r="Q75" s="1"/>
      <c r="R75" s="1"/>
    </row>
    <row r="76" spans="1:18">
      <c r="A76" s="5"/>
      <c r="B76" s="5"/>
      <c r="C76" s="5"/>
      <c r="D76" s="5"/>
      <c r="E76" s="4"/>
      <c r="F76" s="3"/>
      <c r="G76" s="1"/>
      <c r="H76" s="1"/>
      <c r="I76" s="2"/>
      <c r="J76" s="2"/>
      <c r="K76" s="1"/>
      <c r="L76" s="1"/>
      <c r="M76" s="1"/>
      <c r="N76" s="1"/>
      <c r="Q76" s="1"/>
      <c r="R76" s="1"/>
    </row>
    <row r="77" spans="1:18">
      <c r="A77" s="5"/>
      <c r="B77" s="5"/>
      <c r="C77" s="5"/>
      <c r="D77" s="5"/>
      <c r="E77" s="4"/>
      <c r="F77" s="3"/>
      <c r="G77" s="1"/>
      <c r="H77" s="1"/>
      <c r="I77" s="2"/>
      <c r="J77" s="2"/>
      <c r="K77" s="1"/>
      <c r="L77" s="1"/>
      <c r="M77" s="1"/>
      <c r="N77" s="1"/>
      <c r="Q77" s="1"/>
      <c r="R77" s="1"/>
    </row>
    <row r="78" spans="1:18">
      <c r="A78" s="5"/>
      <c r="B78" s="5"/>
      <c r="C78" s="5"/>
      <c r="D78" s="5"/>
      <c r="E78" s="4"/>
      <c r="F78" s="3"/>
      <c r="G78" s="1"/>
      <c r="H78" s="1"/>
      <c r="I78" s="2"/>
      <c r="J78" s="2"/>
      <c r="K78" s="1"/>
      <c r="L78" s="1"/>
      <c r="M78" s="1"/>
      <c r="N78" s="1"/>
      <c r="Q78" s="1"/>
      <c r="R78" s="1"/>
    </row>
    <row r="79" spans="1:18">
      <c r="A79" s="5"/>
      <c r="B79" s="5"/>
      <c r="C79" s="5"/>
      <c r="D79" s="5"/>
      <c r="E79" s="4"/>
      <c r="F79" s="3"/>
      <c r="G79" s="1"/>
      <c r="H79" s="1"/>
      <c r="I79" s="2"/>
      <c r="J79" s="2"/>
      <c r="K79" s="1"/>
      <c r="L79" s="1"/>
      <c r="M79" s="1"/>
      <c r="N79" s="1"/>
      <c r="Q79" s="1"/>
      <c r="R79" s="1"/>
    </row>
    <row r="80" spans="1:18">
      <c r="A80" s="5"/>
      <c r="B80" s="5"/>
      <c r="C80" s="5"/>
      <c r="D80" s="5"/>
      <c r="E80" s="4"/>
      <c r="F80" s="3"/>
      <c r="G80" s="1"/>
      <c r="H80" s="1"/>
      <c r="I80" s="2"/>
      <c r="J80" s="2"/>
      <c r="K80" s="1"/>
      <c r="L80" s="1"/>
      <c r="M80" s="1"/>
      <c r="N80" s="1"/>
      <c r="Q80" s="1"/>
      <c r="R80" s="1"/>
    </row>
    <row r="81" spans="1:18">
      <c r="A81" s="5"/>
      <c r="B81" s="5"/>
      <c r="C81" s="5"/>
      <c r="D81" s="5"/>
      <c r="E81" s="4"/>
      <c r="F81" s="3"/>
      <c r="G81" s="1"/>
      <c r="H81" s="1"/>
      <c r="I81" s="2"/>
      <c r="J81" s="2"/>
      <c r="K81" s="1"/>
      <c r="L81" s="1"/>
      <c r="M81" s="1"/>
      <c r="N81" s="1"/>
      <c r="Q81" s="1"/>
      <c r="R81" s="1"/>
    </row>
    <row r="82" spans="1:18">
      <c r="A82" s="5"/>
      <c r="B82" s="5"/>
      <c r="C82" s="5"/>
      <c r="D82" s="5"/>
      <c r="E82" s="4"/>
      <c r="F82" s="3"/>
      <c r="G82" s="1"/>
      <c r="H82" s="1"/>
      <c r="I82" s="2"/>
      <c r="J82" s="2"/>
      <c r="K82" s="1"/>
      <c r="L82" s="1"/>
      <c r="M82" s="1"/>
      <c r="N82" s="1"/>
      <c r="Q82" s="1"/>
      <c r="R82" s="1"/>
    </row>
    <row r="83" spans="1:18">
      <c r="A83" s="5"/>
      <c r="B83" s="5"/>
      <c r="C83" s="5"/>
      <c r="D83" s="5"/>
      <c r="E83" s="4"/>
      <c r="F83" s="3"/>
      <c r="G83" s="1"/>
      <c r="H83" s="1"/>
      <c r="I83" s="2"/>
      <c r="J83" s="2"/>
      <c r="K83" s="1"/>
      <c r="L83" s="1"/>
      <c r="M83" s="1"/>
      <c r="N83" s="1"/>
      <c r="Q83" s="1"/>
      <c r="R83" s="1"/>
    </row>
    <row r="84" spans="1:18">
      <c r="A84" s="5"/>
      <c r="B84" s="5"/>
      <c r="C84" s="5"/>
      <c r="D84" s="5"/>
      <c r="E84" s="4"/>
      <c r="F84" s="3"/>
      <c r="G84" s="13"/>
      <c r="H84" s="1"/>
      <c r="I84" s="2"/>
      <c r="J84" s="2"/>
      <c r="K84" s="1"/>
      <c r="L84" s="1"/>
      <c r="M84" s="1"/>
      <c r="N84" s="1"/>
      <c r="Q84" s="1"/>
      <c r="R84" s="1"/>
    </row>
    <row r="85" spans="1:18">
      <c r="A85" s="5"/>
      <c r="B85" s="5"/>
      <c r="C85" s="5"/>
      <c r="D85" s="5"/>
      <c r="E85" s="4"/>
      <c r="F85" s="3"/>
      <c r="G85" s="13"/>
      <c r="H85" s="1"/>
      <c r="I85" s="2"/>
      <c r="J85" s="2"/>
      <c r="K85" s="1"/>
      <c r="L85" s="1"/>
      <c r="M85" s="1"/>
      <c r="N85" s="1"/>
      <c r="Q85" s="1"/>
      <c r="R85" s="1"/>
    </row>
    <row r="86" spans="1:18">
      <c r="A86" s="5"/>
      <c r="B86" s="5"/>
      <c r="C86" s="5"/>
      <c r="D86" s="5"/>
      <c r="E86" s="4"/>
      <c r="F86" s="3"/>
      <c r="G86" s="13"/>
      <c r="H86" s="1"/>
      <c r="I86" s="2"/>
      <c r="J86" s="2"/>
      <c r="K86" s="1"/>
      <c r="L86" s="1"/>
      <c r="M86" s="1"/>
      <c r="N86" s="1"/>
      <c r="Q86" s="1"/>
      <c r="R86" s="1"/>
    </row>
    <row r="87" spans="1:18">
      <c r="A87" s="5"/>
      <c r="B87" s="5"/>
      <c r="C87" s="5"/>
      <c r="D87" s="5"/>
      <c r="E87" s="4"/>
      <c r="F87" s="3"/>
      <c r="G87" s="13"/>
      <c r="H87" s="1"/>
      <c r="I87" s="2"/>
      <c r="J87" s="2"/>
      <c r="K87" s="1"/>
      <c r="L87" s="1"/>
      <c r="M87" s="1"/>
      <c r="N87" s="1"/>
      <c r="Q87" s="1"/>
      <c r="R87" s="1"/>
    </row>
    <row r="88" spans="1:18">
      <c r="A88" s="5"/>
      <c r="B88" s="5"/>
      <c r="C88" s="5"/>
      <c r="D88" s="5"/>
      <c r="E88" s="4"/>
      <c r="F88" s="3"/>
      <c r="G88" s="1"/>
      <c r="H88" s="1"/>
      <c r="I88" s="2"/>
      <c r="J88" s="2"/>
      <c r="K88" s="1"/>
      <c r="L88" s="1"/>
      <c r="M88" s="1"/>
      <c r="N88" s="1"/>
      <c r="Q88" s="1"/>
      <c r="R88" s="1"/>
    </row>
    <row r="89" spans="1:18">
      <c r="A89" s="5"/>
      <c r="B89" s="5"/>
      <c r="C89" s="5"/>
      <c r="D89" s="5"/>
      <c r="E89" s="4"/>
      <c r="F89" s="3"/>
      <c r="G89" s="1"/>
      <c r="H89" s="1"/>
      <c r="I89" s="2"/>
      <c r="J89" s="2"/>
      <c r="K89" s="1"/>
      <c r="L89" s="1"/>
      <c r="M89" s="1"/>
      <c r="N89" s="1"/>
      <c r="Q89" s="1"/>
      <c r="R89" s="1"/>
    </row>
    <row r="90" spans="1:18">
      <c r="A90" s="5"/>
      <c r="B90" s="5"/>
      <c r="C90" s="5"/>
      <c r="D90" s="5"/>
      <c r="E90" s="4"/>
      <c r="F90" s="3"/>
      <c r="G90" s="1"/>
      <c r="H90" s="1"/>
      <c r="I90" s="2"/>
      <c r="J90" s="2"/>
      <c r="K90" s="1"/>
      <c r="L90" s="1"/>
      <c r="M90" s="1"/>
      <c r="N90" s="1"/>
      <c r="Q90" s="1"/>
      <c r="R90" s="1"/>
    </row>
    <row r="91" spans="1:18">
      <c r="A91" s="5"/>
      <c r="B91" s="5"/>
      <c r="C91" s="5"/>
      <c r="D91" s="5"/>
      <c r="E91" s="4"/>
      <c r="F91" s="3"/>
      <c r="G91" s="1"/>
      <c r="H91" s="1"/>
      <c r="I91" s="2"/>
      <c r="J91" s="2"/>
      <c r="K91" s="1"/>
      <c r="L91" s="1"/>
      <c r="M91" s="1"/>
      <c r="N91" s="1"/>
      <c r="Q91" s="1"/>
      <c r="R91" s="1"/>
    </row>
    <row r="92" spans="1:18">
      <c r="A92" s="5"/>
      <c r="B92" s="5"/>
      <c r="C92" s="5"/>
      <c r="D92" s="5"/>
      <c r="E92" s="4"/>
      <c r="F92" s="3"/>
      <c r="G92" s="1"/>
      <c r="H92" s="1"/>
      <c r="I92" s="2"/>
      <c r="J92" s="2"/>
      <c r="K92" s="1"/>
      <c r="L92" s="1"/>
      <c r="M92" s="1"/>
      <c r="N92" s="1"/>
      <c r="Q92" s="1"/>
      <c r="R92" s="1"/>
    </row>
    <row r="93" spans="1:18">
      <c r="A93" s="5"/>
      <c r="B93" s="5"/>
      <c r="C93" s="5"/>
      <c r="D93" s="5"/>
      <c r="E93" s="4"/>
      <c r="F93" s="3"/>
      <c r="G93" s="1"/>
      <c r="H93" s="1"/>
      <c r="I93" s="2"/>
      <c r="J93" s="2"/>
      <c r="K93" s="1"/>
      <c r="L93" s="1"/>
      <c r="M93" s="1"/>
      <c r="N93" s="1"/>
      <c r="Q93" s="1"/>
      <c r="R93" s="1"/>
    </row>
    <row r="94" spans="1:18">
      <c r="A94" s="5"/>
      <c r="B94" s="5"/>
      <c r="C94" s="5"/>
      <c r="D94" s="5"/>
      <c r="E94" s="4"/>
      <c r="F94" s="3"/>
      <c r="G94" s="1"/>
      <c r="H94" s="1"/>
      <c r="I94" s="2"/>
      <c r="J94" s="2"/>
      <c r="K94" s="1"/>
      <c r="L94" s="1"/>
      <c r="M94" s="1"/>
      <c r="N94" s="1"/>
      <c r="Q94" s="1"/>
      <c r="R94" s="1"/>
    </row>
    <row r="95" spans="1:18">
      <c r="A95" s="5"/>
      <c r="B95" s="5"/>
      <c r="C95" s="5"/>
      <c r="D95" s="5"/>
      <c r="E95" s="4"/>
      <c r="F95" s="3"/>
      <c r="G95" s="1"/>
      <c r="H95" s="1"/>
      <c r="I95" s="2"/>
      <c r="J95" s="2"/>
      <c r="K95" s="1"/>
      <c r="L95" s="1"/>
      <c r="M95" s="1"/>
      <c r="N95" s="1"/>
      <c r="Q95" s="1"/>
      <c r="R95" s="1"/>
    </row>
    <row r="96" spans="1:18">
      <c r="A96" s="5"/>
      <c r="B96" s="5"/>
      <c r="C96" s="5"/>
      <c r="D96" s="5"/>
      <c r="E96" s="4"/>
      <c r="F96" s="3"/>
      <c r="G96" s="1"/>
      <c r="H96" s="1"/>
      <c r="I96" s="2"/>
      <c r="J96" s="2"/>
      <c r="K96" s="1"/>
      <c r="L96" s="1"/>
      <c r="M96" s="1"/>
      <c r="N96" s="1"/>
      <c r="Q96" s="1"/>
      <c r="R96" s="1"/>
    </row>
    <row r="97" spans="1:18">
      <c r="A97" s="5"/>
      <c r="B97" s="5"/>
      <c r="C97" s="5"/>
      <c r="D97" s="5"/>
      <c r="E97" s="4"/>
      <c r="F97" s="3"/>
      <c r="G97" s="1"/>
      <c r="H97" s="1"/>
      <c r="I97" s="2"/>
      <c r="J97" s="2"/>
      <c r="K97" s="1"/>
      <c r="L97" s="1"/>
      <c r="M97" s="1"/>
      <c r="N97" s="1"/>
      <c r="Q97" s="1"/>
      <c r="R97" s="1"/>
    </row>
    <row r="98" spans="1:18">
      <c r="A98" s="5"/>
      <c r="B98" s="5"/>
      <c r="C98" s="5"/>
      <c r="D98" s="5"/>
      <c r="E98" s="4"/>
      <c r="F98" s="3"/>
      <c r="G98" s="1"/>
      <c r="H98" s="1"/>
      <c r="I98" s="2"/>
      <c r="J98" s="2"/>
      <c r="K98" s="1"/>
      <c r="L98" s="1"/>
      <c r="M98" s="1"/>
      <c r="N98" s="1"/>
      <c r="Q98" s="1"/>
      <c r="R98" s="1"/>
    </row>
    <row r="99" spans="1:18" s="5" customFormat="1">
      <c r="E99" s="4"/>
      <c r="F99" s="3"/>
      <c r="G99" s="1"/>
      <c r="H99" s="1"/>
      <c r="I99" s="2"/>
      <c r="J99" s="2"/>
      <c r="K99" s="1"/>
      <c r="L99" s="1"/>
      <c r="M99" s="1"/>
      <c r="N99" s="1"/>
    </row>
    <row r="100" spans="1:18" s="5" customFormat="1">
      <c r="E100" s="4"/>
      <c r="F100" s="3"/>
      <c r="G100" s="1"/>
      <c r="H100" s="1"/>
      <c r="I100" s="2"/>
      <c r="J100" s="2"/>
      <c r="K100" s="1"/>
      <c r="L100" s="1"/>
      <c r="M100" s="1"/>
      <c r="N100" s="1"/>
    </row>
    <row r="101" spans="1:18" s="5" customFormat="1">
      <c r="E101" s="4"/>
      <c r="F101" s="3"/>
      <c r="G101" s="1"/>
      <c r="H101" s="1"/>
      <c r="I101" s="2"/>
      <c r="J101" s="2"/>
      <c r="K101" s="1"/>
      <c r="L101" s="1"/>
      <c r="M101" s="1"/>
      <c r="N101" s="1"/>
    </row>
    <row r="102" spans="1:18" s="5" customFormat="1">
      <c r="E102" s="4"/>
      <c r="F102" s="3"/>
      <c r="G102" s="1"/>
      <c r="H102" s="1"/>
      <c r="I102" s="2"/>
      <c r="J102" s="2"/>
      <c r="K102" s="1"/>
      <c r="L102" s="1"/>
      <c r="M102" s="1"/>
      <c r="N102" s="1"/>
    </row>
    <row r="103" spans="1:18" s="5" customFormat="1">
      <c r="E103" s="4"/>
      <c r="F103" s="3"/>
      <c r="G103" s="1"/>
      <c r="H103" s="1"/>
      <c r="I103" s="2"/>
      <c r="J103" s="2"/>
      <c r="K103" s="1"/>
      <c r="L103" s="1"/>
      <c r="M103" s="1"/>
      <c r="N103" s="1"/>
    </row>
    <row r="104" spans="1:18" s="5" customFormat="1">
      <c r="E104" s="4"/>
      <c r="F104" s="3"/>
      <c r="G104" s="1"/>
      <c r="H104" s="1"/>
      <c r="I104" s="2"/>
      <c r="J104" s="2"/>
      <c r="K104" s="1"/>
      <c r="L104" s="1"/>
      <c r="M104" s="1"/>
      <c r="N104" s="1"/>
    </row>
    <row r="105" spans="1:18" s="5" customFormat="1">
      <c r="E105" s="4"/>
      <c r="F105" s="3"/>
      <c r="G105" s="1"/>
      <c r="H105" s="1"/>
      <c r="I105" s="2"/>
      <c r="J105" s="2"/>
      <c r="K105" s="1"/>
      <c r="L105" s="1"/>
      <c r="M105" s="1"/>
      <c r="N105" s="1"/>
    </row>
    <row r="106" spans="1:18" s="5" customFormat="1">
      <c r="E106" s="4"/>
      <c r="F106" s="3"/>
      <c r="G106" s="1"/>
      <c r="H106" s="1"/>
      <c r="I106" s="2"/>
      <c r="J106" s="2"/>
      <c r="K106" s="1"/>
      <c r="L106" s="1"/>
      <c r="M106" s="1"/>
      <c r="N106" s="1"/>
    </row>
    <row r="107" spans="1:18" s="5" customFormat="1">
      <c r="E107" s="4"/>
      <c r="F107" s="3"/>
      <c r="G107" s="1"/>
      <c r="H107" s="1"/>
      <c r="I107" s="2"/>
      <c r="J107" s="2"/>
      <c r="K107" s="1"/>
      <c r="L107" s="1"/>
      <c r="M107" s="1"/>
      <c r="N107" s="1"/>
    </row>
    <row r="108" spans="1:18" s="5" customFormat="1">
      <c r="E108" s="4"/>
      <c r="F108" s="3"/>
      <c r="G108" s="1"/>
      <c r="H108" s="1"/>
      <c r="I108" s="2"/>
      <c r="J108" s="2"/>
      <c r="K108" s="1"/>
      <c r="L108" s="1"/>
      <c r="M108" s="1"/>
      <c r="N108" s="1"/>
    </row>
    <row r="109" spans="1:18" s="5" customFormat="1">
      <c r="E109" s="4"/>
      <c r="F109" s="3"/>
      <c r="G109" s="1"/>
      <c r="H109" s="1"/>
      <c r="I109" s="2"/>
      <c r="J109" s="2"/>
      <c r="K109" s="1"/>
      <c r="L109" s="1"/>
      <c r="M109" s="1"/>
      <c r="N109" s="1"/>
    </row>
    <row r="110" spans="1:18" s="5" customFormat="1">
      <c r="E110" s="4"/>
      <c r="F110" s="3"/>
      <c r="G110" s="1"/>
      <c r="H110" s="1"/>
      <c r="I110" s="2"/>
      <c r="J110" s="2"/>
      <c r="K110" s="1"/>
      <c r="L110" s="1"/>
      <c r="M110" s="1"/>
      <c r="N110" s="1"/>
    </row>
    <row r="111" spans="1:18" s="5" customFormat="1">
      <c r="E111" s="4"/>
      <c r="F111" s="3"/>
      <c r="G111" s="1"/>
      <c r="H111" s="1"/>
      <c r="I111" s="2"/>
      <c r="J111" s="2"/>
      <c r="K111" s="1"/>
      <c r="L111" s="1"/>
      <c r="M111" s="1"/>
      <c r="N111" s="1"/>
    </row>
    <row r="112" spans="1:18" s="5" customFormat="1">
      <c r="E112" s="4"/>
      <c r="F112" s="3"/>
      <c r="G112" s="1"/>
      <c r="H112" s="1"/>
      <c r="I112" s="2"/>
      <c r="J112" s="2"/>
      <c r="K112" s="1"/>
      <c r="L112" s="1"/>
      <c r="M112" s="1"/>
      <c r="N112" s="1"/>
    </row>
    <row r="113" spans="5:14" s="5" customFormat="1">
      <c r="E113" s="4"/>
      <c r="F113" s="3"/>
      <c r="G113" s="1"/>
      <c r="H113" s="1"/>
      <c r="I113" s="2"/>
      <c r="J113" s="2"/>
      <c r="K113" s="1"/>
      <c r="L113" s="1"/>
      <c r="M113" s="1"/>
      <c r="N113" s="1"/>
    </row>
    <row r="114" spans="5:14" s="5" customFormat="1">
      <c r="E114" s="4"/>
      <c r="F114" s="3"/>
      <c r="G114" s="1"/>
      <c r="H114" s="1"/>
      <c r="I114" s="2"/>
      <c r="J114" s="2"/>
      <c r="K114" s="1"/>
      <c r="L114" s="1"/>
      <c r="M114" s="1"/>
      <c r="N114" s="1"/>
    </row>
    <row r="115" spans="5:14" s="5" customFormat="1">
      <c r="E115" s="4"/>
      <c r="F115" s="3"/>
      <c r="G115" s="1"/>
      <c r="H115" s="1"/>
      <c r="I115" s="2"/>
      <c r="J115" s="2"/>
      <c r="K115" s="1"/>
      <c r="L115" s="1"/>
      <c r="M115" s="1"/>
      <c r="N115" s="1"/>
    </row>
    <row r="116" spans="5:14" s="5" customFormat="1">
      <c r="E116" s="4"/>
      <c r="F116" s="3"/>
      <c r="G116" s="1"/>
      <c r="H116" s="1"/>
      <c r="I116" s="2"/>
      <c r="J116" s="2"/>
      <c r="K116" s="1"/>
      <c r="L116" s="1"/>
      <c r="M116" s="1"/>
      <c r="N116" s="1"/>
    </row>
    <row r="117" spans="5:14" s="5" customFormat="1">
      <c r="E117" s="4"/>
      <c r="F117" s="3"/>
      <c r="G117" s="1"/>
      <c r="H117" s="1"/>
      <c r="I117" s="2"/>
      <c r="J117" s="2"/>
      <c r="K117" s="1"/>
      <c r="L117" s="1"/>
      <c r="M117" s="1"/>
      <c r="N117" s="1"/>
    </row>
    <row r="118" spans="5:14" s="5" customFormat="1">
      <c r="E118" s="4"/>
      <c r="F118" s="3"/>
      <c r="G118" s="1"/>
      <c r="H118" s="1"/>
      <c r="I118" s="2"/>
      <c r="J118" s="2"/>
      <c r="K118" s="1"/>
      <c r="L118" s="1"/>
      <c r="M118" s="1"/>
      <c r="N118" s="1"/>
    </row>
    <row r="119" spans="5:14" s="5" customFormat="1">
      <c r="E119" s="4"/>
      <c r="F119" s="3"/>
      <c r="G119" s="1"/>
      <c r="H119" s="1"/>
      <c r="I119" s="2"/>
      <c r="J119" s="2"/>
      <c r="K119" s="1"/>
      <c r="L119" s="1"/>
      <c r="M119" s="1"/>
      <c r="N119" s="1"/>
    </row>
    <row r="120" spans="5:14" s="5" customFormat="1">
      <c r="E120" s="4"/>
      <c r="F120" s="3"/>
      <c r="G120" s="1"/>
      <c r="H120" s="1"/>
      <c r="I120" s="2"/>
      <c r="J120" s="2"/>
      <c r="K120" s="1"/>
      <c r="L120" s="1"/>
      <c r="M120" s="1"/>
      <c r="N120" s="1"/>
    </row>
    <row r="121" spans="5:14" s="5" customFormat="1">
      <c r="E121" s="4"/>
      <c r="F121" s="3"/>
      <c r="G121" s="1"/>
      <c r="H121" s="1"/>
      <c r="I121" s="2"/>
      <c r="J121" s="2"/>
      <c r="K121" s="1"/>
      <c r="L121" s="1"/>
      <c r="M121" s="1"/>
      <c r="N121" s="1"/>
    </row>
    <row r="122" spans="5:14" s="5" customFormat="1">
      <c r="E122" s="4"/>
      <c r="F122" s="3"/>
      <c r="G122" s="1"/>
      <c r="H122" s="1"/>
      <c r="I122" s="2"/>
      <c r="J122" s="2"/>
      <c r="K122" s="1"/>
      <c r="L122" s="1"/>
      <c r="M122" s="1"/>
      <c r="N122" s="1"/>
    </row>
    <row r="123" spans="5:14" s="5" customFormat="1">
      <c r="E123" s="4"/>
      <c r="F123" s="3"/>
      <c r="G123" s="1"/>
      <c r="H123" s="1"/>
      <c r="I123" s="2"/>
      <c r="J123" s="2"/>
      <c r="K123" s="1"/>
      <c r="L123" s="1"/>
      <c r="M123" s="1"/>
      <c r="N123" s="1"/>
    </row>
    <row r="124" spans="5:14" s="5" customFormat="1">
      <c r="E124" s="4"/>
      <c r="F124" s="3"/>
      <c r="G124" s="1"/>
      <c r="H124" s="1"/>
      <c r="I124" s="2"/>
      <c r="J124" s="2"/>
      <c r="K124" s="1"/>
      <c r="L124" s="1"/>
      <c r="M124" s="1"/>
      <c r="N124" s="1"/>
    </row>
    <row r="125" spans="5:14" s="5" customFormat="1">
      <c r="E125" s="4"/>
      <c r="F125" s="3"/>
      <c r="G125" s="1"/>
      <c r="H125" s="1"/>
      <c r="I125" s="2"/>
      <c r="J125" s="2"/>
      <c r="K125" s="1"/>
      <c r="L125" s="1"/>
      <c r="M125" s="1"/>
      <c r="N125" s="1"/>
    </row>
    <row r="126" spans="5:14" s="5" customFormat="1">
      <c r="E126" s="4"/>
      <c r="F126" s="3"/>
      <c r="G126" s="1"/>
      <c r="H126" s="1"/>
      <c r="I126" s="2"/>
      <c r="J126" s="2"/>
      <c r="K126" s="1"/>
      <c r="L126" s="1"/>
      <c r="M126" s="1"/>
      <c r="N126" s="1"/>
    </row>
    <row r="127" spans="5:14" s="5" customFormat="1">
      <c r="E127" s="4"/>
      <c r="F127" s="3"/>
      <c r="G127" s="1"/>
      <c r="H127" s="1"/>
      <c r="I127" s="2"/>
      <c r="J127" s="2"/>
      <c r="K127" s="1"/>
      <c r="L127" s="1"/>
      <c r="M127" s="1"/>
      <c r="N127" s="1"/>
    </row>
    <row r="128" spans="5:14" s="5" customFormat="1">
      <c r="E128" s="4"/>
      <c r="F128" s="3"/>
      <c r="G128" s="1"/>
      <c r="H128" s="1"/>
      <c r="I128" s="2"/>
      <c r="J128" s="2"/>
      <c r="K128" s="1"/>
      <c r="L128" s="1"/>
      <c r="M128" s="1"/>
      <c r="N128" s="1"/>
    </row>
    <row r="129" spans="5:14" s="5" customFormat="1">
      <c r="E129" s="4"/>
      <c r="F129" s="3"/>
      <c r="G129" s="1"/>
      <c r="H129" s="1"/>
      <c r="I129" s="2"/>
      <c r="J129" s="2"/>
      <c r="K129" s="1"/>
      <c r="L129" s="1"/>
      <c r="M129" s="1"/>
      <c r="N129" s="1"/>
    </row>
    <row r="130" spans="5:14" s="5" customFormat="1">
      <c r="E130" s="4"/>
      <c r="F130" s="3"/>
      <c r="G130" s="1"/>
      <c r="H130" s="1"/>
      <c r="I130" s="2"/>
      <c r="J130" s="2"/>
      <c r="K130" s="1"/>
      <c r="L130" s="1"/>
      <c r="M130" s="1"/>
      <c r="N130" s="1"/>
    </row>
    <row r="131" spans="5:14" s="5" customFormat="1">
      <c r="E131" s="4"/>
      <c r="F131" s="3"/>
      <c r="G131" s="1"/>
      <c r="H131" s="1"/>
      <c r="I131" s="2"/>
      <c r="J131" s="2"/>
      <c r="K131" s="1"/>
      <c r="L131" s="1"/>
      <c r="M131" s="1"/>
      <c r="N131" s="1"/>
    </row>
    <row r="132" spans="5:14" s="5" customFormat="1">
      <c r="E132" s="4"/>
      <c r="F132" s="3"/>
      <c r="G132" s="1"/>
      <c r="H132" s="1"/>
      <c r="I132" s="2"/>
      <c r="J132" s="2"/>
      <c r="K132" s="1"/>
      <c r="L132" s="1"/>
      <c r="M132" s="1"/>
      <c r="N132" s="1"/>
    </row>
    <row r="133" spans="5:14" s="5" customFormat="1">
      <c r="E133" s="4"/>
      <c r="F133" s="3"/>
      <c r="G133" s="1"/>
      <c r="H133" s="1"/>
      <c r="I133" s="2"/>
      <c r="J133" s="2"/>
      <c r="K133" s="1"/>
      <c r="L133" s="1"/>
      <c r="M133" s="1"/>
      <c r="N133" s="1"/>
    </row>
    <row r="134" spans="5:14" s="5" customFormat="1">
      <c r="E134" s="4"/>
      <c r="F134" s="3"/>
      <c r="G134" s="1"/>
      <c r="H134" s="1"/>
      <c r="I134" s="2"/>
      <c r="J134" s="2"/>
      <c r="K134" s="1"/>
      <c r="L134" s="1"/>
      <c r="M134" s="1"/>
      <c r="N134" s="1"/>
    </row>
    <row r="135" spans="5:14" s="5" customFormat="1">
      <c r="E135" s="4"/>
      <c r="F135" s="3"/>
      <c r="G135" s="1"/>
      <c r="H135" s="1"/>
      <c r="I135" s="2"/>
      <c r="J135" s="2"/>
      <c r="K135" s="1"/>
      <c r="L135" s="1"/>
      <c r="M135" s="1"/>
      <c r="N135" s="1"/>
    </row>
    <row r="136" spans="5:14" s="5" customFormat="1">
      <c r="E136" s="4"/>
      <c r="F136" s="3"/>
      <c r="G136" s="1"/>
      <c r="H136" s="1"/>
      <c r="I136" s="2"/>
      <c r="J136" s="2"/>
      <c r="K136" s="1"/>
      <c r="L136" s="1"/>
      <c r="M136" s="1"/>
      <c r="N136" s="1"/>
    </row>
    <row r="137" spans="5:14" s="5" customFormat="1">
      <c r="E137" s="4"/>
      <c r="F137" s="3"/>
      <c r="G137" s="1"/>
      <c r="H137" s="1"/>
      <c r="I137" s="2"/>
      <c r="J137" s="2"/>
      <c r="K137" s="1"/>
      <c r="L137" s="1"/>
      <c r="M137" s="1"/>
      <c r="N137" s="1"/>
    </row>
    <row r="138" spans="5:14" s="5" customFormat="1">
      <c r="E138" s="4"/>
      <c r="F138" s="3"/>
      <c r="G138" s="1"/>
      <c r="H138" s="1"/>
      <c r="I138" s="2"/>
      <c r="J138" s="2"/>
      <c r="K138" s="1"/>
      <c r="L138" s="1"/>
      <c r="M138" s="1"/>
      <c r="N138" s="1"/>
    </row>
    <row r="139" spans="5:14" s="5" customFormat="1">
      <c r="E139" s="4"/>
      <c r="F139" s="3"/>
      <c r="G139" s="1"/>
      <c r="H139" s="1"/>
      <c r="I139" s="2"/>
      <c r="J139" s="2"/>
      <c r="K139" s="1"/>
      <c r="L139" s="1"/>
      <c r="M139" s="1"/>
      <c r="N139" s="1"/>
    </row>
    <row r="140" spans="5:14" s="5" customFormat="1">
      <c r="E140" s="4"/>
      <c r="F140" s="3"/>
      <c r="G140" s="1"/>
      <c r="H140" s="1"/>
      <c r="I140" s="2"/>
      <c r="J140" s="2"/>
      <c r="K140" s="1"/>
      <c r="L140" s="1"/>
      <c r="M140" s="1"/>
      <c r="N140" s="1"/>
    </row>
    <row r="141" spans="5:14" s="5" customFormat="1">
      <c r="E141" s="4"/>
      <c r="F141" s="3"/>
      <c r="G141" s="1"/>
      <c r="H141" s="1"/>
      <c r="I141" s="2"/>
      <c r="J141" s="2"/>
      <c r="K141" s="1"/>
      <c r="L141" s="1"/>
      <c r="M141" s="1"/>
      <c r="N141" s="1"/>
    </row>
    <row r="142" spans="5:14" s="5" customFormat="1">
      <c r="E142" s="4"/>
      <c r="F142" s="3"/>
      <c r="G142" s="1"/>
      <c r="H142" s="1"/>
      <c r="I142" s="2"/>
      <c r="J142" s="2"/>
      <c r="K142" s="1"/>
      <c r="L142" s="1"/>
      <c r="M142" s="1"/>
      <c r="N142" s="1"/>
    </row>
    <row r="143" spans="5:14" s="5" customFormat="1">
      <c r="E143" s="4"/>
      <c r="F143" s="3"/>
      <c r="G143" s="1"/>
      <c r="H143" s="1"/>
      <c r="I143" s="2"/>
      <c r="J143" s="2"/>
      <c r="K143" s="1"/>
      <c r="L143" s="1"/>
      <c r="M143" s="1"/>
      <c r="N143" s="1"/>
    </row>
    <row r="144" spans="5:14" s="5" customFormat="1">
      <c r="E144" s="4"/>
      <c r="F144" s="3"/>
      <c r="G144" s="1"/>
      <c r="H144" s="1"/>
      <c r="I144" s="2"/>
      <c r="J144" s="2"/>
      <c r="K144" s="1"/>
      <c r="L144" s="1"/>
      <c r="M144" s="1"/>
      <c r="N144" s="1"/>
    </row>
    <row r="145" spans="5:14" s="5" customFormat="1">
      <c r="E145" s="4"/>
      <c r="F145" s="3"/>
      <c r="G145" s="1"/>
      <c r="H145" s="1"/>
      <c r="I145" s="2"/>
      <c r="J145" s="2"/>
      <c r="K145" s="1"/>
      <c r="L145" s="1"/>
      <c r="M145" s="1"/>
      <c r="N145" s="1"/>
    </row>
    <row r="146" spans="5:14" s="5" customFormat="1">
      <c r="E146" s="4"/>
      <c r="F146" s="3"/>
      <c r="G146" s="1"/>
      <c r="H146" s="1"/>
      <c r="I146" s="2"/>
      <c r="J146" s="2"/>
      <c r="K146" s="1"/>
      <c r="L146" s="1"/>
      <c r="M146" s="1"/>
      <c r="N146" s="1"/>
    </row>
    <row r="147" spans="5:14" s="5" customFormat="1">
      <c r="E147" s="4"/>
      <c r="F147" s="3"/>
      <c r="G147" s="1"/>
      <c r="H147" s="1"/>
      <c r="I147" s="2"/>
      <c r="J147" s="2"/>
      <c r="K147" s="1"/>
      <c r="L147" s="1"/>
      <c r="M147" s="1"/>
      <c r="N147" s="1"/>
    </row>
    <row r="148" spans="5:14" s="5" customFormat="1">
      <c r="E148" s="4"/>
      <c r="F148" s="3"/>
      <c r="G148" s="1"/>
      <c r="H148" s="1"/>
      <c r="I148" s="2"/>
      <c r="J148" s="2"/>
      <c r="K148" s="1"/>
      <c r="L148" s="1"/>
      <c r="M148" s="1"/>
      <c r="N148" s="1"/>
    </row>
    <row r="149" spans="5:14" s="5" customFormat="1">
      <c r="E149" s="4"/>
      <c r="F149" s="3"/>
      <c r="G149" s="1"/>
      <c r="H149" s="1"/>
      <c r="I149" s="2"/>
      <c r="J149" s="2"/>
      <c r="K149" s="1"/>
      <c r="L149" s="1"/>
      <c r="M149" s="1"/>
      <c r="N149" s="1"/>
    </row>
    <row r="150" spans="5:14" s="5" customFormat="1">
      <c r="E150" s="4"/>
      <c r="F150" s="3"/>
      <c r="G150" s="1"/>
      <c r="H150" s="1"/>
      <c r="I150" s="2"/>
      <c r="J150" s="2"/>
      <c r="K150" s="1"/>
      <c r="L150" s="1"/>
      <c r="M150" s="1"/>
      <c r="N150" s="1"/>
    </row>
    <row r="151" spans="5:14" s="5" customFormat="1">
      <c r="E151" s="4"/>
      <c r="F151" s="3"/>
      <c r="G151" s="1"/>
      <c r="H151" s="1"/>
      <c r="I151" s="2"/>
      <c r="J151" s="2"/>
      <c r="K151" s="1"/>
      <c r="L151" s="1"/>
      <c r="M151" s="1"/>
      <c r="N151" s="1"/>
    </row>
    <row r="152" spans="5:14" s="5" customFormat="1">
      <c r="E152" s="4"/>
      <c r="F152" s="3"/>
      <c r="G152" s="1"/>
      <c r="H152" s="1"/>
      <c r="I152" s="2"/>
      <c r="J152" s="2"/>
      <c r="K152" s="1"/>
      <c r="L152" s="1"/>
      <c r="M152" s="1"/>
      <c r="N152" s="1"/>
    </row>
    <row r="153" spans="5:14" s="5" customFormat="1">
      <c r="E153" s="4"/>
      <c r="F153" s="3"/>
      <c r="G153" s="1"/>
      <c r="H153" s="1"/>
      <c r="I153" s="2"/>
      <c r="J153" s="2"/>
      <c r="K153" s="1"/>
      <c r="L153" s="1"/>
      <c r="M153" s="1"/>
      <c r="N153" s="1"/>
    </row>
    <row r="154" spans="5:14" s="5" customFormat="1">
      <c r="E154" s="4"/>
      <c r="F154" s="3"/>
      <c r="G154" s="1"/>
      <c r="H154" s="1"/>
      <c r="I154" s="2"/>
      <c r="J154" s="2"/>
      <c r="K154" s="1"/>
      <c r="L154" s="1"/>
      <c r="M154" s="1"/>
      <c r="N154" s="1"/>
    </row>
    <row r="155" spans="5:14" s="5" customFormat="1">
      <c r="E155" s="4"/>
      <c r="F155" s="3"/>
      <c r="G155" s="1"/>
      <c r="H155" s="1"/>
      <c r="I155" s="2"/>
      <c r="J155" s="2"/>
      <c r="K155" s="1"/>
      <c r="L155" s="1"/>
      <c r="M155" s="1"/>
      <c r="N155" s="1"/>
    </row>
  </sheetData>
  <mergeCells count="1">
    <mergeCell ref="A21:A29"/>
  </mergeCells>
  <dataValidations disablePrompts="1" count="1">
    <dataValidation type="list" allowBlank="1" showInputMessage="1" showErrorMessage="1" sqref="Q1">
      <formula1>$AD$2:$AD$8</formula1>
    </dataValidation>
  </dataValidations>
  <hyperlinks>
    <hyperlink ref="J1" r:id="rId1"/>
  </hyperlinks>
  <pageMargins left="0.75" right="0.75" top="1" bottom="1" header="0.5" footer="0.5"/>
  <pageSetup orientation="portrait" r:id="rId2"/>
  <headerFooter alignWithMargins="0"/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>
  <dimension ref="A1:AO154"/>
  <sheetViews>
    <sheetView workbookViewId="0">
      <pane ySplit="8" topLeftCell="A9" activePane="bottomLeft" state="frozenSplit"/>
      <selection pane="bottomLeft" activeCell="Y27" sqref="Y27"/>
    </sheetView>
  </sheetViews>
  <sheetFormatPr defaultColWidth="7.85546875" defaultRowHeight="11.25" outlineLevelCol="1"/>
  <cols>
    <col min="1" max="1" width="5" style="1" customWidth="1"/>
    <col min="2" max="2" width="3.42578125" style="1" customWidth="1"/>
    <col min="3" max="3" width="5.140625" style="7" customWidth="1"/>
    <col min="4" max="4" width="7.7109375" style="7" customWidth="1"/>
    <col min="5" max="7" width="5" style="7" customWidth="1" outlineLevel="1"/>
    <col min="8" max="8" width="7.5703125" style="7" bestFit="1" customWidth="1"/>
    <col min="9" max="12" width="5.140625" style="7" customWidth="1" outlineLevel="1"/>
    <col min="13" max="13" width="8.140625" style="7" bestFit="1" customWidth="1"/>
    <col min="14" max="14" width="7.7109375" style="7" customWidth="1"/>
    <col min="15" max="15" width="5.5703125" style="7" customWidth="1"/>
    <col min="16" max="16" width="8.140625" style="7" customWidth="1"/>
    <col min="17" max="17" width="6.28515625" style="5" customWidth="1"/>
    <col min="18" max="18" width="6.85546875" style="6" customWidth="1"/>
    <col min="19" max="19" width="8.7109375" style="5" customWidth="1"/>
    <col min="20" max="20" width="8.140625" style="5" customWidth="1"/>
    <col min="21" max="21" width="6.85546875" style="5" customWidth="1"/>
    <col min="22" max="22" width="5.5703125" style="5" customWidth="1"/>
    <col min="23" max="23" width="15.85546875" style="4" customWidth="1"/>
    <col min="24" max="24" width="7.140625" style="3" customWidth="1"/>
    <col min="25" max="25" width="14.5703125" style="1" customWidth="1"/>
    <col min="26" max="26" width="8.140625" style="1" customWidth="1"/>
    <col min="27" max="27" width="14" style="2" bestFit="1" customWidth="1"/>
    <col min="28" max="29" width="6.5703125" style="1" customWidth="1"/>
    <col min="30" max="30" width="5.42578125" style="1" customWidth="1"/>
    <col min="31" max="39" width="5.28515625" style="1" customWidth="1"/>
    <col min="40" max="40" width="14.7109375" style="1" customWidth="1"/>
    <col min="41" max="16384" width="7.85546875" style="1"/>
  </cols>
  <sheetData>
    <row r="1" spans="1:41" s="219" customFormat="1">
      <c r="A1" s="267"/>
      <c r="B1" s="259" t="s">
        <v>69</v>
      </c>
      <c r="C1" s="266" t="s">
        <v>70</v>
      </c>
      <c r="D1" s="265"/>
      <c r="E1" s="265"/>
      <c r="F1" s="265"/>
      <c r="G1" s="265"/>
      <c r="H1" s="265"/>
      <c r="I1" s="265"/>
      <c r="J1" s="265"/>
      <c r="K1" s="265"/>
      <c r="L1" s="265"/>
      <c r="M1" s="265"/>
      <c r="O1" s="264" t="s">
        <v>68</v>
      </c>
      <c r="P1" s="263">
        <v>40784</v>
      </c>
      <c r="Q1" s="262"/>
      <c r="R1" s="261" t="s">
        <v>67</v>
      </c>
      <c r="S1" s="260"/>
      <c r="T1" s="260"/>
      <c r="X1" s="259" t="s">
        <v>66</v>
      </c>
      <c r="Y1" s="258" t="s">
        <v>49</v>
      </c>
      <c r="Z1" s="138"/>
      <c r="AN1" s="257" t="s">
        <v>65</v>
      </c>
    </row>
    <row r="2" spans="1:41" s="219" customFormat="1">
      <c r="A2" s="209"/>
      <c r="B2" s="256" t="s">
        <v>64</v>
      </c>
      <c r="C2" s="255" t="s">
        <v>80</v>
      </c>
      <c r="D2" s="254"/>
      <c r="E2" s="254"/>
      <c r="F2" s="254"/>
      <c r="G2" s="254"/>
      <c r="H2" s="254"/>
      <c r="I2" s="254"/>
      <c r="J2" s="254"/>
      <c r="K2" s="254"/>
      <c r="L2" s="254"/>
      <c r="M2" s="254"/>
      <c r="O2" s="253" t="s">
        <v>63</v>
      </c>
      <c r="P2" s="252" t="s">
        <v>72</v>
      </c>
      <c r="Q2" s="251"/>
      <c r="R2" s="250" t="s">
        <v>62</v>
      </c>
      <c r="S2" s="249"/>
      <c r="T2" s="249"/>
      <c r="X2" s="248" t="s">
        <v>61</v>
      </c>
      <c r="Y2" s="247"/>
      <c r="Z2" s="246" t="s">
        <v>60</v>
      </c>
      <c r="AN2" s="1" t="s">
        <v>59</v>
      </c>
      <c r="AO2" s="220" t="s">
        <v>58</v>
      </c>
    </row>
    <row r="3" spans="1:41" s="234" customFormat="1" ht="11.25" customHeight="1" thickBot="1">
      <c r="A3" s="245"/>
      <c r="B3" s="237" t="s">
        <v>57</v>
      </c>
      <c r="C3" s="244" t="s">
        <v>79</v>
      </c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39"/>
      <c r="R3" s="242"/>
      <c r="S3" s="241"/>
      <c r="T3" s="240"/>
      <c r="U3" s="239"/>
      <c r="V3" s="239"/>
      <c r="X3" s="237" t="s">
        <v>56</v>
      </c>
      <c r="Y3" s="238" t="s">
        <v>55</v>
      </c>
      <c r="Z3" s="237"/>
      <c r="AA3" s="236"/>
      <c r="AN3" s="234" t="s">
        <v>54</v>
      </c>
      <c r="AO3" s="235" t="s">
        <v>53</v>
      </c>
    </row>
    <row r="4" spans="1:41" s="219" customFormat="1">
      <c r="A4" s="233" t="s">
        <v>52</v>
      </c>
      <c r="B4" s="232"/>
      <c r="C4" s="231"/>
      <c r="D4" s="230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8" t="s">
        <v>51</v>
      </c>
      <c r="R4" s="227"/>
      <c r="S4" s="226" t="s">
        <v>50</v>
      </c>
      <c r="T4" s="226"/>
      <c r="U4" s="225"/>
      <c r="V4" s="224"/>
      <c r="W4" s="223"/>
      <c r="X4" s="222"/>
      <c r="Y4" s="144"/>
      <c r="Z4" s="221"/>
      <c r="AA4" s="138"/>
      <c r="AN4" s="1" t="s">
        <v>49</v>
      </c>
      <c r="AO4" s="220" t="s">
        <v>48</v>
      </c>
    </row>
    <row r="5" spans="1:41" s="184" customFormat="1">
      <c r="A5" s="218"/>
      <c r="B5" s="217"/>
      <c r="C5" s="202"/>
      <c r="D5" s="216"/>
      <c r="E5" s="215"/>
      <c r="F5" s="215"/>
      <c r="G5" s="215"/>
      <c r="H5" s="215" t="s">
        <v>47</v>
      </c>
      <c r="I5" s="214"/>
      <c r="J5" s="214"/>
      <c r="K5" s="214"/>
      <c r="L5" s="214"/>
      <c r="M5" s="214"/>
      <c r="N5" s="213"/>
      <c r="O5" s="212"/>
      <c r="P5" s="202"/>
      <c r="Q5" s="192"/>
      <c r="R5" s="191"/>
      <c r="S5" s="8"/>
      <c r="T5" s="8"/>
      <c r="U5" s="211"/>
      <c r="V5" s="201"/>
      <c r="W5" s="189"/>
      <c r="X5" s="209"/>
      <c r="Y5" s="162"/>
      <c r="Z5" s="210"/>
      <c r="AA5" s="162"/>
      <c r="AN5" s="185" t="s">
        <v>46</v>
      </c>
    </row>
    <row r="6" spans="1:41" s="162" customFormat="1">
      <c r="A6" s="209"/>
      <c r="C6" s="208"/>
      <c r="D6" s="207" t="s">
        <v>43</v>
      </c>
      <c r="E6" s="206"/>
      <c r="F6" s="206"/>
      <c r="G6" s="205"/>
      <c r="H6" s="195" t="s">
        <v>45</v>
      </c>
      <c r="I6" s="204"/>
      <c r="J6" s="204"/>
      <c r="K6" s="204"/>
      <c r="L6" s="203"/>
      <c r="M6" s="195" t="s">
        <v>45</v>
      </c>
      <c r="N6" s="194" t="s">
        <v>23</v>
      </c>
      <c r="O6" s="202" t="s">
        <v>44</v>
      </c>
      <c r="P6" s="202"/>
      <c r="Q6" s="192"/>
      <c r="R6" s="191"/>
      <c r="S6" s="2"/>
      <c r="T6" s="2"/>
      <c r="U6" s="190" t="s">
        <v>43</v>
      </c>
      <c r="V6" s="186" t="s">
        <v>42</v>
      </c>
      <c r="W6" s="189"/>
      <c r="X6" s="188"/>
      <c r="Y6" s="187" t="s">
        <v>41</v>
      </c>
      <c r="Z6" s="201" t="s">
        <v>40</v>
      </c>
      <c r="AN6" s="163"/>
    </row>
    <row r="7" spans="1:41" s="184" customFormat="1">
      <c r="A7" s="188" t="s">
        <v>39</v>
      </c>
      <c r="B7" s="187" t="s">
        <v>38</v>
      </c>
      <c r="C7" s="193" t="s">
        <v>37</v>
      </c>
      <c r="D7" s="200" t="s">
        <v>36</v>
      </c>
      <c r="E7" s="199" t="s">
        <v>35</v>
      </c>
      <c r="F7" s="199"/>
      <c r="G7" s="198"/>
      <c r="H7" s="195" t="s">
        <v>34</v>
      </c>
      <c r="I7" s="197" t="s">
        <v>33</v>
      </c>
      <c r="J7" s="197"/>
      <c r="K7" s="197"/>
      <c r="L7" s="196"/>
      <c r="M7" s="195" t="s">
        <v>32</v>
      </c>
      <c r="N7" s="194" t="s">
        <v>31</v>
      </c>
      <c r="O7" s="193" t="s">
        <v>30</v>
      </c>
      <c r="P7" s="193" t="s">
        <v>29</v>
      </c>
      <c r="Q7" s="192" t="s">
        <v>28</v>
      </c>
      <c r="R7" s="191" t="s">
        <v>27</v>
      </c>
      <c r="S7" s="8" t="s">
        <v>27</v>
      </c>
      <c r="T7" s="8" t="s">
        <v>26</v>
      </c>
      <c r="U7" s="190" t="s">
        <v>25</v>
      </c>
      <c r="V7" s="186" t="s">
        <v>24</v>
      </c>
      <c r="W7" s="189"/>
      <c r="X7" s="188" t="s">
        <v>23</v>
      </c>
      <c r="Y7" s="187" t="s">
        <v>22</v>
      </c>
      <c r="Z7" s="186" t="s">
        <v>21</v>
      </c>
      <c r="AA7" s="162"/>
      <c r="AN7" s="185"/>
    </row>
    <row r="8" spans="1:41" s="162" customFormat="1" ht="14.25" customHeight="1" thickBot="1">
      <c r="A8" s="183" t="s">
        <v>20</v>
      </c>
      <c r="B8" s="182" t="s">
        <v>20</v>
      </c>
      <c r="C8" s="174" t="s">
        <v>11</v>
      </c>
      <c r="D8" s="181" t="s">
        <v>11</v>
      </c>
      <c r="E8" s="180" t="s">
        <v>11</v>
      </c>
      <c r="F8" s="180" t="s">
        <v>11</v>
      </c>
      <c r="G8" s="179" t="s">
        <v>11</v>
      </c>
      <c r="H8" s="176" t="s">
        <v>11</v>
      </c>
      <c r="I8" s="178" t="s">
        <v>11</v>
      </c>
      <c r="J8" s="178" t="s">
        <v>11</v>
      </c>
      <c r="K8" s="178" t="s">
        <v>11</v>
      </c>
      <c r="L8" s="177" t="s">
        <v>11</v>
      </c>
      <c r="M8" s="176" t="s">
        <v>11</v>
      </c>
      <c r="N8" s="175" t="s">
        <v>19</v>
      </c>
      <c r="O8" s="174" t="s">
        <v>11</v>
      </c>
      <c r="P8" s="174" t="s">
        <v>11</v>
      </c>
      <c r="Q8" s="173" t="s">
        <v>16</v>
      </c>
      <c r="R8" s="172" t="s">
        <v>18</v>
      </c>
      <c r="S8" s="171" t="s">
        <v>17</v>
      </c>
      <c r="T8" s="171" t="s">
        <v>16</v>
      </c>
      <c r="U8" s="170" t="s">
        <v>11</v>
      </c>
      <c r="V8" s="169" t="s">
        <v>15</v>
      </c>
      <c r="W8" s="168" t="s">
        <v>14</v>
      </c>
      <c r="X8" s="167" t="s">
        <v>13</v>
      </c>
      <c r="Y8" s="166" t="s">
        <v>12</v>
      </c>
      <c r="Z8" s="165" t="s">
        <v>11</v>
      </c>
      <c r="AA8" s="164"/>
      <c r="AN8" s="163"/>
    </row>
    <row r="9" spans="1:41" s="102" customFormat="1">
      <c r="A9" s="161"/>
      <c r="B9" s="128"/>
      <c r="C9" s="127">
        <v>0</v>
      </c>
      <c r="D9" s="160"/>
      <c r="E9" s="157"/>
      <c r="F9" s="157"/>
      <c r="G9" s="159"/>
      <c r="H9" s="160"/>
      <c r="I9" s="157"/>
      <c r="J9" s="157"/>
      <c r="K9" s="157"/>
      <c r="L9" s="159"/>
      <c r="M9" s="158"/>
      <c r="N9" s="158"/>
      <c r="O9" s="157"/>
      <c r="P9" s="157"/>
      <c r="Q9" s="156"/>
      <c r="R9" s="123"/>
      <c r="S9" s="124"/>
      <c r="T9" s="155"/>
      <c r="U9" s="121">
        <v>0</v>
      </c>
      <c r="V9" s="154">
        <v>0</v>
      </c>
      <c r="W9" s="153"/>
      <c r="X9" s="152">
        <v>1</v>
      </c>
      <c r="Y9" s="151" t="s">
        <v>95</v>
      </c>
      <c r="Z9" s="150">
        <v>620</v>
      </c>
      <c r="AA9" s="149"/>
      <c r="AO9" s="1"/>
    </row>
    <row r="10" spans="1:41" s="102" customFormat="1" ht="11.25" customHeight="1" thickBot="1">
      <c r="A10" s="142">
        <v>233</v>
      </c>
      <c r="B10" s="135">
        <v>0</v>
      </c>
      <c r="C10" s="134">
        <v>25</v>
      </c>
      <c r="D10" s="87" t="str">
        <f>IF(ISNUMBER(A10),FIXED(C9,0)&amp;"-"&amp;FIXED((C10+C11)/2,0),"")</f>
        <v>0-50</v>
      </c>
      <c r="E10" s="82"/>
      <c r="F10" s="82"/>
      <c r="G10" s="133"/>
      <c r="H10" s="87"/>
      <c r="I10" s="82"/>
      <c r="J10" s="82"/>
      <c r="K10" s="82"/>
      <c r="L10" s="133"/>
      <c r="M10" s="87"/>
      <c r="N10" s="87">
        <v>1000</v>
      </c>
      <c r="O10" s="82">
        <f>C9</f>
        <v>0</v>
      </c>
      <c r="P10" s="82">
        <f>(C10+C11)  /  IF(ISNUMBER(C11),2,1)</f>
        <v>50</v>
      </c>
      <c r="Q10" s="124">
        <f>(A10-B10)/1000</f>
        <v>0.23300000000000001</v>
      </c>
      <c r="R10" s="93">
        <f>(Q10*(P10-O10))/100</f>
        <v>0.11650000000000001</v>
      </c>
      <c r="S10" s="92">
        <f>ROUND(SUM(R$10:R10),3)</f>
        <v>0.11700000000000001</v>
      </c>
      <c r="T10" s="91">
        <f>ROUND(S10/P10*100,2)</f>
        <v>0.23</v>
      </c>
      <c r="U10" s="121">
        <v>10</v>
      </c>
      <c r="V10" s="120"/>
      <c r="W10" s="140" t="s">
        <v>75</v>
      </c>
      <c r="X10" s="148">
        <v>2</v>
      </c>
      <c r="Y10" s="147"/>
      <c r="Z10" s="146"/>
      <c r="AA10" s="117"/>
      <c r="AO10" s="1"/>
    </row>
    <row r="11" spans="1:41" s="102" customFormat="1" ht="11.25" customHeight="1">
      <c r="A11" s="142">
        <v>524</v>
      </c>
      <c r="B11" s="135">
        <v>0</v>
      </c>
      <c r="C11" s="134">
        <v>75</v>
      </c>
      <c r="D11" s="87" t="str">
        <f>IF(ISNUMBER(A11),   FIXED((C10+C11)/2,0)&amp;"-"&amp;FIXED((C11+C12)  /  IF(ISNUMBER(C12),2,1),0),   "")</f>
        <v>50-100</v>
      </c>
      <c r="E11" s="82"/>
      <c r="F11" s="82"/>
      <c r="G11" s="133"/>
      <c r="H11" s="87"/>
      <c r="I11" s="82"/>
      <c r="J11" s="82"/>
      <c r="K11" s="82"/>
      <c r="L11" s="133"/>
      <c r="M11" s="87"/>
      <c r="N11" s="87">
        <v>1000</v>
      </c>
      <c r="O11" s="82">
        <f>(C10+C11)/2</f>
        <v>50</v>
      </c>
      <c r="P11" s="82">
        <f>(C11+C12)  /  IF(ISNUMBER(C12),2,1)</f>
        <v>100</v>
      </c>
      <c r="Q11" s="124">
        <f>(A11-B11)/1000</f>
        <v>0.52400000000000002</v>
      </c>
      <c r="R11" s="93">
        <f>(Q11*(P11-O11))/100</f>
        <v>0.26200000000000001</v>
      </c>
      <c r="S11" s="92">
        <f>ROUND(SUM(R$10:R11),3)</f>
        <v>0.379</v>
      </c>
      <c r="T11" s="91">
        <f>ROUND(S11/P11*100,2)</f>
        <v>0.38</v>
      </c>
      <c r="U11" s="121">
        <v>40</v>
      </c>
      <c r="V11" s="120"/>
      <c r="W11" s="140" t="s">
        <v>74</v>
      </c>
      <c r="X11" s="145" t="s">
        <v>9</v>
      </c>
      <c r="Y11" s="144"/>
      <c r="Z11" s="143">
        <f>AVERAGE(Z9:Z10)</f>
        <v>620</v>
      </c>
      <c r="AA11" s="117"/>
      <c r="AO11" s="1"/>
    </row>
    <row r="12" spans="1:41" s="102" customFormat="1" ht="11.25" customHeight="1">
      <c r="A12" s="142">
        <v>500</v>
      </c>
      <c r="B12" s="135">
        <v>0</v>
      </c>
      <c r="C12" s="134">
        <v>125</v>
      </c>
      <c r="D12" s="87" t="str">
        <f>IF(ISNUMBER(A12),   FIXED((C11+C12)/2,0)&amp;"-"&amp;FIXED((C12+C13)  /  IF(ISNUMBER(C13),2,1),0),   "")</f>
        <v>100-125</v>
      </c>
      <c r="E12" s="82"/>
      <c r="F12" s="82"/>
      <c r="G12" s="133"/>
      <c r="H12" s="87"/>
      <c r="I12" s="82"/>
      <c r="J12" s="82"/>
      <c r="K12" s="82"/>
      <c r="L12" s="133"/>
      <c r="M12" s="87"/>
      <c r="N12" s="87">
        <v>1000</v>
      </c>
      <c r="O12" s="82">
        <f>(C11+C12)/2</f>
        <v>100</v>
      </c>
      <c r="P12" s="82">
        <f>(C12+C13)  /  IF(ISNUMBER(C13),2,1)</f>
        <v>125</v>
      </c>
      <c r="Q12" s="124">
        <f>(A12-B12)/1000</f>
        <v>0.5</v>
      </c>
      <c r="R12" s="93">
        <f>(Q12*(P12-O12))/100</f>
        <v>0.125</v>
      </c>
      <c r="S12" s="92">
        <f>ROUND(SUM(R$10:R12),3)</f>
        <v>0.504</v>
      </c>
      <c r="T12" s="91">
        <f>ROUND(S12/P12*100,2)</f>
        <v>0.4</v>
      </c>
      <c r="U12" s="121">
        <v>80</v>
      </c>
      <c r="V12" s="120"/>
      <c r="W12" s="140" t="s">
        <v>73</v>
      </c>
      <c r="X12" s="138" t="s">
        <v>8</v>
      </c>
      <c r="Y12" s="2"/>
      <c r="Z12" s="137" t="e">
        <f>STDEV(Z9:Z10)</f>
        <v>#DIV/0!</v>
      </c>
      <c r="AA12" s="141"/>
      <c r="AO12" s="1"/>
    </row>
    <row r="13" spans="1:41" s="102" customFormat="1">
      <c r="A13" s="136"/>
      <c r="B13" s="135"/>
      <c r="C13" s="134"/>
      <c r="D13" s="87" t="str">
        <f>IF(ISNUMBER(A13),   FIXED((C12+C13)/2,0)&amp;"-"&amp;FIXED((C13+C14)  /  IF(ISNUMBER(C14),2,1),0),   "")</f>
        <v/>
      </c>
      <c r="E13" s="82"/>
      <c r="F13" s="82"/>
      <c r="G13" s="133"/>
      <c r="H13" s="87"/>
      <c r="I13" s="82"/>
      <c r="J13" s="82"/>
      <c r="K13" s="82"/>
      <c r="L13" s="133"/>
      <c r="M13" s="87"/>
      <c r="N13" s="87"/>
      <c r="O13" s="82"/>
      <c r="P13" s="82"/>
      <c r="Q13" s="124"/>
      <c r="R13" s="93"/>
      <c r="S13" s="92"/>
      <c r="T13" s="91"/>
      <c r="U13" s="121"/>
      <c r="V13" s="120"/>
      <c r="W13" s="140"/>
      <c r="X13" s="138" t="s">
        <v>7</v>
      </c>
      <c r="Y13" s="2"/>
      <c r="Z13" s="137" t="e">
        <f>Z12/SQRT(COUNT(Z9:Z10))</f>
        <v>#DIV/0!</v>
      </c>
      <c r="AA13" s="117"/>
      <c r="AO13" s="1"/>
    </row>
    <row r="14" spans="1:41" s="102" customFormat="1">
      <c r="A14" s="136"/>
      <c r="B14" s="135"/>
      <c r="C14" s="134"/>
      <c r="D14" s="87" t="str">
        <f>IF(ISNUMBER(A14),   FIXED((C13+C14)/2,0)&amp;"-"&amp;FIXED((C14+C15)  /  IF(ISNUMBER(C15),2,1),0),   "")</f>
        <v/>
      </c>
      <c r="E14" s="82"/>
      <c r="F14" s="82"/>
      <c r="G14" s="133"/>
      <c r="H14" s="87"/>
      <c r="I14" s="82"/>
      <c r="J14" s="82"/>
      <c r="K14" s="82"/>
      <c r="L14" s="133"/>
      <c r="M14" s="87"/>
      <c r="N14" s="87"/>
      <c r="O14" s="82"/>
      <c r="P14" s="82"/>
      <c r="Q14" s="124"/>
      <c r="R14" s="93"/>
      <c r="S14" s="92"/>
      <c r="T14" s="91"/>
      <c r="U14" s="121"/>
      <c r="V14" s="120"/>
      <c r="W14" s="139" t="s">
        <v>6</v>
      </c>
      <c r="X14" s="138" t="s">
        <v>5</v>
      </c>
      <c r="Y14" s="2"/>
      <c r="Z14" s="137">
        <f>MAX(Z9:Z10)</f>
        <v>620</v>
      </c>
      <c r="AA14" s="117"/>
      <c r="AO14" s="1"/>
    </row>
    <row r="15" spans="1:41" s="102" customFormat="1" ht="12" thickBot="1">
      <c r="A15" s="136"/>
      <c r="B15" s="135"/>
      <c r="C15" s="134"/>
      <c r="D15" s="87" t="str">
        <f>IF(ISNUMBER(A15),   FIXED((C14+C15)/2,0)&amp;"-"&amp;FIXED((C15+C16)  /  IF(ISNUMBER(C16),2,1),0),   "")</f>
        <v/>
      </c>
      <c r="E15" s="82"/>
      <c r="F15" s="82"/>
      <c r="G15" s="133"/>
      <c r="H15" s="87"/>
      <c r="I15" s="82"/>
      <c r="J15" s="82"/>
      <c r="K15" s="82"/>
      <c r="L15" s="133"/>
      <c r="M15" s="87"/>
      <c r="N15" s="87"/>
      <c r="O15" s="82"/>
      <c r="P15" s="82"/>
      <c r="Q15" s="124"/>
      <c r="R15" s="93"/>
      <c r="S15" s="92"/>
      <c r="T15" s="91"/>
      <c r="U15" s="121"/>
      <c r="V15" s="120"/>
      <c r="W15" s="119"/>
      <c r="X15" s="132" t="s">
        <v>4</v>
      </c>
      <c r="Y15" s="131"/>
      <c r="Z15" s="130">
        <f>MIN(Z9:Z10)</f>
        <v>620</v>
      </c>
      <c r="AA15" s="117"/>
      <c r="AO15" s="1"/>
    </row>
    <row r="16" spans="1:41" s="102" customFormat="1">
      <c r="A16" s="129"/>
      <c r="B16" s="128"/>
      <c r="C16" s="127"/>
      <c r="D16" s="87" t="str">
        <f>IF(ISNUMBER(A16),   FIXED((C15+C16)/2,0)&amp;"-"&amp;FIXED((C16+#REF!)  /  IF(ISNUMBER(#REF!),2,1),0),   "")</f>
        <v/>
      </c>
      <c r="E16" s="82"/>
      <c r="F16" s="82"/>
      <c r="G16" s="126"/>
      <c r="H16" s="125"/>
      <c r="I16" s="82"/>
      <c r="J16" s="82"/>
      <c r="K16" s="82"/>
      <c r="L16" s="126"/>
      <c r="M16" s="125"/>
      <c r="N16" s="125"/>
      <c r="O16" s="82"/>
      <c r="P16" s="82"/>
      <c r="Q16" s="124"/>
      <c r="R16" s="123"/>
      <c r="S16" s="122" t="str">
        <f>IF(A16,ROUND(SUM(Q$10:Q16),3),"")</f>
        <v/>
      </c>
      <c r="T16" s="69" t="str">
        <f>IF(ISNUMBER(S16),ROUND(S16/P16*100,2),"")</f>
        <v/>
      </c>
      <c r="U16" s="121"/>
      <c r="V16" s="120"/>
      <c r="W16" s="119"/>
      <c r="X16" s="118"/>
      <c r="Y16" s="104"/>
      <c r="Z16" s="67"/>
      <c r="AA16" s="117"/>
      <c r="AO16" s="1"/>
    </row>
    <row r="17" spans="1:41" s="102" customFormat="1" ht="33.75">
      <c r="A17" s="116" t="s">
        <v>3</v>
      </c>
      <c r="B17" s="115"/>
      <c r="C17" s="114"/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2"/>
      <c r="R17" s="111"/>
      <c r="S17" s="110"/>
      <c r="T17" s="109" t="str">
        <f>IF(ISNUMBER(S17),ROUND(S17/P17*100,2),"")</f>
        <v/>
      </c>
      <c r="U17" s="108"/>
      <c r="V17" s="107"/>
      <c r="W17" s="106" t="s">
        <v>2</v>
      </c>
      <c r="X17" s="105"/>
      <c r="Y17" s="104"/>
      <c r="Z17" s="103"/>
      <c r="AA17" s="100"/>
      <c r="AO17" s="1"/>
    </row>
    <row r="18" spans="1:41" s="78" customFormat="1">
      <c r="A18" s="101">
        <v>532</v>
      </c>
      <c r="B18" s="89">
        <v>0</v>
      </c>
      <c r="C18" s="99">
        <v>242</v>
      </c>
      <c r="D18" s="87" t="str">
        <f>IF(ISNUMBER(C18),FIXED(C17,0)&amp;"-"&amp;FIXED(C18,0),"")</f>
        <v>0-242</v>
      </c>
      <c r="E18" s="96">
        <v>23</v>
      </c>
      <c r="F18" s="96">
        <v>22.6</v>
      </c>
      <c r="G18" s="95">
        <v>22.5</v>
      </c>
      <c r="H18" s="84">
        <v>28.7</v>
      </c>
      <c r="I18" s="96">
        <v>7.2</v>
      </c>
      <c r="J18" s="96">
        <v>7.2</v>
      </c>
      <c r="K18" s="96">
        <v>7.3</v>
      </c>
      <c r="L18" s="95">
        <v>7.4</v>
      </c>
      <c r="M18" s="84">
        <f>AVERAGE(I18:L18)</f>
        <v>7.2750000000000004</v>
      </c>
      <c r="N18" s="83">
        <f>H18*    PI()* (M18/2)^2</f>
        <v>1192.9926648767016</v>
      </c>
      <c r="O18" s="82">
        <f>P12</f>
        <v>125</v>
      </c>
      <c r="P18" s="82">
        <f>(C18+C19)  /  IF(ISNUMBER(C19),2,1)</f>
        <v>264.5</v>
      </c>
      <c r="Q18" s="94">
        <f>(A18-B18)/N18</f>
        <v>0.44593736044050475</v>
      </c>
      <c r="R18" s="93">
        <f>(Q18*(P18-O18))/100</f>
        <v>0.62208261781450414</v>
      </c>
      <c r="S18" s="92">
        <f>ROUND(SUM(R$10:R18),3)</f>
        <v>1.1259999999999999</v>
      </c>
      <c r="T18" s="91">
        <f>ROUND(S18/P18*100,2)</f>
        <v>0.43</v>
      </c>
      <c r="U18" s="98"/>
      <c r="V18" s="97"/>
      <c r="W18" s="80"/>
      <c r="X18" s="1"/>
      <c r="Y18" s="2"/>
      <c r="Z18" s="1"/>
      <c r="AA18" s="100"/>
      <c r="AO18" s="1"/>
    </row>
    <row r="19" spans="1:41" s="78" customFormat="1">
      <c r="A19" s="90">
        <v>518</v>
      </c>
      <c r="B19" s="89">
        <v>0</v>
      </c>
      <c r="C19" s="99">
        <v>287</v>
      </c>
      <c r="D19" s="87" t="str">
        <f>IF(ISNUMBER(C19),FIXED(C18,0)&amp;"-"&amp;FIXED(C19,0),"")</f>
        <v>242-287</v>
      </c>
      <c r="E19" s="96">
        <v>23.1</v>
      </c>
      <c r="F19" s="96">
        <v>23.1</v>
      </c>
      <c r="G19" s="95">
        <v>22.6</v>
      </c>
      <c r="H19" s="84">
        <f>AVERAGE(E19:G19)</f>
        <v>22.933333333333337</v>
      </c>
      <c r="I19" s="96">
        <v>7.1</v>
      </c>
      <c r="J19" s="96">
        <v>7.2</v>
      </c>
      <c r="K19" s="96">
        <v>7.1</v>
      </c>
      <c r="L19" s="95">
        <v>7.1</v>
      </c>
      <c r="M19" s="84">
        <f>AVERAGE(I19:L19)</f>
        <v>7.125</v>
      </c>
      <c r="N19" s="83">
        <f>H19*    PI()* (M19/2)^2</f>
        <v>914.38017678139431</v>
      </c>
      <c r="O19" s="82">
        <f>(C18+C19)/2</f>
        <v>264.5</v>
      </c>
      <c r="P19" s="82">
        <f>(C19+C20)  /  IF(ISNUMBER(C20),2,1)</f>
        <v>314.5</v>
      </c>
      <c r="Q19" s="94">
        <f>(A19-B19)/N19</f>
        <v>0.5665039697419435</v>
      </c>
      <c r="R19" s="93">
        <f>(Q19*(P19-O19))/100</f>
        <v>0.28325198487097175</v>
      </c>
      <c r="S19" s="92">
        <f>ROUND(SUM(R$10:R19),3)</f>
        <v>1.409</v>
      </c>
      <c r="T19" s="91">
        <f>ROUND(S19/P19*100,2)</f>
        <v>0.45</v>
      </c>
      <c r="U19" s="98"/>
      <c r="V19" s="97"/>
      <c r="W19" s="80"/>
      <c r="X19" s="1"/>
      <c r="Y19" s="2"/>
      <c r="Z19" s="1"/>
      <c r="AA19" s="100"/>
      <c r="AO19" s="1"/>
    </row>
    <row r="20" spans="1:41" s="78" customFormat="1" ht="22.5">
      <c r="A20" s="90"/>
      <c r="B20" s="89"/>
      <c r="C20" s="99">
        <v>342</v>
      </c>
      <c r="D20" s="87" t="str">
        <f>IF(ISNUMBER(C20),FIXED(C19,0)&amp;"-"&amp;FIXED(C20,0),"")</f>
        <v>287-342</v>
      </c>
      <c r="E20" s="96"/>
      <c r="F20" s="96"/>
      <c r="G20" s="95"/>
      <c r="H20" s="84"/>
      <c r="I20" s="96"/>
      <c r="J20" s="96"/>
      <c r="K20" s="96"/>
      <c r="L20" s="95"/>
      <c r="M20" s="84"/>
      <c r="N20" s="83"/>
      <c r="O20" s="82">
        <f>(C19+C20)/2</f>
        <v>314.5</v>
      </c>
      <c r="P20" s="82">
        <f>(C20+C21)  /  IF(ISNUMBER(C21),2,1)</f>
        <v>362.5</v>
      </c>
      <c r="Q20" s="94"/>
      <c r="R20" s="93"/>
      <c r="S20" s="92">
        <f>ROUND(SUM(R$10:R20),3)</f>
        <v>1.409</v>
      </c>
      <c r="T20" s="91">
        <f>ROUND(S20/P20*100,2)</f>
        <v>0.39</v>
      </c>
      <c r="U20" s="98"/>
      <c r="V20" s="97"/>
      <c r="W20" s="140" t="s">
        <v>76</v>
      </c>
      <c r="X20" s="1"/>
      <c r="Y20" s="2"/>
      <c r="Z20" s="1"/>
      <c r="AA20" s="68"/>
      <c r="AO20" s="1"/>
    </row>
    <row r="21" spans="1:41" s="78" customFormat="1">
      <c r="A21" s="90">
        <v>495</v>
      </c>
      <c r="B21" s="89">
        <v>0</v>
      </c>
      <c r="C21" s="99">
        <v>383</v>
      </c>
      <c r="D21" s="87" t="str">
        <f>IF(ISNUMBER(C21),FIXED(C20,0)&amp;"-"&amp;FIXED(C21,0),"")</f>
        <v>342-383</v>
      </c>
      <c r="E21" s="96">
        <v>22.2</v>
      </c>
      <c r="F21" s="96">
        <v>23.2</v>
      </c>
      <c r="G21" s="95">
        <v>22.4</v>
      </c>
      <c r="H21" s="84">
        <f>AVERAGE(E21:G21)</f>
        <v>22.599999999999998</v>
      </c>
      <c r="I21" s="96">
        <v>7.1</v>
      </c>
      <c r="J21" s="96">
        <v>7.2</v>
      </c>
      <c r="K21" s="96">
        <v>7.2</v>
      </c>
      <c r="L21" s="95">
        <v>7.2</v>
      </c>
      <c r="M21" s="84">
        <f>AVERAGE(I21:L21)</f>
        <v>7.1749999999999998</v>
      </c>
      <c r="N21" s="83">
        <f>H21*    PI()* (M21/2)^2</f>
        <v>913.78101615749222</v>
      </c>
      <c r="O21" s="82">
        <f>(C20+C21)/2</f>
        <v>362.5</v>
      </c>
      <c r="P21" s="82">
        <f>(C21+C22)  /  IF(ISNUMBER(C22),2,1)</f>
        <v>394</v>
      </c>
      <c r="Q21" s="94">
        <f>(A21-B21)/N21</f>
        <v>0.54170527866896023</v>
      </c>
      <c r="R21" s="93">
        <f>(Q21*(P21-O21))/100</f>
        <v>0.1706371627807225</v>
      </c>
      <c r="S21" s="92">
        <f>ROUND(SUM(R$10:R21),3)</f>
        <v>1.579</v>
      </c>
      <c r="T21" s="91">
        <f>ROUND(S21/P21*100,2)</f>
        <v>0.4</v>
      </c>
      <c r="U21" s="98"/>
      <c r="V21" s="97"/>
      <c r="W21" s="140"/>
      <c r="X21" s="1"/>
      <c r="Y21" s="2"/>
      <c r="Z21" s="1"/>
      <c r="AA21" s="68"/>
      <c r="AO21" s="1"/>
    </row>
    <row r="22" spans="1:41" s="78" customFormat="1">
      <c r="A22" s="90">
        <v>302</v>
      </c>
      <c r="B22" s="89">
        <v>0</v>
      </c>
      <c r="C22" s="88">
        <v>405</v>
      </c>
      <c r="D22" s="87" t="str">
        <f>IF(ISNUMBER(C22),FIXED(C21,0)&amp;"-"&amp;FIXED(C23,0),"")</f>
        <v>383-442</v>
      </c>
      <c r="E22" s="96">
        <v>12.8</v>
      </c>
      <c r="F22" s="96">
        <v>13.1</v>
      </c>
      <c r="G22" s="95">
        <v>12.6</v>
      </c>
      <c r="H22" s="84">
        <f>AVERAGE(E22:G22)</f>
        <v>12.833333333333334</v>
      </c>
      <c r="I22" s="96">
        <v>7.2</v>
      </c>
      <c r="J22" s="96">
        <v>7.3</v>
      </c>
      <c r="K22" s="96">
        <v>7.4</v>
      </c>
      <c r="L22" s="95">
        <v>7.4</v>
      </c>
      <c r="M22" s="84">
        <f>AVERAGE(I22:L22)</f>
        <v>7.3249999999999993</v>
      </c>
      <c r="N22" s="83">
        <f>H22*    PI()* (M22/2)^2</f>
        <v>540.80987641375827</v>
      </c>
      <c r="O22" s="82">
        <f>(C21+C22)/2</f>
        <v>394</v>
      </c>
      <c r="P22" s="82">
        <f t="shared" ref="P22:P27" si="0">(C22+C23)  /  IF(ISNUMBER(C23),2,1)</f>
        <v>423.5</v>
      </c>
      <c r="Q22" s="94">
        <f>(A22-B22)/N22</f>
        <v>0.5584217544299217</v>
      </c>
      <c r="R22" s="93">
        <f>(Q22*(P22-O22))/100</f>
        <v>0.16473441755682688</v>
      </c>
      <c r="S22" s="92">
        <f>ROUND(SUM(R$10:R22),3)</f>
        <v>1.744</v>
      </c>
      <c r="T22" s="91">
        <f t="shared" ref="T22:T27" si="1">ROUND(S22/P22*100,2)</f>
        <v>0.41</v>
      </c>
      <c r="U22" s="52"/>
      <c r="V22" s="51"/>
      <c r="W22" s="140" t="s">
        <v>77</v>
      </c>
      <c r="X22" s="1"/>
      <c r="Y22" s="2"/>
      <c r="Z22" s="1"/>
      <c r="AA22" s="68"/>
      <c r="AO22" s="1"/>
    </row>
    <row r="23" spans="1:41" s="78" customFormat="1">
      <c r="A23" s="90">
        <v>396</v>
      </c>
      <c r="B23" s="89">
        <v>0</v>
      </c>
      <c r="C23" s="88">
        <v>442</v>
      </c>
      <c r="D23" s="87" t="str">
        <f>IF(ISNUMBER(C23),FIXED(C22,0)&amp;"-"&amp;FIXED(C24,0),"")</f>
        <v>405-461</v>
      </c>
      <c r="E23" s="96">
        <v>16.2</v>
      </c>
      <c r="F23" s="96">
        <v>16.100000000000001</v>
      </c>
      <c r="G23" s="95">
        <v>16.2</v>
      </c>
      <c r="H23" s="84">
        <f>AVERAGE(E23:G23)</f>
        <v>16.166666666666668</v>
      </c>
      <c r="I23" s="96">
        <v>7.2</v>
      </c>
      <c r="J23" s="96">
        <v>7.3</v>
      </c>
      <c r="K23" s="96">
        <v>7.4</v>
      </c>
      <c r="L23" s="95">
        <v>7.4</v>
      </c>
      <c r="M23" s="84">
        <f>AVERAGE(I23:L23)</f>
        <v>7.3249999999999993</v>
      </c>
      <c r="N23" s="83">
        <f>H23*    PI()* (M23/2)^2</f>
        <v>681.27997418356563</v>
      </c>
      <c r="O23" s="82">
        <f>(C22+C23)/2</f>
        <v>423.5</v>
      </c>
      <c r="P23" s="82">
        <f t="shared" si="0"/>
        <v>451.5</v>
      </c>
      <c r="Q23" s="94">
        <f>(A23-B23)/N23</f>
        <v>0.58125882897785108</v>
      </c>
      <c r="R23" s="93">
        <f>(Q23*(P23-O23))/100</f>
        <v>0.16275247211379831</v>
      </c>
      <c r="S23" s="92">
        <f>ROUND(SUM(R$10:R23),3)</f>
        <v>1.907</v>
      </c>
      <c r="T23" s="91">
        <f t="shared" si="1"/>
        <v>0.42</v>
      </c>
      <c r="U23" s="52"/>
      <c r="V23" s="51"/>
      <c r="W23" s="140"/>
      <c r="X23" s="1"/>
      <c r="Y23" s="77" t="s">
        <v>1</v>
      </c>
      <c r="Z23" s="76"/>
      <c r="AA23" s="79" t="s">
        <v>0</v>
      </c>
      <c r="AO23" s="1"/>
    </row>
    <row r="24" spans="1:41" s="70" customFormat="1" ht="22.5">
      <c r="A24" s="65"/>
      <c r="B24" s="71"/>
      <c r="C24" s="88">
        <v>461</v>
      </c>
      <c r="D24" s="87" t="str">
        <f t="shared" ref="D24:D27" si="2">IF(ISNUMBER(C24),FIXED(C23,0)&amp;"-"&amp;FIXED(C25,0),"")</f>
        <v>442-515</v>
      </c>
      <c r="E24" s="61"/>
      <c r="F24" s="61"/>
      <c r="G24" s="60"/>
      <c r="H24" s="84"/>
      <c r="I24" s="61"/>
      <c r="J24" s="61"/>
      <c r="K24" s="61"/>
      <c r="L24" s="60"/>
      <c r="M24" s="84"/>
      <c r="N24" s="83"/>
      <c r="O24" s="82">
        <f t="shared" ref="O24:O27" si="3">(C23+C24)/2</f>
        <v>451.5</v>
      </c>
      <c r="P24" s="82">
        <f t="shared" si="0"/>
        <v>488</v>
      </c>
      <c r="Q24" s="94"/>
      <c r="R24" s="93"/>
      <c r="S24" s="92">
        <f>ROUND(SUM(R$10:R24),3)</f>
        <v>1.907</v>
      </c>
      <c r="T24" s="91">
        <f t="shared" si="1"/>
        <v>0.39</v>
      </c>
      <c r="U24" s="52"/>
      <c r="V24" s="51"/>
      <c r="W24" s="140" t="s">
        <v>78</v>
      </c>
      <c r="X24" s="1"/>
      <c r="Y24" s="77">
        <f>Z11/100</f>
        <v>6.2</v>
      </c>
      <c r="Z24" s="76"/>
      <c r="AA24" s="75">
        <f>T27</f>
        <v>0.43</v>
      </c>
      <c r="AO24" s="1"/>
    </row>
    <row r="25" spans="1:41" s="70" customFormat="1">
      <c r="A25" s="90">
        <v>518</v>
      </c>
      <c r="B25" s="89">
        <v>0</v>
      </c>
      <c r="C25" s="99">
        <v>515</v>
      </c>
      <c r="D25" s="87" t="str">
        <f t="shared" si="2"/>
        <v>461-532</v>
      </c>
      <c r="E25" s="96">
        <v>22</v>
      </c>
      <c r="F25" s="96">
        <v>21.1</v>
      </c>
      <c r="G25" s="96">
        <v>20.5</v>
      </c>
      <c r="H25" s="84">
        <f t="shared" ref="H25:H27" si="4">AVERAGE(E25:G25)</f>
        <v>21.2</v>
      </c>
      <c r="I25" s="96">
        <v>7.1</v>
      </c>
      <c r="J25" s="96">
        <v>7.2</v>
      </c>
      <c r="K25" s="96">
        <v>7.2</v>
      </c>
      <c r="L25" s="96">
        <v>7.2</v>
      </c>
      <c r="M25" s="84">
        <f t="shared" ref="M25:M27" si="5">AVERAGE(I25:L25)</f>
        <v>7.1749999999999998</v>
      </c>
      <c r="N25" s="83">
        <f t="shared" ref="N25:N27" si="6">H25*    PI()* (M25/2)^2</f>
        <v>857.17511250171833</v>
      </c>
      <c r="O25" s="82">
        <f t="shared" si="3"/>
        <v>488</v>
      </c>
      <c r="P25" s="82">
        <f t="shared" si="0"/>
        <v>523.5</v>
      </c>
      <c r="Q25" s="94">
        <f t="shared" ref="Q25:Q27" si="7">(A25-B25)/N25</f>
        <v>0.60431059236914275</v>
      </c>
      <c r="R25" s="93">
        <f t="shared" ref="R25:R27" si="8">(Q25*(P25-O25))/100</f>
        <v>0.21453026029104566</v>
      </c>
      <c r="S25" s="92">
        <f>ROUND(SUM(R$10:R25),3)</f>
        <v>2.121</v>
      </c>
      <c r="T25" s="91">
        <f t="shared" si="1"/>
        <v>0.41</v>
      </c>
      <c r="U25" s="74"/>
      <c r="V25" s="73"/>
      <c r="W25" s="72"/>
      <c r="X25" s="1"/>
      <c r="AA25" s="68"/>
      <c r="AO25" s="1"/>
    </row>
    <row r="26" spans="1:41" s="70" customFormat="1">
      <c r="A26" s="90">
        <v>350</v>
      </c>
      <c r="B26" s="89">
        <v>0</v>
      </c>
      <c r="C26" s="99">
        <v>532</v>
      </c>
      <c r="D26" s="87" t="str">
        <f t="shared" si="2"/>
        <v>515-620</v>
      </c>
      <c r="E26" s="96">
        <v>16.399999999999999</v>
      </c>
      <c r="F26" s="96">
        <v>15.5</v>
      </c>
      <c r="G26" s="96">
        <v>16</v>
      </c>
      <c r="H26" s="84">
        <f t="shared" si="4"/>
        <v>15.966666666666667</v>
      </c>
      <c r="I26" s="96">
        <v>7</v>
      </c>
      <c r="J26" s="96">
        <v>7</v>
      </c>
      <c r="K26" s="96">
        <v>7.1</v>
      </c>
      <c r="L26" s="96">
        <v>7</v>
      </c>
      <c r="M26" s="84">
        <f t="shared" si="5"/>
        <v>7.0250000000000004</v>
      </c>
      <c r="N26" s="83">
        <f t="shared" si="6"/>
        <v>618.86624745900872</v>
      </c>
      <c r="O26" s="82">
        <f t="shared" si="3"/>
        <v>523.5</v>
      </c>
      <c r="P26" s="82">
        <f t="shared" si="0"/>
        <v>576</v>
      </c>
      <c r="Q26" s="94">
        <f t="shared" si="7"/>
        <v>0.56555031307177994</v>
      </c>
      <c r="R26" s="93">
        <f t="shared" si="8"/>
        <v>0.29691391436268444</v>
      </c>
      <c r="S26" s="92">
        <f>ROUND(SUM(R$10:R26),3)</f>
        <v>2.4180000000000001</v>
      </c>
      <c r="T26" s="91">
        <f t="shared" si="1"/>
        <v>0.42</v>
      </c>
      <c r="U26" s="52"/>
      <c r="V26" s="51"/>
      <c r="W26" s="34"/>
      <c r="X26" s="1"/>
      <c r="Y26" s="2"/>
      <c r="Z26" s="1"/>
      <c r="AA26" s="68"/>
      <c r="AO26" s="1"/>
    </row>
    <row r="27" spans="1:41" s="2" customFormat="1">
      <c r="A27" s="90">
        <v>465</v>
      </c>
      <c r="B27" s="89">
        <v>0</v>
      </c>
      <c r="C27" s="99">
        <v>620</v>
      </c>
      <c r="D27" s="87" t="str">
        <f t="shared" si="2"/>
        <v>532-620</v>
      </c>
      <c r="E27" s="96">
        <v>21.5</v>
      </c>
      <c r="F27" s="96">
        <v>22.1</v>
      </c>
      <c r="G27" s="96">
        <v>21.6</v>
      </c>
      <c r="H27" s="84">
        <f t="shared" si="4"/>
        <v>21.733333333333334</v>
      </c>
      <c r="I27" s="96">
        <v>6.8</v>
      </c>
      <c r="J27" s="96">
        <v>6.9</v>
      </c>
      <c r="K27" s="96">
        <v>6.9</v>
      </c>
      <c r="L27" s="96">
        <v>6.7</v>
      </c>
      <c r="M27" s="84">
        <f t="shared" si="5"/>
        <v>6.8250000000000002</v>
      </c>
      <c r="N27" s="83">
        <f t="shared" si="6"/>
        <v>795.09959786127456</v>
      </c>
      <c r="O27" s="82">
        <f t="shared" si="3"/>
        <v>576</v>
      </c>
      <c r="P27" s="82">
        <f t="shared" si="0"/>
        <v>620</v>
      </c>
      <c r="Q27" s="94">
        <f t="shared" si="7"/>
        <v>0.58483239238303719</v>
      </c>
      <c r="R27" s="93">
        <f t="shared" si="8"/>
        <v>0.25732625264853637</v>
      </c>
      <c r="S27" s="92">
        <f>ROUND(SUM(R$10:R27),3)</f>
        <v>2.6760000000000002</v>
      </c>
      <c r="T27" s="91">
        <f t="shared" si="1"/>
        <v>0.43</v>
      </c>
      <c r="U27" s="52"/>
      <c r="V27" s="51"/>
      <c r="W27" s="50"/>
      <c r="X27" s="1"/>
      <c r="Y27" s="2">
        <f>(6.2-0.85)*0.43</f>
        <v>2.3005</v>
      </c>
      <c r="Z27" s="1"/>
      <c r="AA27" s="68"/>
      <c r="AO27" s="1"/>
    </row>
    <row r="28" spans="1:41">
      <c r="A28" s="65"/>
      <c r="B28" s="64"/>
      <c r="C28" s="63">
        <v>620</v>
      </c>
      <c r="D28" s="62"/>
      <c r="E28" s="61"/>
      <c r="F28" s="61"/>
      <c r="G28" s="60"/>
      <c r="H28" s="59"/>
      <c r="I28" s="61"/>
      <c r="J28" s="61"/>
      <c r="K28" s="61"/>
      <c r="L28" s="60"/>
      <c r="M28" s="59"/>
      <c r="N28" s="58"/>
      <c r="O28" s="57"/>
      <c r="P28" s="57"/>
      <c r="Q28" s="56"/>
      <c r="R28" s="55"/>
      <c r="S28" s="54" t="str">
        <f>IF(P28,ROUND(SUM(Q$10:Q28),2),"")</f>
        <v/>
      </c>
      <c r="T28" s="69" t="str">
        <f t="shared" ref="T28:T38" si="9">IF(ISNUMBER(S28),ROUND(S28/P28*100,2),"")</f>
        <v/>
      </c>
      <c r="U28" s="52"/>
      <c r="V28" s="51"/>
      <c r="W28" s="50"/>
      <c r="X28" s="1"/>
      <c r="Y28" s="2"/>
      <c r="AA28" s="68"/>
    </row>
    <row r="29" spans="1:41">
      <c r="A29" s="65"/>
      <c r="B29" s="64"/>
      <c r="C29" s="63"/>
      <c r="D29" s="62"/>
      <c r="E29" s="61"/>
      <c r="F29" s="61"/>
      <c r="G29" s="60"/>
      <c r="H29" s="59"/>
      <c r="I29" s="61"/>
      <c r="J29" s="61"/>
      <c r="K29" s="61"/>
      <c r="L29" s="60"/>
      <c r="M29" s="59"/>
      <c r="N29" s="58"/>
      <c r="O29" s="57"/>
      <c r="P29" s="57"/>
      <c r="Q29" s="56"/>
      <c r="R29" s="55"/>
      <c r="S29" s="54" t="str">
        <f>IF(P29,ROUND(SUM(Q$10:Q29),2),"")</f>
        <v/>
      </c>
      <c r="T29" s="69" t="str">
        <f t="shared" si="9"/>
        <v/>
      </c>
      <c r="U29" s="52"/>
      <c r="V29" s="51"/>
      <c r="W29" s="50"/>
      <c r="Y29" s="2"/>
      <c r="AA29" s="68"/>
    </row>
    <row r="30" spans="1:41">
      <c r="A30" s="65"/>
      <c r="B30" s="64"/>
      <c r="C30" s="63"/>
      <c r="D30" s="62"/>
      <c r="E30" s="61"/>
      <c r="F30" s="61"/>
      <c r="G30" s="60"/>
      <c r="H30" s="59"/>
      <c r="I30" s="61"/>
      <c r="J30" s="61"/>
      <c r="K30" s="61"/>
      <c r="L30" s="60"/>
      <c r="M30" s="59"/>
      <c r="N30" s="58"/>
      <c r="O30" s="57"/>
      <c r="P30" s="57"/>
      <c r="Q30" s="56"/>
      <c r="R30" s="55"/>
      <c r="S30" s="54" t="str">
        <f>IF(P30,ROUND(SUM(Q$10:Q30),2),"")</f>
        <v/>
      </c>
      <c r="T30" s="69" t="str">
        <f t="shared" si="9"/>
        <v/>
      </c>
      <c r="U30" s="52"/>
      <c r="V30" s="51"/>
      <c r="W30" s="50"/>
      <c r="AA30" s="68"/>
    </row>
    <row r="31" spans="1:41">
      <c r="A31" s="65"/>
      <c r="B31" s="64"/>
      <c r="C31" s="63"/>
      <c r="D31" s="62"/>
      <c r="E31" s="61"/>
      <c r="F31" s="61"/>
      <c r="G31" s="60"/>
      <c r="H31" s="59"/>
      <c r="I31" s="61"/>
      <c r="J31" s="61"/>
      <c r="K31" s="61"/>
      <c r="L31" s="60"/>
      <c r="M31" s="59"/>
      <c r="N31" s="58"/>
      <c r="O31" s="57"/>
      <c r="P31" s="57"/>
      <c r="Q31" s="56"/>
      <c r="R31" s="55"/>
      <c r="S31" s="54" t="str">
        <f>IF(P31,ROUND(SUM(Q$10:Q31),2),"")</f>
        <v/>
      </c>
      <c r="T31" s="69" t="str">
        <f t="shared" si="9"/>
        <v/>
      </c>
      <c r="U31" s="52"/>
      <c r="V31" s="51"/>
      <c r="W31" s="50"/>
      <c r="AA31" s="68"/>
    </row>
    <row r="32" spans="1:41">
      <c r="A32" s="65"/>
      <c r="B32" s="64"/>
      <c r="C32" s="63"/>
      <c r="D32" s="62"/>
      <c r="E32" s="61"/>
      <c r="F32" s="61"/>
      <c r="G32" s="60"/>
      <c r="H32" s="59"/>
      <c r="I32" s="61"/>
      <c r="J32" s="61"/>
      <c r="K32" s="61"/>
      <c r="L32" s="60"/>
      <c r="M32" s="59"/>
      <c r="N32" s="58"/>
      <c r="O32" s="57"/>
      <c r="P32" s="57"/>
      <c r="Q32" s="56"/>
      <c r="R32" s="55"/>
      <c r="S32" s="54" t="str">
        <f>IF(P32,ROUND(SUM(Q$10:Q32),2),"")</f>
        <v/>
      </c>
      <c r="T32" s="69" t="str">
        <f t="shared" si="9"/>
        <v/>
      </c>
      <c r="U32" s="52"/>
      <c r="V32" s="51"/>
      <c r="W32" s="50"/>
      <c r="AA32" s="68"/>
    </row>
    <row r="33" spans="1:27">
      <c r="A33" s="65"/>
      <c r="B33" s="64"/>
      <c r="C33" s="63"/>
      <c r="D33" s="62"/>
      <c r="E33" s="61"/>
      <c r="F33" s="61"/>
      <c r="G33" s="60"/>
      <c r="H33" s="59"/>
      <c r="I33" s="61"/>
      <c r="J33" s="61"/>
      <c r="K33" s="61"/>
      <c r="L33" s="60"/>
      <c r="M33" s="59"/>
      <c r="N33" s="58"/>
      <c r="O33" s="57"/>
      <c r="P33" s="57"/>
      <c r="Q33" s="56"/>
      <c r="R33" s="55"/>
      <c r="S33" s="54" t="str">
        <f>IF(P33,ROUND(SUM(Q$10:Q33),2),"")</f>
        <v/>
      </c>
      <c r="T33" s="69" t="str">
        <f t="shared" si="9"/>
        <v/>
      </c>
      <c r="U33" s="52"/>
      <c r="V33" s="51"/>
      <c r="W33" s="50"/>
      <c r="AA33" s="68"/>
    </row>
    <row r="34" spans="1:27">
      <c r="A34" s="65"/>
      <c r="B34" s="64"/>
      <c r="C34" s="63"/>
      <c r="D34" s="62"/>
      <c r="E34" s="61"/>
      <c r="F34" s="61"/>
      <c r="G34" s="60"/>
      <c r="H34" s="59"/>
      <c r="I34" s="61"/>
      <c r="J34" s="61"/>
      <c r="K34" s="61"/>
      <c r="L34" s="60"/>
      <c r="M34" s="59"/>
      <c r="N34" s="58"/>
      <c r="O34" s="57"/>
      <c r="P34" s="57"/>
      <c r="Q34" s="56"/>
      <c r="R34" s="55"/>
      <c r="S34" s="54" t="str">
        <f>IF(P34,ROUND(SUM(Q$10:Q34),2),"")</f>
        <v/>
      </c>
      <c r="T34" s="69" t="str">
        <f t="shared" si="9"/>
        <v/>
      </c>
      <c r="U34" s="52"/>
      <c r="V34" s="51"/>
      <c r="W34" s="50"/>
      <c r="AA34" s="68"/>
    </row>
    <row r="35" spans="1:27">
      <c r="A35" s="65"/>
      <c r="B35" s="64"/>
      <c r="C35" s="63"/>
      <c r="D35" s="62"/>
      <c r="E35" s="61"/>
      <c r="F35" s="61"/>
      <c r="G35" s="60"/>
      <c r="H35" s="59"/>
      <c r="I35" s="61"/>
      <c r="J35" s="61"/>
      <c r="K35" s="61"/>
      <c r="L35" s="60"/>
      <c r="M35" s="59"/>
      <c r="N35" s="58"/>
      <c r="O35" s="57"/>
      <c r="P35" s="57"/>
      <c r="Q35" s="56"/>
      <c r="R35" s="55"/>
      <c r="S35" s="54" t="str">
        <f>IF(P35,ROUND(SUM(Q$10:Q35),2),"")</f>
        <v/>
      </c>
      <c r="T35" s="69" t="str">
        <f t="shared" si="9"/>
        <v/>
      </c>
      <c r="U35" s="52"/>
      <c r="V35" s="51"/>
      <c r="W35" s="50"/>
      <c r="AA35" s="68"/>
    </row>
    <row r="36" spans="1:27">
      <c r="A36" s="65"/>
      <c r="B36" s="64"/>
      <c r="C36" s="63"/>
      <c r="D36" s="62"/>
      <c r="E36" s="61"/>
      <c r="F36" s="61"/>
      <c r="G36" s="60"/>
      <c r="H36" s="59"/>
      <c r="I36" s="61"/>
      <c r="J36" s="61"/>
      <c r="K36" s="61"/>
      <c r="L36" s="60"/>
      <c r="M36" s="59"/>
      <c r="N36" s="58"/>
      <c r="O36" s="57"/>
      <c r="P36" s="57"/>
      <c r="Q36" s="56"/>
      <c r="R36" s="55"/>
      <c r="S36" s="54" t="str">
        <f>IF(P36,ROUND(SUM(Q$10:Q36),2),"")</f>
        <v/>
      </c>
      <c r="T36" s="69" t="str">
        <f t="shared" si="9"/>
        <v/>
      </c>
      <c r="U36" s="52"/>
      <c r="V36" s="51"/>
      <c r="W36" s="50"/>
      <c r="AA36" s="68"/>
    </row>
    <row r="37" spans="1:27">
      <c r="A37" s="65"/>
      <c r="B37" s="64"/>
      <c r="C37" s="63"/>
      <c r="D37" s="62"/>
      <c r="E37" s="61"/>
      <c r="F37" s="61"/>
      <c r="G37" s="60"/>
      <c r="H37" s="59"/>
      <c r="I37" s="61"/>
      <c r="J37" s="61"/>
      <c r="K37" s="61"/>
      <c r="L37" s="60"/>
      <c r="M37" s="59"/>
      <c r="N37" s="58"/>
      <c r="O37" s="57"/>
      <c r="P37" s="57"/>
      <c r="Q37" s="56"/>
      <c r="R37" s="55"/>
      <c r="S37" s="54" t="str">
        <f>IF(P37,ROUND(SUM(Q$10:Q37),2),"")</f>
        <v/>
      </c>
      <c r="T37" s="69" t="str">
        <f t="shared" si="9"/>
        <v/>
      </c>
      <c r="U37" s="52"/>
      <c r="V37" s="51"/>
      <c r="W37" s="50"/>
      <c r="AA37" s="68"/>
    </row>
    <row r="38" spans="1:27">
      <c r="A38" s="65"/>
      <c r="B38" s="64"/>
      <c r="C38" s="63"/>
      <c r="D38" s="62"/>
      <c r="E38" s="61"/>
      <c r="F38" s="61"/>
      <c r="G38" s="60"/>
      <c r="H38" s="59"/>
      <c r="I38" s="61"/>
      <c r="J38" s="61"/>
      <c r="K38" s="61"/>
      <c r="L38" s="60"/>
      <c r="M38" s="59"/>
      <c r="N38" s="58"/>
      <c r="O38" s="57"/>
      <c r="P38" s="57"/>
      <c r="Q38" s="56"/>
      <c r="R38" s="55"/>
      <c r="S38" s="54" t="str">
        <f>IF(P38,ROUND(SUM(Q$10:Q38),2),"")</f>
        <v/>
      </c>
      <c r="T38" s="69" t="str">
        <f t="shared" si="9"/>
        <v/>
      </c>
      <c r="U38" s="52"/>
      <c r="V38" s="51"/>
      <c r="W38" s="50"/>
      <c r="AA38" s="68"/>
    </row>
    <row r="39" spans="1:27">
      <c r="A39" s="65"/>
      <c r="B39" s="64"/>
      <c r="C39" s="63"/>
      <c r="D39" s="62"/>
      <c r="E39" s="61"/>
      <c r="F39" s="61"/>
      <c r="G39" s="60"/>
      <c r="H39" s="59"/>
      <c r="I39" s="61"/>
      <c r="J39" s="61"/>
      <c r="K39" s="61"/>
      <c r="L39" s="60"/>
      <c r="M39" s="59"/>
      <c r="N39" s="58"/>
      <c r="O39" s="57"/>
      <c r="P39" s="57"/>
      <c r="Q39" s="56"/>
      <c r="R39" s="55"/>
      <c r="S39" s="54" t="str">
        <f>IF(C39,ROUND(SUM(Q$10:Q39),2),"")</f>
        <v/>
      </c>
      <c r="T39" s="66" t="str">
        <f t="shared" ref="T39:T53" si="10">IF(ISNUMBER(S39),ROUND(S39/C39*100,3),"")</f>
        <v/>
      </c>
      <c r="U39" s="52"/>
      <c r="V39" s="51"/>
      <c r="W39" s="50"/>
      <c r="AA39" s="68"/>
    </row>
    <row r="40" spans="1:27">
      <c r="A40" s="65"/>
      <c r="B40" s="64"/>
      <c r="C40" s="63"/>
      <c r="D40" s="62"/>
      <c r="E40" s="61"/>
      <c r="F40" s="61"/>
      <c r="G40" s="60"/>
      <c r="H40" s="59"/>
      <c r="I40" s="61"/>
      <c r="J40" s="61"/>
      <c r="K40" s="61"/>
      <c r="L40" s="60"/>
      <c r="M40" s="59"/>
      <c r="N40" s="58"/>
      <c r="O40" s="57"/>
      <c r="P40" s="57"/>
      <c r="Q40" s="56"/>
      <c r="R40" s="55"/>
      <c r="S40" s="54" t="str">
        <f>IF(C40,ROUND(SUM(Q$10:Q40),2),"")</f>
        <v/>
      </c>
      <c r="T40" s="66" t="str">
        <f t="shared" si="10"/>
        <v/>
      </c>
      <c r="U40" s="52"/>
      <c r="V40" s="51"/>
      <c r="W40" s="50"/>
      <c r="AA40" s="68"/>
    </row>
    <row r="41" spans="1:27" ht="15">
      <c r="A41" s="65"/>
      <c r="B41" s="64"/>
      <c r="C41" s="63"/>
      <c r="D41" s="62"/>
      <c r="E41" s="61"/>
      <c r="F41" s="61"/>
      <c r="G41" s="60"/>
      <c r="H41" s="59"/>
      <c r="I41" s="61"/>
      <c r="J41" s="61"/>
      <c r="K41" s="61"/>
      <c r="L41" s="60"/>
      <c r="M41" s="59"/>
      <c r="N41" s="58"/>
      <c r="O41" s="57"/>
      <c r="P41" s="57"/>
      <c r="Q41" s="56"/>
      <c r="R41" s="55"/>
      <c r="S41" s="54" t="str">
        <f>IF(C41,ROUND(SUM(Q$10:Q41),2),"")</f>
        <v/>
      </c>
      <c r="T41" s="66" t="str">
        <f t="shared" si="10"/>
        <v/>
      </c>
      <c r="U41" s="52"/>
      <c r="V41" s="51"/>
      <c r="W41" s="50"/>
      <c r="AA41"/>
    </row>
    <row r="42" spans="1:27" ht="15">
      <c r="A42" s="65"/>
      <c r="B42" s="64"/>
      <c r="C42" s="63"/>
      <c r="D42" s="62"/>
      <c r="E42" s="61"/>
      <c r="F42" s="61"/>
      <c r="G42" s="60"/>
      <c r="H42" s="59"/>
      <c r="I42" s="61"/>
      <c r="J42" s="61"/>
      <c r="K42" s="61"/>
      <c r="L42" s="60"/>
      <c r="M42" s="59"/>
      <c r="N42" s="58"/>
      <c r="O42" s="57"/>
      <c r="P42" s="57"/>
      <c r="Q42" s="56"/>
      <c r="R42" s="55"/>
      <c r="S42" s="54" t="str">
        <f>IF(C42,ROUND(SUM(Q$10:Q42),2),"")</f>
        <v/>
      </c>
      <c r="T42" s="66" t="str">
        <f t="shared" si="10"/>
        <v/>
      </c>
      <c r="U42" s="52"/>
      <c r="V42" s="51"/>
      <c r="W42" s="50"/>
      <c r="AA42"/>
    </row>
    <row r="43" spans="1:27" ht="15">
      <c r="A43" s="65"/>
      <c r="B43" s="64"/>
      <c r="C43" s="63"/>
      <c r="D43" s="62"/>
      <c r="E43" s="61"/>
      <c r="F43" s="61"/>
      <c r="G43" s="60"/>
      <c r="H43" s="59"/>
      <c r="I43" s="61"/>
      <c r="J43" s="61"/>
      <c r="K43" s="61"/>
      <c r="L43" s="60"/>
      <c r="M43" s="59"/>
      <c r="N43" s="58"/>
      <c r="O43" s="57"/>
      <c r="P43" s="57"/>
      <c r="Q43" s="56"/>
      <c r="R43" s="55"/>
      <c r="S43" s="54" t="str">
        <f>IF(C43,ROUND(SUM(Q$10:Q43),2),"")</f>
        <v/>
      </c>
      <c r="T43" s="66" t="str">
        <f t="shared" si="10"/>
        <v/>
      </c>
      <c r="U43" s="52"/>
      <c r="V43" s="51"/>
      <c r="W43" s="50"/>
      <c r="AA43"/>
    </row>
    <row r="44" spans="1:27" ht="15">
      <c r="A44" s="65"/>
      <c r="B44" s="64"/>
      <c r="C44" s="63"/>
      <c r="D44" s="62"/>
      <c r="E44" s="61"/>
      <c r="F44" s="61"/>
      <c r="G44" s="60"/>
      <c r="H44" s="59"/>
      <c r="I44" s="61"/>
      <c r="J44" s="61"/>
      <c r="K44" s="61"/>
      <c r="L44" s="60"/>
      <c r="M44" s="59"/>
      <c r="N44" s="58"/>
      <c r="O44" s="57"/>
      <c r="P44" s="57"/>
      <c r="Q44" s="56"/>
      <c r="R44" s="55"/>
      <c r="S44" s="54" t="str">
        <f>IF(C44,ROUND(SUM(Q$10:Q44),2),"")</f>
        <v/>
      </c>
      <c r="T44" s="66" t="str">
        <f t="shared" si="10"/>
        <v/>
      </c>
      <c r="U44" s="52"/>
      <c r="V44" s="51"/>
      <c r="W44" s="50"/>
      <c r="AA44"/>
    </row>
    <row r="45" spans="1:27" ht="15">
      <c r="A45" s="65"/>
      <c r="B45" s="64"/>
      <c r="C45" s="63"/>
      <c r="D45" s="62"/>
      <c r="E45" s="61"/>
      <c r="F45" s="61"/>
      <c r="G45" s="60"/>
      <c r="H45" s="59"/>
      <c r="I45" s="61"/>
      <c r="J45" s="61"/>
      <c r="K45" s="61"/>
      <c r="L45" s="60"/>
      <c r="M45" s="59"/>
      <c r="N45" s="58"/>
      <c r="O45" s="57"/>
      <c r="P45" s="57"/>
      <c r="Q45" s="56"/>
      <c r="R45" s="55"/>
      <c r="S45" s="54" t="str">
        <f>IF(C45,ROUND(SUM(Q$10:Q45),2),"")</f>
        <v/>
      </c>
      <c r="T45" s="66" t="str">
        <f t="shared" si="10"/>
        <v/>
      </c>
      <c r="U45" s="52"/>
      <c r="V45" s="51"/>
      <c r="W45" s="50"/>
      <c r="AA45"/>
    </row>
    <row r="46" spans="1:27" ht="15">
      <c r="A46" s="65"/>
      <c r="B46" s="64"/>
      <c r="C46" s="63"/>
      <c r="D46" s="62"/>
      <c r="E46" s="61"/>
      <c r="F46" s="61"/>
      <c r="G46" s="60"/>
      <c r="H46" s="59"/>
      <c r="I46" s="61"/>
      <c r="J46" s="61"/>
      <c r="K46" s="61"/>
      <c r="L46" s="60"/>
      <c r="M46" s="59"/>
      <c r="N46" s="58"/>
      <c r="O46" s="57"/>
      <c r="P46" s="57"/>
      <c r="Q46" s="56"/>
      <c r="R46" s="55"/>
      <c r="S46" s="54" t="str">
        <f>IF(C46,ROUND(SUM(Q$10:Q46),2),"")</f>
        <v/>
      </c>
      <c r="T46" s="66" t="str">
        <f t="shared" si="10"/>
        <v/>
      </c>
      <c r="U46" s="52"/>
      <c r="V46" s="51"/>
      <c r="W46" s="50"/>
      <c r="AA46"/>
    </row>
    <row r="47" spans="1:27">
      <c r="A47" s="65"/>
      <c r="B47" s="64"/>
      <c r="C47" s="63"/>
      <c r="D47" s="62"/>
      <c r="E47" s="61"/>
      <c r="F47" s="61"/>
      <c r="G47" s="60"/>
      <c r="H47" s="59"/>
      <c r="I47" s="61"/>
      <c r="J47" s="61"/>
      <c r="K47" s="61"/>
      <c r="L47" s="60"/>
      <c r="M47" s="59"/>
      <c r="N47" s="58"/>
      <c r="O47" s="57"/>
      <c r="P47" s="57"/>
      <c r="Q47" s="56"/>
      <c r="R47" s="55"/>
      <c r="S47" s="54" t="str">
        <f>IF(C47,ROUND(SUM(Q$10:Q47),2),"")</f>
        <v/>
      </c>
      <c r="T47" s="66" t="str">
        <f t="shared" si="10"/>
        <v/>
      </c>
      <c r="U47" s="52"/>
      <c r="V47" s="51"/>
      <c r="W47" s="50"/>
      <c r="AA47" s="67"/>
    </row>
    <row r="48" spans="1:27">
      <c r="A48" s="65"/>
      <c r="B48" s="64"/>
      <c r="C48" s="63"/>
      <c r="D48" s="62"/>
      <c r="E48" s="61"/>
      <c r="F48" s="61"/>
      <c r="G48" s="60"/>
      <c r="H48" s="59"/>
      <c r="I48" s="61"/>
      <c r="J48" s="61"/>
      <c r="K48" s="61"/>
      <c r="L48" s="60"/>
      <c r="M48" s="59"/>
      <c r="N48" s="58"/>
      <c r="O48" s="57"/>
      <c r="P48" s="57"/>
      <c r="Q48" s="56"/>
      <c r="R48" s="55"/>
      <c r="S48" s="54" t="str">
        <f>IF(C48,ROUND(SUM(Q$10:Q48),2),"")</f>
        <v/>
      </c>
      <c r="T48" s="66" t="str">
        <f t="shared" si="10"/>
        <v/>
      </c>
      <c r="U48" s="52"/>
      <c r="V48" s="51"/>
      <c r="W48" s="50"/>
      <c r="AA48" s="1"/>
    </row>
    <row r="49" spans="1:27">
      <c r="A49" s="65"/>
      <c r="B49" s="64"/>
      <c r="C49" s="63"/>
      <c r="D49" s="62"/>
      <c r="E49" s="61"/>
      <c r="F49" s="61"/>
      <c r="G49" s="60"/>
      <c r="H49" s="59"/>
      <c r="I49" s="61"/>
      <c r="J49" s="61"/>
      <c r="K49" s="61"/>
      <c r="L49" s="60"/>
      <c r="M49" s="59"/>
      <c r="N49" s="58"/>
      <c r="O49" s="57"/>
      <c r="P49" s="57"/>
      <c r="Q49" s="56"/>
      <c r="R49" s="55"/>
      <c r="S49" s="54" t="str">
        <f>IF(C49,ROUND(SUM(Q$10:Q49),2),"")</f>
        <v/>
      </c>
      <c r="T49" s="66" t="str">
        <f t="shared" si="10"/>
        <v/>
      </c>
      <c r="U49" s="52"/>
      <c r="V49" s="51"/>
      <c r="W49" s="50"/>
      <c r="AA49" s="1"/>
    </row>
    <row r="50" spans="1:27">
      <c r="A50" s="65"/>
      <c r="B50" s="64"/>
      <c r="C50" s="63"/>
      <c r="D50" s="62"/>
      <c r="E50" s="61"/>
      <c r="F50" s="61"/>
      <c r="G50" s="60"/>
      <c r="H50" s="59"/>
      <c r="I50" s="61"/>
      <c r="J50" s="61"/>
      <c r="K50" s="61"/>
      <c r="L50" s="60"/>
      <c r="M50" s="59"/>
      <c r="N50" s="58"/>
      <c r="O50" s="57"/>
      <c r="P50" s="57"/>
      <c r="Q50" s="56"/>
      <c r="R50" s="55"/>
      <c r="S50" s="54" t="str">
        <f>IF(C50,ROUND(SUM(Q$10:Q50),2),"")</f>
        <v/>
      </c>
      <c r="T50" s="66" t="str">
        <f t="shared" si="10"/>
        <v/>
      </c>
      <c r="U50" s="52"/>
      <c r="V50" s="51"/>
      <c r="W50" s="50"/>
      <c r="AA50" s="1"/>
    </row>
    <row r="51" spans="1:27">
      <c r="A51" s="65"/>
      <c r="B51" s="64"/>
      <c r="C51" s="63"/>
      <c r="D51" s="62"/>
      <c r="E51" s="61"/>
      <c r="F51" s="61"/>
      <c r="G51" s="60"/>
      <c r="H51" s="59"/>
      <c r="I51" s="61"/>
      <c r="J51" s="61"/>
      <c r="K51" s="61"/>
      <c r="L51" s="60"/>
      <c r="M51" s="59"/>
      <c r="N51" s="58"/>
      <c r="O51" s="57"/>
      <c r="P51" s="57"/>
      <c r="Q51" s="56"/>
      <c r="R51" s="55"/>
      <c r="S51" s="54" t="str">
        <f>IF(C51,ROUND(SUM(Q$10:Q51),2),"")</f>
        <v/>
      </c>
      <c r="T51" s="66" t="str">
        <f t="shared" si="10"/>
        <v/>
      </c>
      <c r="U51" s="52"/>
      <c r="V51" s="51"/>
      <c r="W51" s="50"/>
      <c r="AA51" s="1"/>
    </row>
    <row r="52" spans="1:27">
      <c r="A52" s="65"/>
      <c r="B52" s="64"/>
      <c r="C52" s="63"/>
      <c r="D52" s="62"/>
      <c r="E52" s="61"/>
      <c r="F52" s="61"/>
      <c r="G52" s="60"/>
      <c r="H52" s="59"/>
      <c r="I52" s="61"/>
      <c r="J52" s="61"/>
      <c r="K52" s="61"/>
      <c r="L52" s="60"/>
      <c r="M52" s="59"/>
      <c r="N52" s="58"/>
      <c r="O52" s="57"/>
      <c r="P52" s="57"/>
      <c r="Q52" s="56"/>
      <c r="R52" s="55"/>
      <c r="S52" s="54" t="str">
        <f>IF(C52,ROUND(SUM(Q$10:Q52),2),"")</f>
        <v/>
      </c>
      <c r="T52" s="66" t="str">
        <f t="shared" si="10"/>
        <v/>
      </c>
      <c r="U52" s="52"/>
      <c r="V52" s="51"/>
      <c r="W52" s="50"/>
      <c r="AA52" s="1"/>
    </row>
    <row r="53" spans="1:27">
      <c r="A53" s="65"/>
      <c r="B53" s="64"/>
      <c r="C53" s="63"/>
      <c r="D53" s="62"/>
      <c r="E53" s="61"/>
      <c r="F53" s="61"/>
      <c r="G53" s="60"/>
      <c r="H53" s="59"/>
      <c r="I53" s="61"/>
      <c r="J53" s="61"/>
      <c r="K53" s="61"/>
      <c r="L53" s="60"/>
      <c r="M53" s="59"/>
      <c r="N53" s="58"/>
      <c r="O53" s="57"/>
      <c r="P53" s="57"/>
      <c r="Q53" s="56"/>
      <c r="R53" s="55"/>
      <c r="S53" s="54" t="str">
        <f>IF(C53,ROUND(SUM(Q$10:Q53),2),"")</f>
        <v/>
      </c>
      <c r="T53" s="53" t="str">
        <f t="shared" si="10"/>
        <v/>
      </c>
      <c r="U53" s="52"/>
      <c r="V53" s="51"/>
      <c r="W53" s="50"/>
      <c r="Y53" s="13"/>
      <c r="AA53" s="1"/>
    </row>
    <row r="54" spans="1:27">
      <c r="A54" s="49"/>
      <c r="B54" s="48"/>
      <c r="C54" s="47"/>
      <c r="D54" s="46" t="str">
        <f>IF(ISNUMBER(A54),FIXED(C27,0)&amp;"-"&amp;FIXED(C54,0),"")</f>
        <v/>
      </c>
      <c r="E54" s="42"/>
      <c r="F54" s="42"/>
      <c r="G54" s="45"/>
      <c r="H54" s="44"/>
      <c r="I54" s="42"/>
      <c r="J54" s="42"/>
      <c r="K54" s="42"/>
      <c r="L54" s="45"/>
      <c r="M54" s="44"/>
      <c r="N54" s="43"/>
      <c r="O54" s="42"/>
      <c r="P54" s="41"/>
      <c r="Q54" s="40"/>
      <c r="R54" s="39"/>
      <c r="S54" s="38"/>
      <c r="T54" s="37"/>
      <c r="U54" s="36"/>
      <c r="V54" s="35"/>
      <c r="W54" s="34"/>
      <c r="Y54" s="13"/>
      <c r="AA54" s="1"/>
    </row>
    <row r="55" spans="1:27" ht="12" thickBot="1">
      <c r="A55" s="33"/>
      <c r="B55" s="32"/>
      <c r="C55" s="31"/>
      <c r="D55" s="30" t="str">
        <f>IF(ISNUMBER(A55),FIXED(C54,0)&amp;"-"&amp;FIXED(C55,0),"")</f>
        <v/>
      </c>
      <c r="E55" s="26"/>
      <c r="F55" s="26"/>
      <c r="G55" s="29"/>
      <c r="H55" s="28"/>
      <c r="I55" s="26"/>
      <c r="J55" s="26"/>
      <c r="K55" s="26"/>
      <c r="L55" s="29"/>
      <c r="M55" s="28"/>
      <c r="N55" s="27"/>
      <c r="O55" s="26"/>
      <c r="P55" s="25"/>
      <c r="Q55" s="24"/>
      <c r="R55" s="23"/>
      <c r="S55" s="22"/>
      <c r="T55" s="21"/>
      <c r="U55" s="20">
        <f>MAX(C10:C55)</f>
        <v>620</v>
      </c>
      <c r="V55" s="19"/>
      <c r="W55" s="18"/>
      <c r="Y55" s="13"/>
      <c r="AA55" s="1"/>
    </row>
    <row r="56" spans="1:27">
      <c r="A56" s="17"/>
      <c r="B56" s="17"/>
      <c r="C56" s="16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4"/>
      <c r="R56" s="11"/>
      <c r="S56" s="10"/>
      <c r="T56" s="10"/>
      <c r="U56" s="10"/>
      <c r="V56" s="10"/>
      <c r="Y56" s="13"/>
      <c r="AA56" s="1"/>
    </row>
    <row r="57" spans="1:27">
      <c r="A57" s="2"/>
      <c r="B57" s="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0"/>
      <c r="R57" s="11"/>
      <c r="S57" s="10"/>
      <c r="T57" s="10"/>
      <c r="U57" s="10"/>
      <c r="V57" s="10"/>
      <c r="AA57" s="1"/>
    </row>
    <row r="58" spans="1:27">
      <c r="A58" s="5"/>
      <c r="B58" s="5"/>
      <c r="C58" s="5"/>
      <c r="D58" s="5"/>
      <c r="E58" s="4"/>
      <c r="F58" s="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AA58" s="1"/>
    </row>
    <row r="59" spans="1:27">
      <c r="A59" s="9"/>
      <c r="B59" s="9"/>
      <c r="C59" s="5"/>
      <c r="D59" s="5"/>
      <c r="E59" s="4"/>
      <c r="F59" s="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AA59" s="1"/>
    </row>
    <row r="60" spans="1:27">
      <c r="A60" s="8"/>
      <c r="B60" s="8"/>
      <c r="C60" s="5"/>
      <c r="D60" s="5"/>
      <c r="E60" s="4"/>
      <c r="F60" s="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AA60" s="1"/>
    </row>
    <row r="61" spans="1:27">
      <c r="A61" s="5"/>
      <c r="B61" s="5"/>
      <c r="C61" s="5"/>
      <c r="D61" s="5"/>
      <c r="E61" s="4"/>
      <c r="F61" s="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AA61" s="1"/>
    </row>
    <row r="62" spans="1:27">
      <c r="A62" s="5"/>
      <c r="B62" s="5"/>
      <c r="C62" s="5"/>
      <c r="D62" s="5"/>
      <c r="E62" s="4"/>
      <c r="F62" s="3"/>
      <c r="G62" s="1"/>
      <c r="H62" s="1"/>
      <c r="I62" s="2"/>
      <c r="J62" s="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AA62" s="1"/>
    </row>
    <row r="63" spans="1:27">
      <c r="A63" s="5"/>
      <c r="B63" s="5"/>
      <c r="C63" s="5"/>
      <c r="D63" s="5"/>
      <c r="E63" s="4"/>
      <c r="F63" s="3"/>
      <c r="G63" s="1"/>
      <c r="H63" s="1"/>
      <c r="I63" s="2"/>
      <c r="J63" s="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AA63" s="1"/>
    </row>
    <row r="64" spans="1:27">
      <c r="A64" s="5"/>
      <c r="B64" s="5"/>
      <c r="C64" s="5"/>
      <c r="D64" s="5"/>
      <c r="E64" s="4"/>
      <c r="F64" s="3"/>
      <c r="G64" s="1"/>
      <c r="H64" s="1"/>
      <c r="I64" s="2"/>
      <c r="J64" s="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AA64" s="1"/>
    </row>
    <row r="65" spans="1:27">
      <c r="A65" s="5"/>
      <c r="B65" s="5"/>
      <c r="C65" s="5"/>
      <c r="D65" s="5"/>
      <c r="E65" s="4"/>
      <c r="F65" s="3"/>
      <c r="G65" s="1"/>
      <c r="H65" s="1"/>
      <c r="I65" s="2"/>
      <c r="J65" s="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AA65" s="1"/>
    </row>
    <row r="66" spans="1:27">
      <c r="A66" s="5"/>
      <c r="B66" s="5"/>
      <c r="C66" s="5"/>
      <c r="D66" s="5"/>
      <c r="E66" s="4"/>
      <c r="F66" s="3"/>
      <c r="G66" s="1"/>
      <c r="H66" s="1"/>
      <c r="I66" s="2"/>
      <c r="J66" s="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AA66" s="1"/>
    </row>
    <row r="67" spans="1:27">
      <c r="A67" s="5"/>
      <c r="B67" s="5"/>
      <c r="C67" s="5"/>
      <c r="D67" s="5"/>
      <c r="E67" s="4"/>
      <c r="F67" s="3"/>
      <c r="G67" s="1"/>
      <c r="H67" s="1"/>
      <c r="I67" s="2"/>
      <c r="J67" s="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AA67" s="1"/>
    </row>
    <row r="68" spans="1:27">
      <c r="A68" s="5"/>
      <c r="B68" s="5"/>
      <c r="C68" s="5"/>
      <c r="D68" s="5"/>
      <c r="E68" s="4"/>
      <c r="F68" s="3"/>
      <c r="G68" s="1"/>
      <c r="H68" s="1"/>
      <c r="I68" s="2"/>
      <c r="J68" s="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AA68" s="1"/>
    </row>
    <row r="69" spans="1:27">
      <c r="A69" s="5"/>
      <c r="B69" s="5"/>
      <c r="C69" s="5"/>
      <c r="D69" s="5"/>
      <c r="E69" s="4"/>
      <c r="F69" s="3"/>
      <c r="G69" s="1"/>
      <c r="H69" s="1"/>
      <c r="I69" s="2"/>
      <c r="J69" s="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AA69" s="1"/>
    </row>
    <row r="70" spans="1:27">
      <c r="A70" s="5"/>
      <c r="B70" s="5"/>
      <c r="C70" s="5"/>
      <c r="D70" s="5"/>
      <c r="E70" s="4"/>
      <c r="F70" s="3"/>
      <c r="G70" s="1"/>
      <c r="H70" s="1"/>
      <c r="I70" s="2"/>
      <c r="J70" s="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AA70" s="1"/>
    </row>
    <row r="71" spans="1:27">
      <c r="A71" s="5"/>
      <c r="B71" s="5"/>
      <c r="C71" s="5"/>
      <c r="D71" s="5"/>
      <c r="E71" s="4"/>
      <c r="F71" s="3"/>
      <c r="G71" s="1"/>
      <c r="H71" s="1"/>
      <c r="I71" s="2"/>
      <c r="J71" s="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AA71" s="1"/>
    </row>
    <row r="72" spans="1:27">
      <c r="A72" s="5"/>
      <c r="B72" s="5"/>
      <c r="C72" s="5"/>
      <c r="D72" s="5"/>
      <c r="E72" s="4"/>
      <c r="F72" s="3"/>
      <c r="G72" s="1"/>
      <c r="H72" s="1"/>
      <c r="I72" s="2"/>
      <c r="J72" s="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AA72" s="1"/>
    </row>
    <row r="73" spans="1:27">
      <c r="A73" s="5"/>
      <c r="B73" s="5"/>
      <c r="C73" s="5"/>
      <c r="D73" s="5"/>
      <c r="E73" s="4"/>
      <c r="F73" s="3"/>
      <c r="G73" s="1"/>
      <c r="H73" s="1"/>
      <c r="I73" s="2"/>
      <c r="J73" s="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AA73" s="1"/>
    </row>
    <row r="74" spans="1:27">
      <c r="A74" s="5"/>
      <c r="B74" s="5"/>
      <c r="C74" s="5"/>
      <c r="D74" s="5"/>
      <c r="E74" s="4"/>
      <c r="F74" s="3"/>
      <c r="G74" s="1"/>
      <c r="H74" s="1"/>
      <c r="I74" s="2"/>
      <c r="J74" s="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AA74" s="1"/>
    </row>
    <row r="75" spans="1:27">
      <c r="A75" s="5"/>
      <c r="B75" s="5"/>
      <c r="C75" s="5"/>
      <c r="D75" s="5"/>
      <c r="E75" s="4"/>
      <c r="F75" s="3"/>
      <c r="G75" s="1"/>
      <c r="H75" s="1"/>
      <c r="I75" s="2"/>
      <c r="J75" s="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AA75" s="1"/>
    </row>
    <row r="76" spans="1:27">
      <c r="A76" s="5"/>
      <c r="B76" s="5"/>
      <c r="C76" s="5"/>
      <c r="D76" s="5"/>
      <c r="E76" s="4"/>
      <c r="F76" s="3"/>
      <c r="G76" s="1"/>
      <c r="H76" s="1"/>
      <c r="I76" s="2"/>
      <c r="J76" s="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AA76" s="1"/>
    </row>
    <row r="77" spans="1:27">
      <c r="A77" s="5"/>
      <c r="B77" s="5"/>
      <c r="C77" s="5"/>
      <c r="D77" s="5"/>
      <c r="E77" s="4"/>
      <c r="F77" s="3"/>
      <c r="G77" s="1"/>
      <c r="H77" s="1"/>
      <c r="I77" s="2"/>
      <c r="J77" s="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AA77" s="1"/>
    </row>
    <row r="78" spans="1:27">
      <c r="A78" s="5"/>
      <c r="B78" s="5"/>
      <c r="C78" s="5"/>
      <c r="D78" s="5"/>
      <c r="E78" s="4"/>
      <c r="F78" s="3"/>
      <c r="G78" s="1"/>
      <c r="H78" s="1"/>
      <c r="I78" s="2"/>
      <c r="J78" s="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AA78" s="1"/>
    </row>
    <row r="79" spans="1:27">
      <c r="A79" s="5"/>
      <c r="B79" s="5"/>
      <c r="C79" s="5"/>
      <c r="D79" s="5"/>
      <c r="E79" s="4"/>
      <c r="F79" s="3"/>
      <c r="G79" s="1"/>
      <c r="H79" s="1"/>
      <c r="I79" s="2"/>
      <c r="J79" s="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AA79" s="1"/>
    </row>
    <row r="80" spans="1:27">
      <c r="A80" s="5"/>
      <c r="B80" s="5"/>
      <c r="C80" s="5"/>
      <c r="D80" s="5"/>
      <c r="E80" s="4"/>
      <c r="F80" s="3"/>
      <c r="G80" s="1"/>
      <c r="H80" s="1"/>
      <c r="I80" s="2"/>
      <c r="J80" s="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AA80" s="1"/>
    </row>
    <row r="81" spans="1:27">
      <c r="A81" s="5"/>
      <c r="B81" s="5"/>
      <c r="C81" s="5"/>
      <c r="D81" s="5"/>
      <c r="E81" s="4"/>
      <c r="F81" s="3"/>
      <c r="G81" s="1"/>
      <c r="H81" s="1"/>
      <c r="I81" s="2"/>
      <c r="J81" s="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AA81" s="1"/>
    </row>
    <row r="82" spans="1:27">
      <c r="A82" s="5"/>
      <c r="B82" s="5"/>
      <c r="C82" s="5"/>
      <c r="D82" s="5"/>
      <c r="E82" s="4"/>
      <c r="F82" s="3"/>
      <c r="G82" s="1"/>
      <c r="H82" s="1"/>
      <c r="I82" s="2"/>
      <c r="J82" s="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AA82" s="1"/>
    </row>
    <row r="83" spans="1:27">
      <c r="A83" s="5"/>
      <c r="B83" s="5"/>
      <c r="C83" s="5"/>
      <c r="D83" s="5"/>
      <c r="E83" s="4"/>
      <c r="F83" s="3"/>
      <c r="G83" s="1"/>
      <c r="H83" s="1"/>
      <c r="I83" s="2"/>
      <c r="J83" s="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AA83" s="1"/>
    </row>
    <row r="84" spans="1:27">
      <c r="A84" s="5"/>
      <c r="B84" s="5"/>
      <c r="C84" s="5"/>
      <c r="D84" s="5"/>
      <c r="E84" s="4"/>
      <c r="F84" s="3"/>
      <c r="G84" s="1"/>
      <c r="H84" s="1"/>
      <c r="I84" s="2"/>
      <c r="J84" s="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AA84" s="1"/>
    </row>
    <row r="85" spans="1:27">
      <c r="A85" s="5"/>
      <c r="B85" s="5"/>
      <c r="C85" s="5"/>
      <c r="D85" s="5"/>
      <c r="E85" s="4"/>
      <c r="F85" s="3"/>
      <c r="G85" s="1"/>
      <c r="H85" s="1"/>
      <c r="I85" s="2"/>
      <c r="J85" s="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AA85" s="1"/>
    </row>
    <row r="86" spans="1:27">
      <c r="A86" s="5"/>
      <c r="B86" s="5"/>
      <c r="C86" s="5"/>
      <c r="D86" s="5"/>
      <c r="E86" s="4"/>
      <c r="F86" s="3"/>
      <c r="G86" s="1"/>
      <c r="H86" s="1"/>
      <c r="I86" s="2"/>
      <c r="J86" s="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AA86" s="1"/>
    </row>
    <row r="87" spans="1:27">
      <c r="A87" s="5"/>
      <c r="B87" s="5"/>
      <c r="C87" s="5"/>
      <c r="D87" s="5"/>
      <c r="E87" s="4"/>
      <c r="F87" s="3"/>
      <c r="G87" s="1"/>
      <c r="H87" s="1"/>
      <c r="I87" s="2"/>
      <c r="J87" s="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AA87" s="1"/>
    </row>
    <row r="88" spans="1:27">
      <c r="A88" s="5"/>
      <c r="B88" s="5"/>
      <c r="C88" s="5"/>
      <c r="D88" s="5"/>
      <c r="E88" s="4"/>
      <c r="F88" s="3"/>
      <c r="G88" s="1"/>
      <c r="H88" s="1"/>
      <c r="I88" s="2"/>
      <c r="J88" s="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AA88" s="1"/>
    </row>
    <row r="89" spans="1:27">
      <c r="A89" s="5"/>
      <c r="B89" s="5"/>
      <c r="C89" s="5"/>
      <c r="D89" s="5"/>
      <c r="E89" s="4"/>
      <c r="F89" s="3"/>
      <c r="G89" s="1"/>
      <c r="H89" s="1"/>
      <c r="I89" s="2"/>
      <c r="J89" s="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AA89" s="1"/>
    </row>
    <row r="90" spans="1:27">
      <c r="A90" s="5"/>
      <c r="B90" s="5"/>
      <c r="C90" s="5"/>
      <c r="D90" s="5"/>
      <c r="E90" s="4"/>
      <c r="F90" s="3"/>
      <c r="G90" s="1"/>
      <c r="H90" s="1"/>
      <c r="I90" s="2"/>
      <c r="J90" s="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AA90" s="1"/>
    </row>
    <row r="91" spans="1:27">
      <c r="A91" s="5"/>
      <c r="B91" s="5"/>
      <c r="C91" s="5"/>
      <c r="D91" s="5"/>
      <c r="E91" s="4"/>
      <c r="F91" s="3"/>
      <c r="G91" s="1"/>
      <c r="H91" s="1"/>
      <c r="I91" s="2"/>
      <c r="J91" s="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AA91" s="1"/>
    </row>
    <row r="92" spans="1:27">
      <c r="A92" s="5"/>
      <c r="B92" s="5"/>
      <c r="C92" s="5"/>
      <c r="D92" s="5"/>
      <c r="E92" s="4"/>
      <c r="F92" s="3"/>
      <c r="G92" s="1"/>
      <c r="H92" s="1"/>
      <c r="I92" s="2"/>
      <c r="J92" s="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AA92" s="1"/>
    </row>
    <row r="93" spans="1:27">
      <c r="A93" s="5"/>
      <c r="B93" s="5"/>
      <c r="C93" s="5"/>
      <c r="D93" s="5"/>
      <c r="E93" s="4"/>
      <c r="F93" s="3"/>
      <c r="G93" s="1"/>
      <c r="H93" s="1"/>
      <c r="I93" s="2"/>
      <c r="J93" s="2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AA93" s="1"/>
    </row>
    <row r="94" spans="1:27">
      <c r="A94" s="5"/>
      <c r="B94" s="5"/>
      <c r="C94" s="5"/>
      <c r="D94" s="5"/>
      <c r="E94" s="4"/>
      <c r="F94" s="3"/>
      <c r="G94" s="1"/>
      <c r="H94" s="1"/>
      <c r="I94" s="2"/>
      <c r="J94" s="2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AA94" s="1"/>
    </row>
    <row r="95" spans="1:27">
      <c r="A95" s="5"/>
      <c r="B95" s="5"/>
      <c r="C95" s="5"/>
      <c r="D95" s="5"/>
      <c r="E95" s="4"/>
      <c r="F95" s="3"/>
      <c r="G95" s="1"/>
      <c r="H95" s="1"/>
      <c r="I95" s="2"/>
      <c r="J95" s="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AA95" s="1"/>
    </row>
    <row r="96" spans="1:27">
      <c r="A96" s="5"/>
      <c r="B96" s="5"/>
      <c r="C96" s="5"/>
      <c r="D96" s="5"/>
      <c r="E96" s="4"/>
      <c r="F96" s="3"/>
      <c r="G96" s="1"/>
      <c r="H96" s="1"/>
      <c r="I96" s="2"/>
      <c r="J96" s="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AA96" s="1"/>
    </row>
    <row r="97" spans="5:26" s="5" customFormat="1">
      <c r="E97" s="4"/>
      <c r="F97" s="3"/>
      <c r="G97" s="1"/>
      <c r="H97" s="1"/>
      <c r="I97" s="2"/>
      <c r="J97" s="2"/>
      <c r="K97" s="1"/>
      <c r="L97" s="1"/>
      <c r="M97" s="1"/>
      <c r="N97" s="1"/>
      <c r="X97" s="1"/>
      <c r="Y97" s="1"/>
      <c r="Z97" s="1"/>
    </row>
    <row r="98" spans="5:26" s="5" customFormat="1">
      <c r="E98" s="4"/>
      <c r="F98" s="3"/>
      <c r="G98" s="1"/>
      <c r="H98" s="1"/>
      <c r="I98" s="2"/>
      <c r="J98" s="2"/>
      <c r="K98" s="1"/>
      <c r="L98" s="1"/>
      <c r="M98" s="1"/>
      <c r="N98" s="1"/>
    </row>
    <row r="99" spans="5:26" s="5" customFormat="1">
      <c r="E99" s="4"/>
      <c r="F99" s="3"/>
      <c r="G99" s="1"/>
      <c r="H99" s="1"/>
      <c r="I99" s="2"/>
      <c r="J99" s="2"/>
      <c r="K99" s="1"/>
      <c r="L99" s="1"/>
      <c r="M99" s="1"/>
      <c r="N99" s="1"/>
    </row>
    <row r="100" spans="5:26" s="5" customFormat="1">
      <c r="E100" s="4"/>
      <c r="F100" s="3"/>
      <c r="G100" s="1"/>
      <c r="H100" s="1"/>
      <c r="I100" s="2"/>
      <c r="J100" s="2"/>
      <c r="K100" s="1"/>
      <c r="L100" s="1"/>
      <c r="M100" s="1"/>
      <c r="N100" s="1"/>
    </row>
    <row r="101" spans="5:26" s="5" customFormat="1">
      <c r="E101" s="4"/>
      <c r="F101" s="3"/>
      <c r="G101" s="1"/>
      <c r="H101" s="1"/>
      <c r="I101" s="2"/>
      <c r="J101" s="2"/>
      <c r="K101" s="1"/>
      <c r="L101" s="1"/>
      <c r="M101" s="1"/>
      <c r="N101" s="1"/>
    </row>
    <row r="102" spans="5:26" s="5" customFormat="1">
      <c r="E102" s="4"/>
      <c r="F102" s="3"/>
      <c r="G102" s="1"/>
      <c r="H102" s="1"/>
      <c r="I102" s="2"/>
      <c r="J102" s="2"/>
      <c r="K102" s="1"/>
      <c r="L102" s="1"/>
      <c r="M102" s="1"/>
      <c r="N102" s="1"/>
    </row>
    <row r="103" spans="5:26" s="5" customFormat="1">
      <c r="E103" s="4"/>
      <c r="F103" s="3"/>
      <c r="G103" s="1"/>
      <c r="H103" s="1"/>
      <c r="I103" s="2"/>
      <c r="J103" s="2"/>
      <c r="K103" s="1"/>
      <c r="L103" s="1"/>
      <c r="M103" s="1"/>
      <c r="N103" s="1"/>
    </row>
    <row r="104" spans="5:26" s="5" customFormat="1">
      <c r="E104" s="4"/>
      <c r="F104" s="3"/>
      <c r="G104" s="1"/>
      <c r="H104" s="1"/>
      <c r="I104" s="2"/>
      <c r="J104" s="2"/>
      <c r="K104" s="1"/>
      <c r="L104" s="1"/>
      <c r="M104" s="1"/>
      <c r="N104" s="1"/>
    </row>
    <row r="105" spans="5:26" s="5" customFormat="1">
      <c r="E105" s="4"/>
      <c r="F105" s="3"/>
      <c r="G105" s="1"/>
      <c r="H105" s="1"/>
      <c r="I105" s="2"/>
      <c r="J105" s="2"/>
      <c r="K105" s="1"/>
      <c r="L105" s="1"/>
      <c r="M105" s="1"/>
      <c r="N105" s="1"/>
    </row>
    <row r="106" spans="5:26" s="5" customFormat="1">
      <c r="E106" s="4"/>
      <c r="F106" s="3"/>
      <c r="G106" s="1"/>
      <c r="H106" s="1"/>
      <c r="I106" s="2"/>
      <c r="J106" s="2"/>
      <c r="K106" s="1"/>
      <c r="L106" s="1"/>
      <c r="M106" s="1"/>
      <c r="N106" s="1"/>
    </row>
    <row r="107" spans="5:26" s="5" customFormat="1">
      <c r="E107" s="4"/>
      <c r="F107" s="3"/>
      <c r="G107" s="1"/>
      <c r="H107" s="1"/>
      <c r="I107" s="2"/>
      <c r="J107" s="2"/>
      <c r="K107" s="1"/>
      <c r="L107" s="1"/>
      <c r="M107" s="1"/>
      <c r="N107" s="1"/>
    </row>
    <row r="108" spans="5:26" s="5" customFormat="1">
      <c r="E108" s="4"/>
      <c r="F108" s="3"/>
      <c r="G108" s="1"/>
      <c r="H108" s="1"/>
      <c r="I108" s="2"/>
      <c r="J108" s="2"/>
      <c r="K108" s="1"/>
      <c r="L108" s="1"/>
      <c r="M108" s="1"/>
      <c r="N108" s="1"/>
    </row>
    <row r="109" spans="5:26" s="5" customFormat="1">
      <c r="E109" s="4"/>
      <c r="F109" s="3"/>
      <c r="G109" s="1"/>
      <c r="H109" s="1"/>
      <c r="I109" s="2"/>
      <c r="J109" s="2"/>
      <c r="K109" s="1"/>
      <c r="L109" s="1"/>
      <c r="M109" s="1"/>
      <c r="N109" s="1"/>
    </row>
    <row r="110" spans="5:26" s="5" customFormat="1">
      <c r="E110" s="4"/>
      <c r="F110" s="3"/>
      <c r="G110" s="1"/>
      <c r="H110" s="1"/>
      <c r="I110" s="2"/>
      <c r="J110" s="2"/>
      <c r="K110" s="1"/>
      <c r="L110" s="1"/>
      <c r="M110" s="1"/>
      <c r="N110" s="1"/>
    </row>
    <row r="111" spans="5:26" s="5" customFormat="1">
      <c r="E111" s="4"/>
      <c r="F111" s="3"/>
      <c r="G111" s="1"/>
      <c r="H111" s="1"/>
      <c r="I111" s="2"/>
      <c r="J111" s="2"/>
      <c r="K111" s="1"/>
      <c r="L111" s="1"/>
      <c r="M111" s="1"/>
      <c r="N111" s="1"/>
    </row>
    <row r="112" spans="5:26" s="5" customFormat="1">
      <c r="E112" s="4"/>
      <c r="F112" s="3"/>
      <c r="G112" s="1"/>
      <c r="H112" s="1"/>
      <c r="I112" s="2"/>
      <c r="J112" s="2"/>
      <c r="K112" s="1"/>
      <c r="L112" s="1"/>
      <c r="M112" s="1"/>
      <c r="N112" s="1"/>
    </row>
    <row r="113" spans="5:14" s="5" customFormat="1">
      <c r="E113" s="4"/>
      <c r="F113" s="3"/>
      <c r="G113" s="1"/>
      <c r="H113" s="1"/>
      <c r="I113" s="2"/>
      <c r="J113" s="2"/>
      <c r="K113" s="1"/>
      <c r="L113" s="1"/>
      <c r="M113" s="1"/>
      <c r="N113" s="1"/>
    </row>
    <row r="114" spans="5:14" s="5" customFormat="1">
      <c r="E114" s="4"/>
      <c r="F114" s="3"/>
      <c r="G114" s="1"/>
      <c r="H114" s="1"/>
      <c r="I114" s="2"/>
      <c r="J114" s="2"/>
      <c r="K114" s="1"/>
      <c r="L114" s="1"/>
      <c r="M114" s="1"/>
      <c r="N114" s="1"/>
    </row>
    <row r="115" spans="5:14" s="5" customFormat="1">
      <c r="E115" s="4"/>
      <c r="F115" s="3"/>
      <c r="G115" s="1"/>
      <c r="H115" s="1"/>
      <c r="I115" s="2"/>
      <c r="J115" s="2"/>
      <c r="K115" s="1"/>
      <c r="L115" s="1"/>
      <c r="M115" s="1"/>
      <c r="N115" s="1"/>
    </row>
    <row r="116" spans="5:14" s="5" customFormat="1">
      <c r="E116" s="4"/>
      <c r="F116" s="3"/>
      <c r="G116" s="1"/>
      <c r="H116" s="1"/>
      <c r="I116" s="2"/>
      <c r="J116" s="2"/>
      <c r="K116" s="1"/>
      <c r="L116" s="1"/>
      <c r="M116" s="1"/>
      <c r="N116" s="1"/>
    </row>
    <row r="117" spans="5:14" s="5" customFormat="1">
      <c r="E117" s="4"/>
      <c r="F117" s="3"/>
      <c r="G117" s="1"/>
      <c r="H117" s="1"/>
      <c r="I117" s="2"/>
      <c r="J117" s="2"/>
      <c r="K117" s="1"/>
      <c r="L117" s="1"/>
      <c r="M117" s="1"/>
      <c r="N117" s="1"/>
    </row>
    <row r="118" spans="5:14" s="5" customFormat="1">
      <c r="E118" s="4"/>
      <c r="F118" s="3"/>
      <c r="G118" s="1"/>
      <c r="H118" s="1"/>
      <c r="I118" s="2"/>
      <c r="J118" s="2"/>
      <c r="K118" s="1"/>
      <c r="L118" s="1"/>
      <c r="M118" s="1"/>
      <c r="N118" s="1"/>
    </row>
    <row r="119" spans="5:14" s="5" customFormat="1">
      <c r="E119" s="4"/>
      <c r="F119" s="3"/>
      <c r="G119" s="1"/>
      <c r="H119" s="1"/>
      <c r="I119" s="2"/>
      <c r="J119" s="2"/>
      <c r="K119" s="1"/>
      <c r="L119" s="1"/>
      <c r="M119" s="1"/>
      <c r="N119" s="1"/>
    </row>
    <row r="120" spans="5:14" s="5" customFormat="1">
      <c r="E120" s="4"/>
      <c r="F120" s="3"/>
      <c r="G120" s="1"/>
      <c r="H120" s="1"/>
      <c r="I120" s="2"/>
      <c r="J120" s="2"/>
      <c r="K120" s="1"/>
      <c r="L120" s="1"/>
      <c r="M120" s="1"/>
      <c r="N120" s="1"/>
    </row>
    <row r="121" spans="5:14" s="5" customFormat="1">
      <c r="E121" s="4"/>
      <c r="F121" s="3"/>
      <c r="G121" s="1"/>
      <c r="H121" s="1"/>
      <c r="I121" s="2"/>
      <c r="J121" s="2"/>
      <c r="K121" s="1"/>
      <c r="L121" s="1"/>
      <c r="M121" s="1"/>
      <c r="N121" s="1"/>
    </row>
    <row r="122" spans="5:14" s="5" customFormat="1">
      <c r="E122" s="4"/>
      <c r="F122" s="3"/>
      <c r="G122" s="1"/>
      <c r="H122" s="1"/>
      <c r="I122" s="2"/>
      <c r="J122" s="2"/>
      <c r="K122" s="1"/>
      <c r="L122" s="1"/>
      <c r="M122" s="1"/>
      <c r="N122" s="1"/>
    </row>
    <row r="123" spans="5:14" s="5" customFormat="1">
      <c r="E123" s="4"/>
      <c r="F123" s="3"/>
      <c r="G123" s="1"/>
      <c r="H123" s="1"/>
      <c r="I123" s="2"/>
      <c r="J123" s="2"/>
      <c r="K123" s="1"/>
      <c r="L123" s="1"/>
      <c r="M123" s="1"/>
      <c r="N123" s="1"/>
    </row>
    <row r="124" spans="5:14" s="5" customFormat="1">
      <c r="E124" s="4"/>
      <c r="F124" s="3"/>
      <c r="G124" s="1"/>
      <c r="H124" s="1"/>
      <c r="I124" s="2"/>
      <c r="J124" s="2"/>
      <c r="K124" s="1"/>
      <c r="L124" s="1"/>
      <c r="M124" s="1"/>
      <c r="N124" s="1"/>
    </row>
    <row r="125" spans="5:14" s="5" customFormat="1">
      <c r="E125" s="4"/>
      <c r="F125" s="3"/>
      <c r="G125" s="1"/>
      <c r="H125" s="1"/>
      <c r="I125" s="2"/>
      <c r="J125" s="2"/>
      <c r="K125" s="1"/>
      <c r="L125" s="1"/>
      <c r="M125" s="1"/>
      <c r="N125" s="1"/>
    </row>
    <row r="126" spans="5:14" s="5" customFormat="1">
      <c r="E126" s="4"/>
      <c r="F126" s="3"/>
      <c r="G126" s="1"/>
      <c r="H126" s="1"/>
      <c r="I126" s="2"/>
      <c r="J126" s="2"/>
      <c r="K126" s="1"/>
      <c r="L126" s="1"/>
      <c r="M126" s="1"/>
      <c r="N126" s="1"/>
    </row>
    <row r="127" spans="5:14" s="5" customFormat="1">
      <c r="E127" s="4"/>
      <c r="F127" s="3"/>
      <c r="G127" s="1"/>
      <c r="H127" s="1"/>
      <c r="I127" s="2"/>
      <c r="J127" s="2"/>
      <c r="K127" s="1"/>
      <c r="L127" s="1"/>
      <c r="M127" s="1"/>
      <c r="N127" s="1"/>
    </row>
    <row r="128" spans="5:14" s="5" customFormat="1">
      <c r="E128" s="4"/>
      <c r="F128" s="3"/>
      <c r="G128" s="1"/>
      <c r="H128" s="1"/>
      <c r="I128" s="2"/>
      <c r="J128" s="2"/>
      <c r="K128" s="1"/>
      <c r="L128" s="1"/>
      <c r="M128" s="1"/>
      <c r="N128" s="1"/>
    </row>
    <row r="129" spans="5:14" s="5" customFormat="1">
      <c r="E129" s="4"/>
      <c r="F129" s="3"/>
      <c r="G129" s="1"/>
      <c r="H129" s="1"/>
      <c r="I129" s="2"/>
      <c r="J129" s="2"/>
      <c r="K129" s="1"/>
      <c r="L129" s="1"/>
      <c r="M129" s="1"/>
      <c r="N129" s="1"/>
    </row>
    <row r="130" spans="5:14" s="5" customFormat="1">
      <c r="E130" s="4"/>
      <c r="F130" s="3"/>
      <c r="G130" s="1"/>
      <c r="H130" s="1"/>
      <c r="I130" s="2"/>
      <c r="J130" s="2"/>
      <c r="K130" s="1"/>
      <c r="L130" s="1"/>
      <c r="M130" s="1"/>
      <c r="N130" s="1"/>
    </row>
    <row r="131" spans="5:14" s="5" customFormat="1">
      <c r="E131" s="4"/>
      <c r="F131" s="3"/>
      <c r="G131" s="1"/>
      <c r="H131" s="1"/>
      <c r="I131" s="2"/>
      <c r="J131" s="2"/>
      <c r="K131" s="1"/>
      <c r="L131" s="1"/>
      <c r="M131" s="1"/>
      <c r="N131" s="1"/>
    </row>
    <row r="132" spans="5:14" s="5" customFormat="1">
      <c r="E132" s="4"/>
      <c r="F132" s="3"/>
      <c r="G132" s="1"/>
      <c r="H132" s="1"/>
      <c r="I132" s="2"/>
      <c r="J132" s="2"/>
      <c r="K132" s="1"/>
      <c r="L132" s="1"/>
      <c r="M132" s="1"/>
      <c r="N132" s="1"/>
    </row>
    <row r="133" spans="5:14" s="5" customFormat="1">
      <c r="E133" s="4"/>
      <c r="F133" s="3"/>
      <c r="G133" s="1"/>
      <c r="H133" s="1"/>
      <c r="I133" s="2"/>
      <c r="J133" s="2"/>
      <c r="K133" s="1"/>
      <c r="L133" s="1"/>
      <c r="M133" s="1"/>
      <c r="N133" s="1"/>
    </row>
    <row r="134" spans="5:14" s="5" customFormat="1">
      <c r="E134" s="4"/>
      <c r="F134" s="3"/>
      <c r="G134" s="1"/>
      <c r="H134" s="1"/>
      <c r="I134" s="2"/>
      <c r="J134" s="2"/>
      <c r="K134" s="1"/>
      <c r="L134" s="1"/>
      <c r="M134" s="1"/>
      <c r="N134" s="1"/>
    </row>
    <row r="135" spans="5:14" s="5" customFormat="1">
      <c r="E135" s="4"/>
      <c r="F135" s="3"/>
      <c r="G135" s="1"/>
      <c r="H135" s="1"/>
      <c r="I135" s="2"/>
      <c r="J135" s="2"/>
      <c r="K135" s="1"/>
      <c r="L135" s="1"/>
      <c r="M135" s="1"/>
      <c r="N135" s="1"/>
    </row>
    <row r="136" spans="5:14" s="5" customFormat="1">
      <c r="E136" s="4"/>
      <c r="F136" s="3"/>
      <c r="G136" s="1"/>
      <c r="H136" s="1"/>
      <c r="I136" s="2"/>
      <c r="J136" s="2"/>
      <c r="K136" s="1"/>
      <c r="L136" s="1"/>
      <c r="M136" s="1"/>
      <c r="N136" s="1"/>
    </row>
    <row r="137" spans="5:14" s="5" customFormat="1">
      <c r="E137" s="4"/>
      <c r="F137" s="3"/>
      <c r="G137" s="1"/>
      <c r="H137" s="1"/>
      <c r="I137" s="2"/>
      <c r="J137" s="2"/>
      <c r="K137" s="1"/>
      <c r="L137" s="1"/>
      <c r="M137" s="1"/>
      <c r="N137" s="1"/>
    </row>
    <row r="138" spans="5:14" s="5" customFormat="1">
      <c r="E138" s="4"/>
      <c r="F138" s="3"/>
      <c r="G138" s="1"/>
      <c r="H138" s="1"/>
      <c r="I138" s="2"/>
      <c r="J138" s="2"/>
      <c r="K138" s="1"/>
      <c r="L138" s="1"/>
      <c r="M138" s="1"/>
      <c r="N138" s="1"/>
    </row>
    <row r="139" spans="5:14" s="5" customFormat="1">
      <c r="E139" s="4"/>
      <c r="F139" s="3"/>
      <c r="G139" s="1"/>
      <c r="H139" s="1"/>
      <c r="I139" s="2"/>
      <c r="J139" s="2"/>
      <c r="K139" s="1"/>
      <c r="L139" s="1"/>
      <c r="M139" s="1"/>
      <c r="N139" s="1"/>
    </row>
    <row r="140" spans="5:14" s="5" customFormat="1">
      <c r="E140" s="4"/>
      <c r="F140" s="3"/>
      <c r="G140" s="1"/>
      <c r="H140" s="1"/>
      <c r="I140" s="2"/>
      <c r="J140" s="2"/>
      <c r="K140" s="1"/>
      <c r="L140" s="1"/>
      <c r="M140" s="1"/>
      <c r="N140" s="1"/>
    </row>
    <row r="141" spans="5:14" s="5" customFormat="1">
      <c r="E141" s="4"/>
      <c r="F141" s="3"/>
      <c r="G141" s="1"/>
      <c r="H141" s="1"/>
      <c r="I141" s="2"/>
      <c r="J141" s="2"/>
      <c r="K141" s="1"/>
      <c r="L141" s="1"/>
      <c r="M141" s="1"/>
      <c r="N141" s="1"/>
    </row>
    <row r="142" spans="5:14" s="5" customFormat="1">
      <c r="E142" s="4"/>
      <c r="F142" s="3"/>
      <c r="G142" s="1"/>
      <c r="H142" s="1"/>
      <c r="I142" s="2"/>
      <c r="J142" s="2"/>
      <c r="K142" s="1"/>
      <c r="L142" s="1"/>
      <c r="M142" s="1"/>
      <c r="N142" s="1"/>
    </row>
    <row r="143" spans="5:14" s="5" customFormat="1">
      <c r="E143" s="4"/>
      <c r="F143" s="3"/>
      <c r="G143" s="1"/>
      <c r="H143" s="1"/>
      <c r="I143" s="2"/>
      <c r="J143" s="2"/>
      <c r="K143" s="1"/>
      <c r="L143" s="1"/>
      <c r="M143" s="1"/>
      <c r="N143" s="1"/>
    </row>
    <row r="144" spans="5:14" s="5" customFormat="1">
      <c r="E144" s="4"/>
      <c r="F144" s="3"/>
      <c r="G144" s="1"/>
      <c r="H144" s="1"/>
      <c r="I144" s="2"/>
      <c r="J144" s="2"/>
      <c r="K144" s="1"/>
      <c r="L144" s="1"/>
      <c r="M144" s="1"/>
      <c r="N144" s="1"/>
    </row>
    <row r="145" spans="5:26" s="5" customFormat="1">
      <c r="E145" s="4"/>
      <c r="F145" s="3"/>
      <c r="G145" s="1"/>
      <c r="H145" s="1"/>
      <c r="I145" s="2"/>
      <c r="J145" s="2"/>
      <c r="K145" s="1"/>
      <c r="L145" s="1"/>
      <c r="M145" s="1"/>
      <c r="N145" s="1"/>
    </row>
    <row r="146" spans="5:26" s="5" customFormat="1">
      <c r="E146" s="4"/>
      <c r="F146" s="3"/>
      <c r="G146" s="1"/>
      <c r="H146" s="1"/>
      <c r="I146" s="2"/>
      <c r="J146" s="2"/>
      <c r="K146" s="1"/>
      <c r="L146" s="1"/>
      <c r="M146" s="1"/>
      <c r="N146" s="1"/>
    </row>
    <row r="147" spans="5:26" s="5" customFormat="1">
      <c r="E147" s="4"/>
      <c r="F147" s="3"/>
      <c r="G147" s="1"/>
      <c r="H147" s="1"/>
      <c r="I147" s="2"/>
      <c r="J147" s="2"/>
      <c r="K147" s="1"/>
      <c r="L147" s="1"/>
      <c r="M147" s="1"/>
      <c r="N147" s="1"/>
    </row>
    <row r="148" spans="5:26" s="5" customFormat="1">
      <c r="E148" s="4"/>
      <c r="F148" s="3"/>
      <c r="G148" s="1"/>
      <c r="H148" s="1"/>
      <c r="I148" s="2"/>
      <c r="J148" s="2"/>
      <c r="K148" s="1"/>
      <c r="L148" s="1"/>
      <c r="M148" s="1"/>
      <c r="N148" s="1"/>
    </row>
    <row r="149" spans="5:26" s="5" customFormat="1">
      <c r="E149" s="4"/>
      <c r="F149" s="3"/>
      <c r="G149" s="1"/>
      <c r="H149" s="1"/>
      <c r="I149" s="2"/>
      <c r="J149" s="2"/>
      <c r="K149" s="1"/>
      <c r="L149" s="1"/>
      <c r="M149" s="1"/>
      <c r="N149" s="1"/>
    </row>
    <row r="150" spans="5:26" s="5" customFormat="1">
      <c r="E150" s="4"/>
      <c r="F150" s="3"/>
      <c r="G150" s="1"/>
      <c r="H150" s="1"/>
      <c r="I150" s="2"/>
      <c r="J150" s="2"/>
      <c r="K150" s="1"/>
      <c r="L150" s="1"/>
      <c r="M150" s="1"/>
      <c r="N150" s="1"/>
    </row>
    <row r="151" spans="5:26" s="5" customFormat="1">
      <c r="E151" s="4"/>
      <c r="F151" s="3"/>
      <c r="G151" s="1"/>
      <c r="H151" s="1"/>
      <c r="I151" s="2"/>
      <c r="J151" s="2"/>
      <c r="K151" s="1"/>
      <c r="L151" s="1"/>
      <c r="M151" s="1"/>
      <c r="N151" s="1"/>
    </row>
    <row r="152" spans="5:26" s="5" customFormat="1">
      <c r="E152" s="4"/>
      <c r="F152" s="3"/>
      <c r="G152" s="1"/>
      <c r="H152" s="1"/>
      <c r="I152" s="2"/>
      <c r="J152" s="2"/>
      <c r="K152" s="1"/>
      <c r="L152" s="1"/>
      <c r="M152" s="1"/>
      <c r="N152" s="1"/>
    </row>
    <row r="153" spans="5:26" s="5" customFormat="1">
      <c r="E153" s="4"/>
      <c r="F153" s="3"/>
      <c r="G153" s="1"/>
      <c r="H153" s="1"/>
      <c r="I153" s="2"/>
      <c r="J153" s="2"/>
      <c r="K153" s="1"/>
      <c r="L153" s="1"/>
      <c r="M153" s="1"/>
      <c r="N153" s="1"/>
    </row>
    <row r="154" spans="5:26" s="1" customFormat="1"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5"/>
      <c r="R154" s="6"/>
      <c r="S154" s="5"/>
      <c r="T154" s="5"/>
      <c r="U154" s="5"/>
      <c r="V154" s="5"/>
      <c r="W154" s="4"/>
      <c r="X154" s="5"/>
      <c r="Y154" s="5"/>
      <c r="Z154" s="5"/>
    </row>
  </sheetData>
  <dataValidations disablePrompts="1" count="1">
    <dataValidation type="list" allowBlank="1" showInputMessage="1" showErrorMessage="1" sqref="Y1">
      <formula1>$AN$2:$AN$8</formula1>
    </dataValidation>
  </dataValidations>
  <hyperlinks>
    <hyperlink ref="R1" r:id="rId1"/>
  </hyperlinks>
  <pageMargins left="0.75" right="0.75" top="1" bottom="1" header="0.5" footer="0.5"/>
  <pageSetup orientation="portrait" r:id="rId2"/>
  <headerFooter alignWithMargins="0"/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>
  <dimension ref="A1:AO154"/>
  <sheetViews>
    <sheetView topLeftCell="E1" workbookViewId="0">
      <pane ySplit="8" topLeftCell="A9" activePane="bottomLeft" state="frozenSplit"/>
      <selection pane="bottomLeft" activeCell="Y28" sqref="Y28"/>
    </sheetView>
  </sheetViews>
  <sheetFormatPr defaultColWidth="7.85546875" defaultRowHeight="11.25" outlineLevelCol="1"/>
  <cols>
    <col min="1" max="1" width="5" style="1" customWidth="1"/>
    <col min="2" max="2" width="3.42578125" style="1" customWidth="1"/>
    <col min="3" max="3" width="5.140625" style="7" customWidth="1"/>
    <col min="4" max="4" width="7.7109375" style="7" customWidth="1"/>
    <col min="5" max="7" width="5" style="7" customWidth="1" outlineLevel="1"/>
    <col min="8" max="8" width="7.5703125" style="7" bestFit="1" customWidth="1"/>
    <col min="9" max="12" width="5.140625" style="7" customWidth="1" outlineLevel="1"/>
    <col min="13" max="13" width="8.140625" style="7" bestFit="1" customWidth="1"/>
    <col min="14" max="14" width="7.7109375" style="7" customWidth="1"/>
    <col min="15" max="15" width="5.5703125" style="7" customWidth="1"/>
    <col min="16" max="16" width="8.140625" style="7" customWidth="1"/>
    <col min="17" max="17" width="6.28515625" style="5" customWidth="1"/>
    <col min="18" max="18" width="6.85546875" style="6" customWidth="1"/>
    <col min="19" max="19" width="8.7109375" style="5" customWidth="1"/>
    <col min="20" max="20" width="8.140625" style="5" customWidth="1"/>
    <col min="21" max="21" width="6.85546875" style="5" customWidth="1"/>
    <col min="22" max="22" width="5.5703125" style="5" customWidth="1"/>
    <col min="23" max="23" width="15.85546875" style="4" customWidth="1"/>
    <col min="24" max="24" width="7.140625" style="3" customWidth="1"/>
    <col min="25" max="25" width="14.5703125" style="1" customWidth="1"/>
    <col min="26" max="26" width="8.140625" style="1" customWidth="1"/>
    <col min="27" max="27" width="14" style="2" bestFit="1" customWidth="1"/>
    <col min="28" max="29" width="6.5703125" style="1" customWidth="1"/>
    <col min="30" max="30" width="5.42578125" style="1" customWidth="1"/>
    <col min="31" max="39" width="5.28515625" style="1" customWidth="1"/>
    <col min="40" max="40" width="14.7109375" style="1" customWidth="1"/>
    <col min="41" max="16384" width="7.85546875" style="1"/>
  </cols>
  <sheetData>
    <row r="1" spans="1:41" s="219" customFormat="1">
      <c r="A1" s="267"/>
      <c r="B1" s="259" t="s">
        <v>69</v>
      </c>
      <c r="C1" s="266" t="s">
        <v>70</v>
      </c>
      <c r="D1" s="265"/>
      <c r="E1" s="265"/>
      <c r="F1" s="265"/>
      <c r="G1" s="265"/>
      <c r="H1" s="265"/>
      <c r="I1" s="265"/>
      <c r="J1" s="265"/>
      <c r="K1" s="265"/>
      <c r="L1" s="265"/>
      <c r="M1" s="265"/>
      <c r="O1" s="264" t="s">
        <v>68</v>
      </c>
      <c r="P1" s="263">
        <v>40784</v>
      </c>
      <c r="Q1" s="262"/>
      <c r="R1" s="261" t="s">
        <v>67</v>
      </c>
      <c r="S1" s="260"/>
      <c r="T1" s="260"/>
      <c r="X1" s="259" t="s">
        <v>66</v>
      </c>
      <c r="Y1" s="258" t="s">
        <v>49</v>
      </c>
      <c r="Z1" s="138"/>
      <c r="AN1" s="257" t="s">
        <v>65</v>
      </c>
    </row>
    <row r="2" spans="1:41" s="219" customFormat="1">
      <c r="A2" s="209"/>
      <c r="B2" s="256" t="s">
        <v>64</v>
      </c>
      <c r="C2" s="255" t="s">
        <v>92</v>
      </c>
      <c r="D2" s="254"/>
      <c r="E2" s="254"/>
      <c r="F2" s="254"/>
      <c r="G2" s="254"/>
      <c r="H2" s="254"/>
      <c r="I2" s="254"/>
      <c r="J2" s="254"/>
      <c r="K2" s="254"/>
      <c r="L2" s="254"/>
      <c r="M2" s="254"/>
      <c r="O2" s="253" t="s">
        <v>63</v>
      </c>
      <c r="P2" s="252" t="s">
        <v>72</v>
      </c>
      <c r="Q2" s="251"/>
      <c r="R2" s="250" t="s">
        <v>62</v>
      </c>
      <c r="S2" s="249"/>
      <c r="T2" s="249"/>
      <c r="X2" s="248" t="s">
        <v>61</v>
      </c>
      <c r="Y2" s="247"/>
      <c r="Z2" s="246" t="s">
        <v>60</v>
      </c>
      <c r="AN2" s="1" t="s">
        <v>59</v>
      </c>
      <c r="AO2" s="220" t="s">
        <v>58</v>
      </c>
    </row>
    <row r="3" spans="1:41" s="234" customFormat="1" ht="11.25" customHeight="1" thickBot="1">
      <c r="A3" s="245"/>
      <c r="B3" s="237" t="s">
        <v>57</v>
      </c>
      <c r="C3" s="244" t="s">
        <v>98</v>
      </c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39"/>
      <c r="R3" s="242"/>
      <c r="S3" s="241"/>
      <c r="T3" s="240"/>
      <c r="U3" s="239"/>
      <c r="V3" s="239"/>
      <c r="X3" s="237" t="s">
        <v>56</v>
      </c>
      <c r="Y3" s="238" t="s">
        <v>55</v>
      </c>
      <c r="Z3" s="237"/>
      <c r="AA3" s="236"/>
      <c r="AN3" s="234" t="s">
        <v>54</v>
      </c>
      <c r="AO3" s="235" t="s">
        <v>53</v>
      </c>
    </row>
    <row r="4" spans="1:41" s="219" customFormat="1">
      <c r="A4" s="233" t="s">
        <v>52</v>
      </c>
      <c r="B4" s="232"/>
      <c r="C4" s="231"/>
      <c r="D4" s="230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8" t="s">
        <v>51</v>
      </c>
      <c r="R4" s="227"/>
      <c r="S4" s="226" t="s">
        <v>50</v>
      </c>
      <c r="T4" s="226"/>
      <c r="U4" s="225"/>
      <c r="V4" s="224"/>
      <c r="W4" s="223"/>
      <c r="X4" s="222"/>
      <c r="Y4" s="144"/>
      <c r="Z4" s="221"/>
      <c r="AA4" s="138"/>
      <c r="AN4" s="1" t="s">
        <v>49</v>
      </c>
      <c r="AO4" s="220" t="s">
        <v>48</v>
      </c>
    </row>
    <row r="5" spans="1:41" s="184" customFormat="1">
      <c r="A5" s="218"/>
      <c r="B5" s="217"/>
      <c r="C5" s="202"/>
      <c r="D5" s="216"/>
      <c r="E5" s="215"/>
      <c r="F5" s="215"/>
      <c r="G5" s="215"/>
      <c r="H5" s="215" t="s">
        <v>47</v>
      </c>
      <c r="I5" s="214"/>
      <c r="J5" s="214"/>
      <c r="K5" s="214"/>
      <c r="L5" s="214"/>
      <c r="M5" s="214"/>
      <c r="N5" s="213"/>
      <c r="O5" s="212"/>
      <c r="P5" s="202"/>
      <c r="Q5" s="192"/>
      <c r="R5" s="191"/>
      <c r="S5" s="8"/>
      <c r="T5" s="8"/>
      <c r="U5" s="211"/>
      <c r="V5" s="201"/>
      <c r="W5" s="189"/>
      <c r="X5" s="209"/>
      <c r="Y5" s="162"/>
      <c r="Z5" s="210"/>
      <c r="AA5" s="162"/>
      <c r="AN5" s="185" t="s">
        <v>46</v>
      </c>
    </row>
    <row r="6" spans="1:41" s="162" customFormat="1">
      <c r="A6" s="209"/>
      <c r="C6" s="208"/>
      <c r="D6" s="207" t="s">
        <v>43</v>
      </c>
      <c r="E6" s="206"/>
      <c r="F6" s="206"/>
      <c r="G6" s="205"/>
      <c r="H6" s="195" t="s">
        <v>45</v>
      </c>
      <c r="I6" s="204"/>
      <c r="J6" s="204"/>
      <c r="K6" s="204"/>
      <c r="L6" s="203"/>
      <c r="M6" s="195" t="s">
        <v>45</v>
      </c>
      <c r="N6" s="194" t="s">
        <v>23</v>
      </c>
      <c r="O6" s="202" t="s">
        <v>44</v>
      </c>
      <c r="P6" s="202"/>
      <c r="Q6" s="192"/>
      <c r="R6" s="191"/>
      <c r="S6" s="2"/>
      <c r="T6" s="2"/>
      <c r="U6" s="190" t="s">
        <v>43</v>
      </c>
      <c r="V6" s="186" t="s">
        <v>42</v>
      </c>
      <c r="W6" s="189"/>
      <c r="X6" s="188"/>
      <c r="Y6" s="187" t="s">
        <v>41</v>
      </c>
      <c r="Z6" s="201" t="s">
        <v>40</v>
      </c>
      <c r="AN6" s="163"/>
    </row>
    <row r="7" spans="1:41" s="184" customFormat="1">
      <c r="A7" s="188" t="s">
        <v>39</v>
      </c>
      <c r="B7" s="187" t="s">
        <v>38</v>
      </c>
      <c r="C7" s="193" t="s">
        <v>37</v>
      </c>
      <c r="D7" s="200" t="s">
        <v>36</v>
      </c>
      <c r="E7" s="199" t="s">
        <v>35</v>
      </c>
      <c r="F7" s="199"/>
      <c r="G7" s="198"/>
      <c r="H7" s="195" t="s">
        <v>34</v>
      </c>
      <c r="I7" s="197" t="s">
        <v>33</v>
      </c>
      <c r="J7" s="197"/>
      <c r="K7" s="197"/>
      <c r="L7" s="196"/>
      <c r="M7" s="195" t="s">
        <v>32</v>
      </c>
      <c r="N7" s="194" t="s">
        <v>31</v>
      </c>
      <c r="O7" s="193" t="s">
        <v>30</v>
      </c>
      <c r="P7" s="193" t="s">
        <v>29</v>
      </c>
      <c r="Q7" s="192" t="s">
        <v>28</v>
      </c>
      <c r="R7" s="191" t="s">
        <v>27</v>
      </c>
      <c r="S7" s="8" t="s">
        <v>27</v>
      </c>
      <c r="T7" s="8" t="s">
        <v>26</v>
      </c>
      <c r="U7" s="190" t="s">
        <v>25</v>
      </c>
      <c r="V7" s="186" t="s">
        <v>24</v>
      </c>
      <c r="W7" s="189"/>
      <c r="X7" s="188" t="s">
        <v>23</v>
      </c>
      <c r="Y7" s="187" t="s">
        <v>22</v>
      </c>
      <c r="Z7" s="186" t="s">
        <v>21</v>
      </c>
      <c r="AA7" s="162"/>
      <c r="AN7" s="185"/>
    </row>
    <row r="8" spans="1:41" s="162" customFormat="1" ht="14.25" customHeight="1" thickBot="1">
      <c r="A8" s="183" t="s">
        <v>20</v>
      </c>
      <c r="B8" s="182" t="s">
        <v>20</v>
      </c>
      <c r="C8" s="174" t="s">
        <v>11</v>
      </c>
      <c r="D8" s="181" t="s">
        <v>11</v>
      </c>
      <c r="E8" s="180" t="s">
        <v>11</v>
      </c>
      <c r="F8" s="180" t="s">
        <v>11</v>
      </c>
      <c r="G8" s="179" t="s">
        <v>11</v>
      </c>
      <c r="H8" s="176" t="s">
        <v>11</v>
      </c>
      <c r="I8" s="178" t="s">
        <v>11</v>
      </c>
      <c r="J8" s="178" t="s">
        <v>11</v>
      </c>
      <c r="K8" s="178" t="s">
        <v>11</v>
      </c>
      <c r="L8" s="177" t="s">
        <v>11</v>
      </c>
      <c r="M8" s="176" t="s">
        <v>11</v>
      </c>
      <c r="N8" s="175" t="s">
        <v>19</v>
      </c>
      <c r="O8" s="174" t="s">
        <v>11</v>
      </c>
      <c r="P8" s="174" t="s">
        <v>11</v>
      </c>
      <c r="Q8" s="173" t="s">
        <v>16</v>
      </c>
      <c r="R8" s="172" t="s">
        <v>18</v>
      </c>
      <c r="S8" s="171" t="s">
        <v>17</v>
      </c>
      <c r="T8" s="171" t="s">
        <v>16</v>
      </c>
      <c r="U8" s="170" t="s">
        <v>11</v>
      </c>
      <c r="V8" s="169" t="s">
        <v>15</v>
      </c>
      <c r="W8" s="168" t="s">
        <v>14</v>
      </c>
      <c r="X8" s="167" t="s">
        <v>13</v>
      </c>
      <c r="Y8" s="166" t="s">
        <v>12</v>
      </c>
      <c r="Z8" s="165" t="s">
        <v>11</v>
      </c>
      <c r="AA8" s="164"/>
      <c r="AN8" s="163"/>
    </row>
    <row r="9" spans="1:41" s="102" customFormat="1">
      <c r="A9" s="161"/>
      <c r="B9" s="128"/>
      <c r="C9" s="127">
        <v>0</v>
      </c>
      <c r="D9" s="160"/>
      <c r="E9" s="157"/>
      <c r="F9" s="157"/>
      <c r="G9" s="159"/>
      <c r="H9" s="160"/>
      <c r="I9" s="157"/>
      <c r="J9" s="157"/>
      <c r="K9" s="157"/>
      <c r="L9" s="159"/>
      <c r="M9" s="158"/>
      <c r="N9" s="158"/>
      <c r="O9" s="157"/>
      <c r="P9" s="157"/>
      <c r="Q9" s="156"/>
      <c r="R9" s="123"/>
      <c r="S9" s="124"/>
      <c r="T9" s="155"/>
      <c r="U9" s="121">
        <v>0</v>
      </c>
      <c r="V9" s="154">
        <v>0</v>
      </c>
      <c r="W9" s="153"/>
      <c r="X9" s="152">
        <v>1</v>
      </c>
      <c r="Y9" s="151" t="s">
        <v>95</v>
      </c>
      <c r="Z9" s="150">
        <v>616</v>
      </c>
      <c r="AA9" s="149"/>
      <c r="AO9" s="1"/>
    </row>
    <row r="10" spans="1:41" s="102" customFormat="1" ht="34.5" thickBot="1">
      <c r="A10" s="142"/>
      <c r="B10" s="135"/>
      <c r="C10" s="134"/>
      <c r="D10" s="87" t="str">
        <f>IF(ISNUMBER(A10),FIXED(C9,0)&amp;"-"&amp;FIXED((C10+C11)/2,0),"")</f>
        <v/>
      </c>
      <c r="E10" s="82"/>
      <c r="F10" s="82"/>
      <c r="G10" s="133"/>
      <c r="H10" s="87"/>
      <c r="I10" s="82"/>
      <c r="J10" s="82"/>
      <c r="K10" s="82"/>
      <c r="L10" s="133"/>
      <c r="M10" s="87"/>
      <c r="N10" s="87">
        <v>1000</v>
      </c>
      <c r="O10" s="82">
        <f>C9</f>
        <v>0</v>
      </c>
      <c r="P10" s="82">
        <f t="shared" ref="P10:P15" si="0">(C10+C11)  /  IF(ISNUMBER(C11),2,1)</f>
        <v>0</v>
      </c>
      <c r="Q10" s="124">
        <f t="shared" ref="Q10:Q15" si="1">(A10-B10)/1000</f>
        <v>0</v>
      </c>
      <c r="R10" s="93">
        <f t="shared" ref="R10:R15" si="2">(Q10*(P10-O10))/100</f>
        <v>0</v>
      </c>
      <c r="S10" s="92">
        <f>ROUND(SUM(R$10:R10),3)</f>
        <v>0</v>
      </c>
      <c r="T10" s="91" t="e">
        <f t="shared" ref="T10:T15" si="3">ROUND(S10/P10*100,2)</f>
        <v>#DIV/0!</v>
      </c>
      <c r="U10" s="121">
        <v>10</v>
      </c>
      <c r="V10" s="120"/>
      <c r="W10" s="140" t="s">
        <v>97</v>
      </c>
      <c r="X10" s="148">
        <v>2</v>
      </c>
      <c r="Y10" s="147"/>
      <c r="Z10" s="146"/>
      <c r="AA10" s="117"/>
      <c r="AO10" s="1"/>
    </row>
    <row r="11" spans="1:41" s="102" customFormat="1">
      <c r="A11" s="142"/>
      <c r="B11" s="135"/>
      <c r="C11" s="134"/>
      <c r="D11" s="87" t="str">
        <f>IF(ISNUMBER(A11),   FIXED((C10+C11)/2,0)&amp;"-"&amp;FIXED((C11+C12)  /  IF(ISNUMBER(C12),2,1),0),   "")</f>
        <v/>
      </c>
      <c r="E11" s="82"/>
      <c r="F11" s="82"/>
      <c r="G11" s="133"/>
      <c r="H11" s="87"/>
      <c r="I11" s="82"/>
      <c r="J11" s="82"/>
      <c r="K11" s="82"/>
      <c r="L11" s="133"/>
      <c r="M11" s="87"/>
      <c r="N11" s="87">
        <v>1000</v>
      </c>
      <c r="O11" s="82">
        <f>(C10+C11)/2</f>
        <v>0</v>
      </c>
      <c r="P11" s="82">
        <f t="shared" si="0"/>
        <v>0</v>
      </c>
      <c r="Q11" s="124">
        <f t="shared" si="1"/>
        <v>0</v>
      </c>
      <c r="R11" s="93">
        <f t="shared" si="2"/>
        <v>0</v>
      </c>
      <c r="S11" s="92">
        <f>ROUND(SUM(R$10:R11),3)</f>
        <v>0</v>
      </c>
      <c r="T11" s="91" t="e">
        <f t="shared" si="3"/>
        <v>#DIV/0!</v>
      </c>
      <c r="U11" s="121">
        <v>40</v>
      </c>
      <c r="V11" s="120"/>
      <c r="W11" s="140"/>
      <c r="X11" s="145" t="s">
        <v>9</v>
      </c>
      <c r="Y11" s="144"/>
      <c r="Z11" s="143">
        <f>AVERAGE(Z9:Z10)</f>
        <v>616</v>
      </c>
      <c r="AA11" s="117"/>
      <c r="AO11" s="1"/>
    </row>
    <row r="12" spans="1:41" s="102" customFormat="1">
      <c r="A12" s="142"/>
      <c r="B12" s="135"/>
      <c r="C12" s="134"/>
      <c r="D12" s="87" t="str">
        <f>IF(ISNUMBER(A12),   FIXED((C11+C12)/2,0)&amp;"-"&amp;FIXED((C12+C13)  /  IF(ISNUMBER(C13),2,1),0),   "")</f>
        <v/>
      </c>
      <c r="E12" s="82"/>
      <c r="F12" s="82"/>
      <c r="G12" s="133"/>
      <c r="H12" s="87"/>
      <c r="I12" s="82"/>
      <c r="J12" s="82"/>
      <c r="K12" s="82"/>
      <c r="L12" s="133"/>
      <c r="M12" s="87"/>
      <c r="N12" s="87">
        <v>1000</v>
      </c>
      <c r="O12" s="82">
        <f>(C11+C12)/2</f>
        <v>0</v>
      </c>
      <c r="P12" s="82">
        <f t="shared" si="0"/>
        <v>0</v>
      </c>
      <c r="Q12" s="124">
        <f t="shared" si="1"/>
        <v>0</v>
      </c>
      <c r="R12" s="93">
        <f t="shared" si="2"/>
        <v>0</v>
      </c>
      <c r="S12" s="92">
        <f>ROUND(SUM(R$10:R12),3)</f>
        <v>0</v>
      </c>
      <c r="T12" s="91" t="e">
        <f t="shared" si="3"/>
        <v>#DIV/0!</v>
      </c>
      <c r="U12" s="121">
        <v>80</v>
      </c>
      <c r="V12" s="120"/>
      <c r="W12" s="140"/>
      <c r="X12" s="138" t="s">
        <v>8</v>
      </c>
      <c r="Y12" s="2"/>
      <c r="Z12" s="137" t="e">
        <f>STDEV(Z9:Z10)</f>
        <v>#DIV/0!</v>
      </c>
      <c r="AA12" s="141"/>
      <c r="AO12" s="1"/>
    </row>
    <row r="13" spans="1:41" s="102" customFormat="1">
      <c r="A13" s="136"/>
      <c r="B13" s="135"/>
      <c r="C13" s="134"/>
      <c r="D13" s="87" t="str">
        <f>IF(ISNUMBER(A13),   FIXED((C12+C13)/2,0)&amp;"-"&amp;FIXED((C13+C14)  /  IF(ISNUMBER(C14),2,1),0),   "")</f>
        <v/>
      </c>
      <c r="E13" s="82"/>
      <c r="F13" s="82"/>
      <c r="G13" s="133"/>
      <c r="H13" s="87"/>
      <c r="I13" s="82"/>
      <c r="J13" s="82"/>
      <c r="K13" s="82"/>
      <c r="L13" s="133"/>
      <c r="M13" s="87"/>
      <c r="N13" s="87">
        <v>1000</v>
      </c>
      <c r="O13" s="82">
        <f>(C12+C13)/2</f>
        <v>0</v>
      </c>
      <c r="P13" s="82">
        <f t="shared" si="0"/>
        <v>0</v>
      </c>
      <c r="Q13" s="124">
        <f t="shared" si="1"/>
        <v>0</v>
      </c>
      <c r="R13" s="93">
        <f t="shared" si="2"/>
        <v>0</v>
      </c>
      <c r="S13" s="92">
        <f>ROUND(SUM(R$10:R13),3)</f>
        <v>0</v>
      </c>
      <c r="T13" s="91" t="e">
        <f t="shared" si="3"/>
        <v>#DIV/0!</v>
      </c>
      <c r="U13" s="121">
        <v>120</v>
      </c>
      <c r="V13" s="120"/>
      <c r="W13" s="140"/>
      <c r="X13" s="138" t="s">
        <v>7</v>
      </c>
      <c r="Y13" s="2"/>
      <c r="Z13" s="137" t="e">
        <f>Z12/SQRT(COUNT(Z9:Z10))</f>
        <v>#DIV/0!</v>
      </c>
      <c r="AA13" s="117"/>
      <c r="AO13" s="1"/>
    </row>
    <row r="14" spans="1:41" s="102" customFormat="1">
      <c r="A14" s="136"/>
      <c r="B14" s="135"/>
      <c r="C14" s="134"/>
      <c r="D14" s="87" t="str">
        <f>IF(ISNUMBER(A14),   FIXED((C13+C14)/2,0)&amp;"-"&amp;FIXED((C14+C15)  /  IF(ISNUMBER(C15),2,1),0),   "")</f>
        <v/>
      </c>
      <c r="E14" s="82"/>
      <c r="F14" s="82"/>
      <c r="G14" s="133"/>
      <c r="H14" s="87"/>
      <c r="I14" s="82"/>
      <c r="J14" s="82"/>
      <c r="K14" s="82"/>
      <c r="L14" s="133"/>
      <c r="M14" s="87"/>
      <c r="N14" s="87">
        <v>1000</v>
      </c>
      <c r="O14" s="82">
        <f>(C13+C14)/2</f>
        <v>0</v>
      </c>
      <c r="P14" s="82">
        <f t="shared" si="0"/>
        <v>0</v>
      </c>
      <c r="Q14" s="124">
        <f t="shared" si="1"/>
        <v>0</v>
      </c>
      <c r="R14" s="93">
        <f t="shared" si="2"/>
        <v>0</v>
      </c>
      <c r="S14" s="92">
        <f>ROUND(SUM(R$10:R14),3)</f>
        <v>0</v>
      </c>
      <c r="T14" s="91" t="e">
        <f t="shared" si="3"/>
        <v>#DIV/0!</v>
      </c>
      <c r="U14" s="121">
        <v>160</v>
      </c>
      <c r="V14" s="120"/>
      <c r="W14" s="139" t="s">
        <v>6</v>
      </c>
      <c r="X14" s="138" t="s">
        <v>5</v>
      </c>
      <c r="Y14" s="2"/>
      <c r="Z14" s="137">
        <f>MAX(Z9:Z10)</f>
        <v>616</v>
      </c>
      <c r="AA14" s="117"/>
      <c r="AO14" s="1"/>
    </row>
    <row r="15" spans="1:41" s="102" customFormat="1" ht="12" thickBot="1">
      <c r="A15" s="136"/>
      <c r="B15" s="135"/>
      <c r="C15" s="134"/>
      <c r="D15" s="87" t="str">
        <f>IF(ISNUMBER(A15),   FIXED((C14+C15)/2,0)&amp;"-"&amp;FIXED((C15+C16)  /  IF(ISNUMBER(C16),2,1),0),   "")</f>
        <v/>
      </c>
      <c r="E15" s="82"/>
      <c r="F15" s="82"/>
      <c r="G15" s="133"/>
      <c r="H15" s="87"/>
      <c r="I15" s="82"/>
      <c r="J15" s="82"/>
      <c r="K15" s="82"/>
      <c r="L15" s="133"/>
      <c r="M15" s="87"/>
      <c r="N15" s="87">
        <v>1000</v>
      </c>
      <c r="O15" s="82">
        <f>(C14+C15)/2</f>
        <v>0</v>
      </c>
      <c r="P15" s="82">
        <f t="shared" si="0"/>
        <v>0</v>
      </c>
      <c r="Q15" s="124">
        <f t="shared" si="1"/>
        <v>0</v>
      </c>
      <c r="R15" s="93">
        <f t="shared" si="2"/>
        <v>0</v>
      </c>
      <c r="S15" s="92">
        <f>ROUND(SUM(R$10:R15),3)</f>
        <v>0</v>
      </c>
      <c r="T15" s="91" t="e">
        <f t="shared" si="3"/>
        <v>#DIV/0!</v>
      </c>
      <c r="U15" s="121">
        <v>200</v>
      </c>
      <c r="V15" s="120"/>
      <c r="W15" s="119"/>
      <c r="X15" s="132" t="s">
        <v>4</v>
      </c>
      <c r="Y15" s="131"/>
      <c r="Z15" s="130">
        <f>MIN(Z9:Z10)</f>
        <v>616</v>
      </c>
      <c r="AA15" s="117"/>
      <c r="AO15" s="1"/>
    </row>
    <row r="16" spans="1:41" s="102" customFormat="1">
      <c r="A16" s="129"/>
      <c r="B16" s="128"/>
      <c r="C16" s="127"/>
      <c r="D16" s="87" t="str">
        <f>IF(ISNUMBER(A16),   FIXED((C15+C16)/2,0)&amp;"-"&amp;FIXED((C16+#REF!)  /  IF(ISNUMBER(#REF!),2,1),0),   "")</f>
        <v/>
      </c>
      <c r="E16" s="82"/>
      <c r="F16" s="82"/>
      <c r="G16" s="126"/>
      <c r="H16" s="125"/>
      <c r="I16" s="82"/>
      <c r="J16" s="82"/>
      <c r="K16" s="82"/>
      <c r="L16" s="126"/>
      <c r="M16" s="125"/>
      <c r="N16" s="125"/>
      <c r="O16" s="82"/>
      <c r="P16" s="82"/>
      <c r="Q16" s="124"/>
      <c r="R16" s="123"/>
      <c r="S16" s="122" t="str">
        <f>IF(A16,ROUND(SUM(Q$10:Q16),3),"")</f>
        <v/>
      </c>
      <c r="T16" s="69" t="str">
        <f>IF(ISNUMBER(S16),ROUND(S16/P16*100,2),"")</f>
        <v/>
      </c>
      <c r="U16" s="121"/>
      <c r="V16" s="120"/>
      <c r="W16" s="119"/>
      <c r="X16" s="118"/>
      <c r="Y16" s="104"/>
      <c r="Z16" s="67"/>
      <c r="AA16" s="117"/>
      <c r="AO16" s="1"/>
    </row>
    <row r="17" spans="1:41" s="102" customFormat="1" ht="33.75">
      <c r="A17" s="116" t="s">
        <v>3</v>
      </c>
      <c r="B17" s="115"/>
      <c r="C17" s="114"/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2"/>
      <c r="R17" s="111"/>
      <c r="S17" s="110"/>
      <c r="T17" s="109" t="str">
        <f>IF(ISNUMBER(S17),ROUND(S17/P17*100,2),"")</f>
        <v/>
      </c>
      <c r="U17" s="108"/>
      <c r="V17" s="107"/>
      <c r="W17" s="106" t="s">
        <v>2</v>
      </c>
      <c r="X17" s="105"/>
      <c r="Y17" s="104"/>
      <c r="Z17" s="103"/>
      <c r="AA17" s="100"/>
      <c r="AO17" s="1"/>
    </row>
    <row r="18" spans="1:41" s="78" customFormat="1">
      <c r="A18" s="101">
        <v>440</v>
      </c>
      <c r="B18" s="89">
        <v>0</v>
      </c>
      <c r="C18" s="99">
        <v>201</v>
      </c>
      <c r="D18" s="87" t="str">
        <f>IF(ISNUMBER(C18),FIXED(C17,0)&amp;"-"&amp;FIXED(C18,0),"")</f>
        <v>0-201</v>
      </c>
      <c r="E18" s="96">
        <v>21.7</v>
      </c>
      <c r="F18" s="96">
        <v>22</v>
      </c>
      <c r="G18" s="95">
        <v>21.8</v>
      </c>
      <c r="H18" s="84">
        <v>28.7</v>
      </c>
      <c r="I18" s="96">
        <v>7.2</v>
      </c>
      <c r="J18" s="96">
        <v>7.1</v>
      </c>
      <c r="K18" s="96">
        <v>7</v>
      </c>
      <c r="L18" s="95">
        <v>7</v>
      </c>
      <c r="M18" s="84">
        <f>AVERAGE(I18:L18)</f>
        <v>7.0750000000000002</v>
      </c>
      <c r="N18" s="83">
        <f>H18*    PI()* (M18/2)^2</f>
        <v>1128.300203555817</v>
      </c>
      <c r="O18" s="82">
        <f>P15</f>
        <v>0</v>
      </c>
      <c r="P18" s="82">
        <f>(C18+C19)  /  IF(ISNUMBER(C19),2,1)</f>
        <v>279</v>
      </c>
      <c r="Q18" s="94">
        <f>(A18-B18)/N18</f>
        <v>0.38996713694932272</v>
      </c>
      <c r="R18" s="93">
        <f>(Q18*(P18-O18))/100</f>
        <v>1.0880083120886104</v>
      </c>
      <c r="S18" s="92">
        <f>ROUND(SUM(R$10:R18),3)</f>
        <v>1.0880000000000001</v>
      </c>
      <c r="T18" s="91">
        <f>ROUND(S18/P18*100,2)</f>
        <v>0.39</v>
      </c>
      <c r="U18" s="98"/>
      <c r="V18" s="97"/>
      <c r="W18" s="80"/>
      <c r="X18" s="1"/>
      <c r="Y18" s="2"/>
      <c r="Z18" s="1"/>
      <c r="AA18" s="100"/>
      <c r="AO18" s="1"/>
    </row>
    <row r="19" spans="1:41" s="78" customFormat="1">
      <c r="A19" s="90">
        <v>394</v>
      </c>
      <c r="B19" s="89">
        <v>0</v>
      </c>
      <c r="C19" s="99">
        <v>357</v>
      </c>
      <c r="D19" s="87" t="str">
        <f>IF(ISNUMBER(C19),FIXED(C18,0)&amp;"-"&amp;FIXED(C19,0),"")</f>
        <v>201-357</v>
      </c>
      <c r="E19" s="96">
        <v>19.2</v>
      </c>
      <c r="F19" s="96">
        <v>20.100000000000001</v>
      </c>
      <c r="G19" s="95">
        <v>18.8</v>
      </c>
      <c r="H19" s="84">
        <f>AVERAGE(E19:G19)</f>
        <v>19.366666666666664</v>
      </c>
      <c r="I19" s="96">
        <v>6.7</v>
      </c>
      <c r="J19" s="96">
        <v>6.7</v>
      </c>
      <c r="K19" s="96">
        <v>6.8</v>
      </c>
      <c r="L19" s="95">
        <v>6.7</v>
      </c>
      <c r="M19" s="84">
        <f>AVERAGE(I19:L19)</f>
        <v>6.7249999999999996</v>
      </c>
      <c r="N19" s="83">
        <f>H19*    PI()* (M19/2)^2</f>
        <v>687.90637848814981</v>
      </c>
      <c r="O19" s="82">
        <f>(C18+C19)/2</f>
        <v>279</v>
      </c>
      <c r="P19" s="82">
        <f>(C19+C20)  /  IF(ISNUMBER(C20),2,1)</f>
        <v>368</v>
      </c>
      <c r="Q19" s="94">
        <f>(A19-B19)/N19</f>
        <v>0.57275235747328834</v>
      </c>
      <c r="R19" s="93">
        <f>(Q19*(P19-O19))/100</f>
        <v>0.50974959815122656</v>
      </c>
      <c r="S19" s="92">
        <f>ROUND(SUM(R$10:R19),3)</f>
        <v>1.5980000000000001</v>
      </c>
      <c r="T19" s="91">
        <f>ROUND(S19/P19*100,2)</f>
        <v>0.43</v>
      </c>
      <c r="U19" s="98"/>
      <c r="V19" s="97"/>
      <c r="W19" s="80"/>
      <c r="X19" s="1"/>
      <c r="Y19" s="2"/>
      <c r="Z19" s="1"/>
      <c r="AA19" s="100"/>
      <c r="AO19" s="1"/>
    </row>
    <row r="20" spans="1:41" s="78" customFormat="1">
      <c r="A20" s="90">
        <v>372</v>
      </c>
      <c r="B20" s="89">
        <v>0</v>
      </c>
      <c r="C20" s="99">
        <v>379</v>
      </c>
      <c r="D20" s="87" t="str">
        <f>IF(ISNUMBER(C20),FIXED(C19,0)&amp;"-"&amp;FIXED(C20,0),"")</f>
        <v>357-379</v>
      </c>
      <c r="E20" s="96">
        <v>17.2</v>
      </c>
      <c r="F20" s="96">
        <v>16.899999999999999</v>
      </c>
      <c r="G20" s="95">
        <v>17</v>
      </c>
      <c r="H20" s="84">
        <f>AVERAGE(E20:G20)</f>
        <v>17.033333333333331</v>
      </c>
      <c r="I20" s="96">
        <v>6.7</v>
      </c>
      <c r="J20" s="96">
        <v>6.7</v>
      </c>
      <c r="K20" s="96">
        <v>6.9</v>
      </c>
      <c r="L20" s="95">
        <v>6.8</v>
      </c>
      <c r="M20" s="84">
        <f>AVERAGE(I20:L20)</f>
        <v>6.7750000000000004</v>
      </c>
      <c r="N20" s="83">
        <f>H20*    PI()* (M20/2)^2</f>
        <v>614.0562073069749</v>
      </c>
      <c r="O20" s="82">
        <f>(C19+C20)/2</f>
        <v>368</v>
      </c>
      <c r="P20" s="82">
        <f>(C20+C21)  /  IF(ISNUMBER(C21),2,1)</f>
        <v>456.5</v>
      </c>
      <c r="Q20" s="94">
        <f>(A20-B20)/N20</f>
        <v>0.6058077348186991</v>
      </c>
      <c r="R20" s="93">
        <f>(Q20*(P20-O20))/100</f>
        <v>0.53613984531454872</v>
      </c>
      <c r="S20" s="92">
        <f>ROUND(SUM(R$10:R20),3)</f>
        <v>2.1339999999999999</v>
      </c>
      <c r="T20" s="91">
        <f>ROUND(S20/P20*100,2)</f>
        <v>0.47</v>
      </c>
      <c r="U20" s="98"/>
      <c r="V20" s="97"/>
      <c r="W20" s="80"/>
      <c r="X20" s="1"/>
      <c r="Y20" s="2"/>
      <c r="Z20" s="1"/>
      <c r="AA20" s="68"/>
      <c r="AO20" s="1"/>
    </row>
    <row r="21" spans="1:41" s="78" customFormat="1">
      <c r="A21" s="90"/>
      <c r="B21" s="89"/>
      <c r="C21" s="99">
        <v>534</v>
      </c>
      <c r="D21" s="87" t="str">
        <f>IF(ISNUMBER(C21),FIXED(C20,0)&amp;"-"&amp;FIXED(C21,0),"")</f>
        <v>379-534</v>
      </c>
      <c r="E21" s="96"/>
      <c r="F21" s="96"/>
      <c r="G21" s="95"/>
      <c r="H21" s="84"/>
      <c r="I21" s="96"/>
      <c r="J21" s="96"/>
      <c r="K21" s="96"/>
      <c r="L21" s="95"/>
      <c r="M21" s="84"/>
      <c r="N21" s="83"/>
      <c r="O21" s="82">
        <f>(C20+C21)/2</f>
        <v>456.5</v>
      </c>
      <c r="P21" s="82">
        <f>(C21+C22)  /  IF(ISNUMBER(C22),2,1)</f>
        <v>575</v>
      </c>
      <c r="Q21" s="94"/>
      <c r="R21" s="93"/>
      <c r="S21" s="92"/>
      <c r="T21" s="91"/>
      <c r="U21" s="98"/>
      <c r="V21" s="97"/>
      <c r="W21" s="80" t="s">
        <v>93</v>
      </c>
      <c r="X21" s="1"/>
      <c r="Y21" s="2"/>
      <c r="Z21" s="1"/>
      <c r="AA21" s="68"/>
      <c r="AO21" s="1"/>
    </row>
    <row r="22" spans="1:41" s="78" customFormat="1">
      <c r="A22" s="90"/>
      <c r="B22" s="89"/>
      <c r="C22" s="88">
        <v>616</v>
      </c>
      <c r="D22" s="87" t="str">
        <f>IF(ISNUMBER(C22),FIXED(C21,0)&amp;"-"&amp;FIXED(C23,0),"")</f>
        <v>534-616</v>
      </c>
      <c r="E22" s="96"/>
      <c r="F22" s="96"/>
      <c r="G22" s="95"/>
      <c r="H22" s="84"/>
      <c r="I22" s="96"/>
      <c r="J22" s="96"/>
      <c r="K22" s="96"/>
      <c r="L22" s="95"/>
      <c r="M22" s="84"/>
      <c r="N22" s="83"/>
      <c r="O22" s="82">
        <f>(C21+C22)/2</f>
        <v>575</v>
      </c>
      <c r="P22" s="82">
        <f>(C22+C23)  /  IF(ISNUMBER(C23),2,1)</f>
        <v>616</v>
      </c>
      <c r="Q22" s="94"/>
      <c r="R22" s="93"/>
      <c r="S22" s="92"/>
      <c r="T22" s="91"/>
      <c r="U22" s="52"/>
      <c r="V22" s="51"/>
      <c r="W22" s="80" t="s">
        <v>94</v>
      </c>
      <c r="X22" s="1"/>
      <c r="Y22" s="2"/>
      <c r="Z22" s="1"/>
      <c r="AA22" s="68"/>
      <c r="AO22" s="1"/>
    </row>
    <row r="23" spans="1:41" s="78" customFormat="1">
      <c r="A23" s="90"/>
      <c r="B23" s="89"/>
      <c r="C23" s="88">
        <v>616</v>
      </c>
      <c r="D23" s="87"/>
      <c r="E23" s="86"/>
      <c r="F23" s="86"/>
      <c r="G23" s="85"/>
      <c r="H23" s="84"/>
      <c r="I23" s="86"/>
      <c r="J23" s="86"/>
      <c r="K23" s="86"/>
      <c r="L23" s="85"/>
      <c r="M23" s="84"/>
      <c r="N23" s="83"/>
      <c r="O23" s="82"/>
      <c r="P23" s="82"/>
      <c r="Q23" s="38"/>
      <c r="R23" s="39"/>
      <c r="S23" s="81" t="str">
        <f>IF(P23,ROUND(SUM(Q$10:Q23),2),"")</f>
        <v/>
      </c>
      <c r="T23" s="69" t="str">
        <f t="shared" ref="T23:T38" si="4">IF(ISNUMBER(S23),ROUND(S23/P23*100,2),"")</f>
        <v/>
      </c>
      <c r="U23" s="52"/>
      <c r="V23" s="51"/>
      <c r="W23" s="80" t="s">
        <v>96</v>
      </c>
      <c r="X23" s="1"/>
      <c r="Y23" s="77" t="s">
        <v>1</v>
      </c>
      <c r="Z23" s="76"/>
      <c r="AA23" s="79" t="s">
        <v>0</v>
      </c>
      <c r="AO23" s="1"/>
    </row>
    <row r="24" spans="1:41" s="70" customFormat="1">
      <c r="A24" s="65"/>
      <c r="B24" s="71"/>
      <c r="C24" s="63"/>
      <c r="D24" s="62"/>
      <c r="E24" s="61"/>
      <c r="F24" s="61"/>
      <c r="G24" s="60"/>
      <c r="H24" s="59"/>
      <c r="I24" s="61"/>
      <c r="J24" s="61"/>
      <c r="K24" s="61"/>
      <c r="L24" s="60"/>
      <c r="M24" s="59"/>
      <c r="N24" s="58"/>
      <c r="O24" s="57"/>
      <c r="P24" s="57"/>
      <c r="Q24" s="56"/>
      <c r="R24" s="55"/>
      <c r="S24" s="54" t="str">
        <f>IF(P24,ROUND(SUM(Q$10:Q24),2),"")</f>
        <v/>
      </c>
      <c r="T24" s="69" t="str">
        <f t="shared" si="4"/>
        <v/>
      </c>
      <c r="U24" s="52"/>
      <c r="V24" s="51"/>
      <c r="W24" s="72"/>
      <c r="X24" s="1"/>
      <c r="Y24" s="77">
        <f>Z11/100</f>
        <v>6.16</v>
      </c>
      <c r="Z24" s="76"/>
      <c r="AA24" s="75">
        <f>T20</f>
        <v>0.47</v>
      </c>
      <c r="AO24" s="1"/>
    </row>
    <row r="25" spans="1:41" s="70" customFormat="1">
      <c r="A25" s="65"/>
      <c r="B25" s="71"/>
      <c r="C25" s="63"/>
      <c r="D25" s="62"/>
      <c r="E25" s="61"/>
      <c r="F25" s="61"/>
      <c r="G25" s="60"/>
      <c r="H25" s="59"/>
      <c r="I25" s="61"/>
      <c r="J25" s="61"/>
      <c r="K25" s="61"/>
      <c r="L25" s="60"/>
      <c r="M25" s="59"/>
      <c r="N25" s="58"/>
      <c r="O25" s="57"/>
      <c r="P25" s="57"/>
      <c r="Q25" s="56"/>
      <c r="R25" s="55"/>
      <c r="S25" s="54" t="str">
        <f>IF(P25,ROUND(SUM(Q$10:Q25),2),"")</f>
        <v/>
      </c>
      <c r="T25" s="69" t="str">
        <f t="shared" si="4"/>
        <v/>
      </c>
      <c r="U25" s="74"/>
      <c r="V25" s="73"/>
      <c r="W25" s="72"/>
      <c r="X25" s="1"/>
      <c r="AA25" s="68"/>
      <c r="AO25" s="1"/>
    </row>
    <row r="26" spans="1:41" s="70" customFormat="1">
      <c r="A26" s="65"/>
      <c r="B26" s="71"/>
      <c r="C26" s="63"/>
      <c r="D26" s="62"/>
      <c r="E26" s="61"/>
      <c r="F26" s="61"/>
      <c r="G26" s="60"/>
      <c r="H26" s="59"/>
      <c r="I26" s="61"/>
      <c r="J26" s="61"/>
      <c r="K26" s="61"/>
      <c r="L26" s="60"/>
      <c r="M26" s="59"/>
      <c r="N26" s="58"/>
      <c r="O26" s="57"/>
      <c r="P26" s="57"/>
      <c r="Q26" s="56"/>
      <c r="R26" s="55"/>
      <c r="S26" s="54" t="str">
        <f>IF(P26,ROUND(SUM(Q$10:Q26),2),"")</f>
        <v/>
      </c>
      <c r="T26" s="69" t="str">
        <f t="shared" si="4"/>
        <v/>
      </c>
      <c r="U26" s="52"/>
      <c r="V26" s="51"/>
      <c r="W26" s="34"/>
      <c r="X26" s="1"/>
      <c r="Y26" s="2"/>
      <c r="Z26" s="1"/>
      <c r="AA26" s="68"/>
      <c r="AO26" s="1"/>
    </row>
    <row r="27" spans="1:41" s="2" customFormat="1">
      <c r="A27" s="65"/>
      <c r="B27" s="64"/>
      <c r="C27" s="63"/>
      <c r="D27" s="62"/>
      <c r="E27" s="61"/>
      <c r="F27" s="61"/>
      <c r="G27" s="60"/>
      <c r="H27" s="59"/>
      <c r="I27" s="61"/>
      <c r="J27" s="61"/>
      <c r="K27" s="61"/>
      <c r="L27" s="60"/>
      <c r="M27" s="59"/>
      <c r="N27" s="58"/>
      <c r="O27" s="57"/>
      <c r="P27" s="57"/>
      <c r="Q27" s="56"/>
      <c r="R27" s="55"/>
      <c r="S27" s="54" t="str">
        <f>IF(P27,ROUND(SUM(Q$10:Q27),2),"")</f>
        <v/>
      </c>
      <c r="T27" s="69" t="str">
        <f t="shared" si="4"/>
        <v/>
      </c>
      <c r="U27" s="52"/>
      <c r="V27" s="51"/>
      <c r="W27" s="50"/>
      <c r="X27" s="1"/>
      <c r="Y27" s="2">
        <f>(6.16-0.2)*0.47</f>
        <v>2.8011999999999997</v>
      </c>
      <c r="Z27" s="1"/>
      <c r="AA27" s="68"/>
      <c r="AO27" s="1"/>
    </row>
    <row r="28" spans="1:41">
      <c r="A28" s="65"/>
      <c r="B28" s="64"/>
      <c r="C28" s="63"/>
      <c r="D28" s="62"/>
      <c r="E28" s="61"/>
      <c r="F28" s="61"/>
      <c r="G28" s="60"/>
      <c r="H28" s="59"/>
      <c r="I28" s="61"/>
      <c r="J28" s="61"/>
      <c r="K28" s="61"/>
      <c r="L28" s="60"/>
      <c r="M28" s="59"/>
      <c r="N28" s="58"/>
      <c r="O28" s="57"/>
      <c r="P28" s="57"/>
      <c r="Q28" s="56"/>
      <c r="R28" s="55"/>
      <c r="S28" s="54" t="str">
        <f>IF(P28,ROUND(SUM(Q$10:Q28),2),"")</f>
        <v/>
      </c>
      <c r="T28" s="69" t="str">
        <f t="shared" si="4"/>
        <v/>
      </c>
      <c r="U28" s="52"/>
      <c r="V28" s="51"/>
      <c r="W28" s="50"/>
      <c r="X28" s="1"/>
      <c r="Y28" s="2"/>
      <c r="AA28" s="68"/>
    </row>
    <row r="29" spans="1:41">
      <c r="A29" s="65"/>
      <c r="B29" s="64"/>
      <c r="C29" s="63"/>
      <c r="D29" s="62"/>
      <c r="E29" s="61"/>
      <c r="F29" s="61"/>
      <c r="G29" s="60"/>
      <c r="H29" s="59"/>
      <c r="I29" s="61"/>
      <c r="J29" s="61"/>
      <c r="K29" s="61"/>
      <c r="L29" s="60"/>
      <c r="M29" s="59"/>
      <c r="N29" s="58"/>
      <c r="O29" s="57"/>
      <c r="P29" s="57"/>
      <c r="Q29" s="56"/>
      <c r="R29" s="55"/>
      <c r="S29" s="54" t="str">
        <f>IF(P29,ROUND(SUM(Q$10:Q29),2),"")</f>
        <v/>
      </c>
      <c r="T29" s="69" t="str">
        <f t="shared" si="4"/>
        <v/>
      </c>
      <c r="U29" s="52"/>
      <c r="V29" s="51"/>
      <c r="W29" s="50"/>
      <c r="Y29" s="2"/>
      <c r="AA29" s="68"/>
    </row>
    <row r="30" spans="1:41">
      <c r="A30" s="65"/>
      <c r="B30" s="64"/>
      <c r="C30" s="63"/>
      <c r="D30" s="62"/>
      <c r="E30" s="61"/>
      <c r="F30" s="61"/>
      <c r="G30" s="60"/>
      <c r="H30" s="59"/>
      <c r="I30" s="61"/>
      <c r="J30" s="61"/>
      <c r="K30" s="61"/>
      <c r="L30" s="60"/>
      <c r="M30" s="59"/>
      <c r="N30" s="58"/>
      <c r="O30" s="57"/>
      <c r="P30" s="57"/>
      <c r="Q30" s="56"/>
      <c r="R30" s="55"/>
      <c r="S30" s="54" t="str">
        <f>IF(P30,ROUND(SUM(Q$10:Q30),2),"")</f>
        <v/>
      </c>
      <c r="T30" s="69" t="str">
        <f t="shared" si="4"/>
        <v/>
      </c>
      <c r="U30" s="52"/>
      <c r="V30" s="51"/>
      <c r="W30" s="50"/>
      <c r="AA30" s="68"/>
    </row>
    <row r="31" spans="1:41">
      <c r="A31" s="65"/>
      <c r="B31" s="64"/>
      <c r="C31" s="63"/>
      <c r="D31" s="62"/>
      <c r="E31" s="61"/>
      <c r="F31" s="61"/>
      <c r="G31" s="60"/>
      <c r="H31" s="59"/>
      <c r="I31" s="61"/>
      <c r="J31" s="61"/>
      <c r="K31" s="61"/>
      <c r="L31" s="60"/>
      <c r="M31" s="59"/>
      <c r="N31" s="58"/>
      <c r="O31" s="57"/>
      <c r="P31" s="57"/>
      <c r="Q31" s="56"/>
      <c r="R31" s="55"/>
      <c r="S31" s="54" t="str">
        <f>IF(P31,ROUND(SUM(Q$10:Q31),2),"")</f>
        <v/>
      </c>
      <c r="T31" s="69" t="str">
        <f t="shared" si="4"/>
        <v/>
      </c>
      <c r="U31" s="52"/>
      <c r="V31" s="51"/>
      <c r="W31" s="50"/>
      <c r="AA31" s="68"/>
    </row>
    <row r="32" spans="1:41">
      <c r="A32" s="65"/>
      <c r="B32" s="64"/>
      <c r="C32" s="63"/>
      <c r="D32" s="62"/>
      <c r="E32" s="61"/>
      <c r="F32" s="61"/>
      <c r="G32" s="60"/>
      <c r="H32" s="59"/>
      <c r="I32" s="61"/>
      <c r="J32" s="61"/>
      <c r="K32" s="61"/>
      <c r="L32" s="60"/>
      <c r="M32" s="59"/>
      <c r="N32" s="58"/>
      <c r="O32" s="57"/>
      <c r="P32" s="57"/>
      <c r="Q32" s="56"/>
      <c r="R32" s="55"/>
      <c r="S32" s="54" t="str">
        <f>IF(P32,ROUND(SUM(Q$10:Q32),2),"")</f>
        <v/>
      </c>
      <c r="T32" s="69" t="str">
        <f t="shared" si="4"/>
        <v/>
      </c>
      <c r="U32" s="52"/>
      <c r="V32" s="51"/>
      <c r="W32" s="50"/>
      <c r="AA32" s="68"/>
    </row>
    <row r="33" spans="1:27">
      <c r="A33" s="65"/>
      <c r="B33" s="64"/>
      <c r="C33" s="63"/>
      <c r="D33" s="62"/>
      <c r="E33" s="61"/>
      <c r="F33" s="61"/>
      <c r="G33" s="60"/>
      <c r="H33" s="59"/>
      <c r="I33" s="61"/>
      <c r="J33" s="61"/>
      <c r="K33" s="61"/>
      <c r="L33" s="60"/>
      <c r="M33" s="59"/>
      <c r="N33" s="58"/>
      <c r="O33" s="57"/>
      <c r="P33" s="57"/>
      <c r="Q33" s="56"/>
      <c r="R33" s="55"/>
      <c r="S33" s="54" t="str">
        <f>IF(P33,ROUND(SUM(Q$10:Q33),2),"")</f>
        <v/>
      </c>
      <c r="T33" s="69" t="str">
        <f t="shared" si="4"/>
        <v/>
      </c>
      <c r="U33" s="52"/>
      <c r="V33" s="51"/>
      <c r="W33" s="50"/>
      <c r="AA33" s="68"/>
    </row>
    <row r="34" spans="1:27">
      <c r="A34" s="65"/>
      <c r="B34" s="64"/>
      <c r="C34" s="63"/>
      <c r="D34" s="62"/>
      <c r="E34" s="61"/>
      <c r="F34" s="61"/>
      <c r="G34" s="60"/>
      <c r="H34" s="59"/>
      <c r="I34" s="61"/>
      <c r="J34" s="61"/>
      <c r="K34" s="61"/>
      <c r="L34" s="60"/>
      <c r="M34" s="59"/>
      <c r="N34" s="58"/>
      <c r="O34" s="57"/>
      <c r="P34" s="57"/>
      <c r="Q34" s="56"/>
      <c r="R34" s="55"/>
      <c r="S34" s="54" t="str">
        <f>IF(P34,ROUND(SUM(Q$10:Q34),2),"")</f>
        <v/>
      </c>
      <c r="T34" s="69" t="str">
        <f t="shared" si="4"/>
        <v/>
      </c>
      <c r="U34" s="52"/>
      <c r="V34" s="51"/>
      <c r="W34" s="50"/>
      <c r="AA34" s="68"/>
    </row>
    <row r="35" spans="1:27">
      <c r="A35" s="65"/>
      <c r="B35" s="64"/>
      <c r="C35" s="63"/>
      <c r="D35" s="62"/>
      <c r="E35" s="61"/>
      <c r="F35" s="61"/>
      <c r="G35" s="60"/>
      <c r="H35" s="59"/>
      <c r="I35" s="61"/>
      <c r="J35" s="61"/>
      <c r="K35" s="61"/>
      <c r="L35" s="60"/>
      <c r="M35" s="59"/>
      <c r="N35" s="58"/>
      <c r="O35" s="57"/>
      <c r="P35" s="57"/>
      <c r="Q35" s="56"/>
      <c r="R35" s="55"/>
      <c r="S35" s="54" t="str">
        <f>IF(P35,ROUND(SUM(Q$10:Q35),2),"")</f>
        <v/>
      </c>
      <c r="T35" s="69" t="str">
        <f t="shared" si="4"/>
        <v/>
      </c>
      <c r="U35" s="52"/>
      <c r="V35" s="51"/>
      <c r="W35" s="50"/>
      <c r="AA35" s="68"/>
    </row>
    <row r="36" spans="1:27">
      <c r="A36" s="65"/>
      <c r="B36" s="64"/>
      <c r="C36" s="63"/>
      <c r="D36" s="62"/>
      <c r="E36" s="61"/>
      <c r="F36" s="61"/>
      <c r="G36" s="60"/>
      <c r="H36" s="59"/>
      <c r="I36" s="61"/>
      <c r="J36" s="61"/>
      <c r="K36" s="61"/>
      <c r="L36" s="60"/>
      <c r="M36" s="59"/>
      <c r="N36" s="58"/>
      <c r="O36" s="57"/>
      <c r="P36" s="57"/>
      <c r="Q36" s="56"/>
      <c r="R36" s="55"/>
      <c r="S36" s="54" t="str">
        <f>IF(P36,ROUND(SUM(Q$10:Q36),2),"")</f>
        <v/>
      </c>
      <c r="T36" s="69" t="str">
        <f t="shared" si="4"/>
        <v/>
      </c>
      <c r="U36" s="52"/>
      <c r="V36" s="51"/>
      <c r="W36" s="50"/>
      <c r="AA36" s="68"/>
    </row>
    <row r="37" spans="1:27">
      <c r="A37" s="65"/>
      <c r="B37" s="64"/>
      <c r="C37" s="63"/>
      <c r="D37" s="62"/>
      <c r="E37" s="61"/>
      <c r="F37" s="61"/>
      <c r="G37" s="60"/>
      <c r="H37" s="59"/>
      <c r="I37" s="61"/>
      <c r="J37" s="61"/>
      <c r="K37" s="61"/>
      <c r="L37" s="60"/>
      <c r="M37" s="59"/>
      <c r="N37" s="58"/>
      <c r="O37" s="57"/>
      <c r="P37" s="57"/>
      <c r="Q37" s="56"/>
      <c r="R37" s="55"/>
      <c r="S37" s="54" t="str">
        <f>IF(P37,ROUND(SUM(Q$10:Q37),2),"")</f>
        <v/>
      </c>
      <c r="T37" s="69" t="str">
        <f t="shared" si="4"/>
        <v/>
      </c>
      <c r="U37" s="52"/>
      <c r="V37" s="51"/>
      <c r="W37" s="50"/>
      <c r="AA37" s="68"/>
    </row>
    <row r="38" spans="1:27">
      <c r="A38" s="65"/>
      <c r="B38" s="64"/>
      <c r="C38" s="63"/>
      <c r="D38" s="62"/>
      <c r="E38" s="61"/>
      <c r="F38" s="61"/>
      <c r="G38" s="60"/>
      <c r="H38" s="59"/>
      <c r="I38" s="61"/>
      <c r="J38" s="61"/>
      <c r="K38" s="61"/>
      <c r="L38" s="60"/>
      <c r="M38" s="59"/>
      <c r="N38" s="58"/>
      <c r="O38" s="57"/>
      <c r="P38" s="57"/>
      <c r="Q38" s="56"/>
      <c r="R38" s="55"/>
      <c r="S38" s="54" t="str">
        <f>IF(P38,ROUND(SUM(Q$10:Q38),2),"")</f>
        <v/>
      </c>
      <c r="T38" s="69" t="str">
        <f t="shared" si="4"/>
        <v/>
      </c>
      <c r="U38" s="52"/>
      <c r="V38" s="51"/>
      <c r="W38" s="50"/>
      <c r="AA38" s="68"/>
    </row>
    <row r="39" spans="1:27">
      <c r="A39" s="65"/>
      <c r="B39" s="64"/>
      <c r="C39" s="63"/>
      <c r="D39" s="62"/>
      <c r="E39" s="61"/>
      <c r="F39" s="61"/>
      <c r="G39" s="60"/>
      <c r="H39" s="59"/>
      <c r="I39" s="61"/>
      <c r="J39" s="61"/>
      <c r="K39" s="61"/>
      <c r="L39" s="60"/>
      <c r="M39" s="59"/>
      <c r="N39" s="58"/>
      <c r="O39" s="57"/>
      <c r="P39" s="57"/>
      <c r="Q39" s="56"/>
      <c r="R39" s="55"/>
      <c r="S39" s="54" t="str">
        <f>IF(C39,ROUND(SUM(Q$10:Q39),2),"")</f>
        <v/>
      </c>
      <c r="T39" s="66" t="str">
        <f t="shared" ref="T39:T53" si="5">IF(ISNUMBER(S39),ROUND(S39/C39*100,3),"")</f>
        <v/>
      </c>
      <c r="U39" s="52"/>
      <c r="V39" s="51"/>
      <c r="W39" s="50"/>
      <c r="AA39" s="68"/>
    </row>
    <row r="40" spans="1:27">
      <c r="A40" s="65"/>
      <c r="B40" s="64"/>
      <c r="C40" s="63"/>
      <c r="D40" s="62"/>
      <c r="E40" s="61"/>
      <c r="F40" s="61"/>
      <c r="G40" s="60"/>
      <c r="H40" s="59"/>
      <c r="I40" s="61"/>
      <c r="J40" s="61"/>
      <c r="K40" s="61"/>
      <c r="L40" s="60"/>
      <c r="M40" s="59"/>
      <c r="N40" s="58"/>
      <c r="O40" s="57"/>
      <c r="P40" s="57"/>
      <c r="Q40" s="56"/>
      <c r="R40" s="55"/>
      <c r="S40" s="54" t="str">
        <f>IF(C40,ROUND(SUM(Q$10:Q40),2),"")</f>
        <v/>
      </c>
      <c r="T40" s="66" t="str">
        <f t="shared" si="5"/>
        <v/>
      </c>
      <c r="U40" s="52"/>
      <c r="V40" s="51"/>
      <c r="W40" s="50"/>
      <c r="AA40" s="68"/>
    </row>
    <row r="41" spans="1:27" ht="15">
      <c r="A41" s="65"/>
      <c r="B41" s="64"/>
      <c r="C41" s="63"/>
      <c r="D41" s="62"/>
      <c r="E41" s="61"/>
      <c r="F41" s="61"/>
      <c r="G41" s="60"/>
      <c r="H41" s="59"/>
      <c r="I41" s="61"/>
      <c r="J41" s="61"/>
      <c r="K41" s="61"/>
      <c r="L41" s="60"/>
      <c r="M41" s="59"/>
      <c r="N41" s="58"/>
      <c r="O41" s="57"/>
      <c r="P41" s="57"/>
      <c r="Q41" s="56"/>
      <c r="R41" s="55"/>
      <c r="S41" s="54" t="str">
        <f>IF(C41,ROUND(SUM(Q$10:Q41),2),"")</f>
        <v/>
      </c>
      <c r="T41" s="66" t="str">
        <f t="shared" si="5"/>
        <v/>
      </c>
      <c r="U41" s="52"/>
      <c r="V41" s="51"/>
      <c r="W41" s="50"/>
      <c r="AA41"/>
    </row>
    <row r="42" spans="1:27" ht="15">
      <c r="A42" s="65"/>
      <c r="B42" s="64"/>
      <c r="C42" s="63"/>
      <c r="D42" s="62"/>
      <c r="E42" s="61"/>
      <c r="F42" s="61"/>
      <c r="G42" s="60"/>
      <c r="H42" s="59"/>
      <c r="I42" s="61"/>
      <c r="J42" s="61"/>
      <c r="K42" s="61"/>
      <c r="L42" s="60"/>
      <c r="M42" s="59"/>
      <c r="N42" s="58"/>
      <c r="O42" s="57"/>
      <c r="P42" s="57"/>
      <c r="Q42" s="56"/>
      <c r="R42" s="55"/>
      <c r="S42" s="54" t="str">
        <f>IF(C42,ROUND(SUM(Q$10:Q42),2),"")</f>
        <v/>
      </c>
      <c r="T42" s="66" t="str">
        <f t="shared" si="5"/>
        <v/>
      </c>
      <c r="U42" s="52"/>
      <c r="V42" s="51"/>
      <c r="W42" s="50"/>
      <c r="AA42"/>
    </row>
    <row r="43" spans="1:27" ht="15">
      <c r="A43" s="65"/>
      <c r="B43" s="64"/>
      <c r="C43" s="63"/>
      <c r="D43" s="62"/>
      <c r="E43" s="61"/>
      <c r="F43" s="61"/>
      <c r="G43" s="60"/>
      <c r="H43" s="59"/>
      <c r="I43" s="61"/>
      <c r="J43" s="61"/>
      <c r="K43" s="61"/>
      <c r="L43" s="60"/>
      <c r="M43" s="59"/>
      <c r="N43" s="58"/>
      <c r="O43" s="57"/>
      <c r="P43" s="57"/>
      <c r="Q43" s="56"/>
      <c r="R43" s="55"/>
      <c r="S43" s="54" t="str">
        <f>IF(C43,ROUND(SUM(Q$10:Q43),2),"")</f>
        <v/>
      </c>
      <c r="T43" s="66" t="str">
        <f t="shared" si="5"/>
        <v/>
      </c>
      <c r="U43" s="52"/>
      <c r="V43" s="51"/>
      <c r="W43" s="50"/>
      <c r="AA43"/>
    </row>
    <row r="44" spans="1:27" ht="15">
      <c r="A44" s="65"/>
      <c r="B44" s="64"/>
      <c r="C44" s="63"/>
      <c r="D44" s="62"/>
      <c r="E44" s="61"/>
      <c r="F44" s="61"/>
      <c r="G44" s="60"/>
      <c r="H44" s="59"/>
      <c r="I44" s="61"/>
      <c r="J44" s="61"/>
      <c r="K44" s="61"/>
      <c r="L44" s="60"/>
      <c r="M44" s="59"/>
      <c r="N44" s="58"/>
      <c r="O44" s="57"/>
      <c r="P44" s="57"/>
      <c r="Q44" s="56"/>
      <c r="R44" s="55"/>
      <c r="S44" s="54" t="str">
        <f>IF(C44,ROUND(SUM(Q$10:Q44),2),"")</f>
        <v/>
      </c>
      <c r="T44" s="66" t="str">
        <f t="shared" si="5"/>
        <v/>
      </c>
      <c r="U44" s="52"/>
      <c r="V44" s="51"/>
      <c r="W44" s="50"/>
      <c r="AA44"/>
    </row>
    <row r="45" spans="1:27" ht="15">
      <c r="A45" s="65"/>
      <c r="B45" s="64"/>
      <c r="C45" s="63"/>
      <c r="D45" s="62"/>
      <c r="E45" s="61"/>
      <c r="F45" s="61"/>
      <c r="G45" s="60"/>
      <c r="H45" s="59"/>
      <c r="I45" s="61"/>
      <c r="J45" s="61"/>
      <c r="K45" s="61"/>
      <c r="L45" s="60"/>
      <c r="M45" s="59"/>
      <c r="N45" s="58"/>
      <c r="O45" s="57"/>
      <c r="P45" s="57"/>
      <c r="Q45" s="56"/>
      <c r="R45" s="55"/>
      <c r="S45" s="54" t="str">
        <f>IF(C45,ROUND(SUM(Q$10:Q45),2),"")</f>
        <v/>
      </c>
      <c r="T45" s="66" t="str">
        <f t="shared" si="5"/>
        <v/>
      </c>
      <c r="U45" s="52"/>
      <c r="V45" s="51"/>
      <c r="W45" s="50"/>
      <c r="AA45"/>
    </row>
    <row r="46" spans="1:27" ht="15">
      <c r="A46" s="65"/>
      <c r="B46" s="64"/>
      <c r="C46" s="63"/>
      <c r="D46" s="62"/>
      <c r="E46" s="61"/>
      <c r="F46" s="61"/>
      <c r="G46" s="60"/>
      <c r="H46" s="59"/>
      <c r="I46" s="61"/>
      <c r="J46" s="61"/>
      <c r="K46" s="61"/>
      <c r="L46" s="60"/>
      <c r="M46" s="59"/>
      <c r="N46" s="58"/>
      <c r="O46" s="57"/>
      <c r="P46" s="57"/>
      <c r="Q46" s="56"/>
      <c r="R46" s="55"/>
      <c r="S46" s="54" t="str">
        <f>IF(C46,ROUND(SUM(Q$10:Q46),2),"")</f>
        <v/>
      </c>
      <c r="T46" s="66" t="str">
        <f t="shared" si="5"/>
        <v/>
      </c>
      <c r="U46" s="52"/>
      <c r="V46" s="51"/>
      <c r="W46" s="50"/>
      <c r="AA46"/>
    </row>
    <row r="47" spans="1:27">
      <c r="A47" s="65"/>
      <c r="B47" s="64"/>
      <c r="C47" s="63"/>
      <c r="D47" s="62"/>
      <c r="E47" s="61"/>
      <c r="F47" s="61"/>
      <c r="G47" s="60"/>
      <c r="H47" s="59"/>
      <c r="I47" s="61"/>
      <c r="J47" s="61"/>
      <c r="K47" s="61"/>
      <c r="L47" s="60"/>
      <c r="M47" s="59"/>
      <c r="N47" s="58"/>
      <c r="O47" s="57"/>
      <c r="P47" s="57"/>
      <c r="Q47" s="56"/>
      <c r="R47" s="55"/>
      <c r="S47" s="54" t="str">
        <f>IF(C47,ROUND(SUM(Q$10:Q47),2),"")</f>
        <v/>
      </c>
      <c r="T47" s="66" t="str">
        <f t="shared" si="5"/>
        <v/>
      </c>
      <c r="U47" s="52"/>
      <c r="V47" s="51"/>
      <c r="W47" s="50"/>
      <c r="AA47" s="67"/>
    </row>
    <row r="48" spans="1:27">
      <c r="A48" s="65"/>
      <c r="B48" s="64"/>
      <c r="C48" s="63"/>
      <c r="D48" s="62"/>
      <c r="E48" s="61"/>
      <c r="F48" s="61"/>
      <c r="G48" s="60"/>
      <c r="H48" s="59"/>
      <c r="I48" s="61"/>
      <c r="J48" s="61"/>
      <c r="K48" s="61"/>
      <c r="L48" s="60"/>
      <c r="M48" s="59"/>
      <c r="N48" s="58"/>
      <c r="O48" s="57"/>
      <c r="P48" s="57"/>
      <c r="Q48" s="56"/>
      <c r="R48" s="55"/>
      <c r="S48" s="54" t="str">
        <f>IF(C48,ROUND(SUM(Q$10:Q48),2),"")</f>
        <v/>
      </c>
      <c r="T48" s="66" t="str">
        <f t="shared" si="5"/>
        <v/>
      </c>
      <c r="U48" s="52"/>
      <c r="V48" s="51"/>
      <c r="W48" s="50"/>
      <c r="AA48" s="1"/>
    </row>
    <row r="49" spans="1:27">
      <c r="A49" s="65"/>
      <c r="B49" s="64"/>
      <c r="C49" s="63"/>
      <c r="D49" s="62"/>
      <c r="E49" s="61"/>
      <c r="F49" s="61"/>
      <c r="G49" s="60"/>
      <c r="H49" s="59"/>
      <c r="I49" s="61"/>
      <c r="J49" s="61"/>
      <c r="K49" s="61"/>
      <c r="L49" s="60"/>
      <c r="M49" s="59"/>
      <c r="N49" s="58"/>
      <c r="O49" s="57"/>
      <c r="P49" s="57"/>
      <c r="Q49" s="56"/>
      <c r="R49" s="55"/>
      <c r="S49" s="54" t="str">
        <f>IF(C49,ROUND(SUM(Q$10:Q49),2),"")</f>
        <v/>
      </c>
      <c r="T49" s="66" t="str">
        <f t="shared" si="5"/>
        <v/>
      </c>
      <c r="U49" s="52"/>
      <c r="V49" s="51"/>
      <c r="W49" s="50"/>
      <c r="AA49" s="1"/>
    </row>
    <row r="50" spans="1:27">
      <c r="A50" s="65"/>
      <c r="B50" s="64"/>
      <c r="C50" s="63"/>
      <c r="D50" s="62"/>
      <c r="E50" s="61"/>
      <c r="F50" s="61"/>
      <c r="G50" s="60"/>
      <c r="H50" s="59"/>
      <c r="I50" s="61"/>
      <c r="J50" s="61"/>
      <c r="K50" s="61"/>
      <c r="L50" s="60"/>
      <c r="M50" s="59"/>
      <c r="N50" s="58"/>
      <c r="O50" s="57"/>
      <c r="P50" s="57"/>
      <c r="Q50" s="56"/>
      <c r="R50" s="55"/>
      <c r="S50" s="54" t="str">
        <f>IF(C50,ROUND(SUM(Q$10:Q50),2),"")</f>
        <v/>
      </c>
      <c r="T50" s="66" t="str">
        <f t="shared" si="5"/>
        <v/>
      </c>
      <c r="U50" s="52"/>
      <c r="V50" s="51"/>
      <c r="W50" s="50"/>
      <c r="AA50" s="1"/>
    </row>
    <row r="51" spans="1:27">
      <c r="A51" s="65"/>
      <c r="B51" s="64"/>
      <c r="C51" s="63"/>
      <c r="D51" s="62"/>
      <c r="E51" s="61"/>
      <c r="F51" s="61"/>
      <c r="G51" s="60"/>
      <c r="H51" s="59"/>
      <c r="I51" s="61"/>
      <c r="J51" s="61"/>
      <c r="K51" s="61"/>
      <c r="L51" s="60"/>
      <c r="M51" s="59"/>
      <c r="N51" s="58"/>
      <c r="O51" s="57"/>
      <c r="P51" s="57"/>
      <c r="Q51" s="56"/>
      <c r="R51" s="55"/>
      <c r="S51" s="54" t="str">
        <f>IF(C51,ROUND(SUM(Q$10:Q51),2),"")</f>
        <v/>
      </c>
      <c r="T51" s="66" t="str">
        <f t="shared" si="5"/>
        <v/>
      </c>
      <c r="U51" s="52"/>
      <c r="V51" s="51"/>
      <c r="W51" s="50"/>
      <c r="AA51" s="1"/>
    </row>
    <row r="52" spans="1:27">
      <c r="A52" s="65"/>
      <c r="B52" s="64"/>
      <c r="C52" s="63"/>
      <c r="D52" s="62"/>
      <c r="E52" s="61"/>
      <c r="F52" s="61"/>
      <c r="G52" s="60"/>
      <c r="H52" s="59"/>
      <c r="I52" s="61"/>
      <c r="J52" s="61"/>
      <c r="K52" s="61"/>
      <c r="L52" s="60"/>
      <c r="M52" s="59"/>
      <c r="N52" s="58"/>
      <c r="O52" s="57"/>
      <c r="P52" s="57"/>
      <c r="Q52" s="56"/>
      <c r="R52" s="55"/>
      <c r="S52" s="54" t="str">
        <f>IF(C52,ROUND(SUM(Q$10:Q52),2),"")</f>
        <v/>
      </c>
      <c r="T52" s="66" t="str">
        <f t="shared" si="5"/>
        <v/>
      </c>
      <c r="U52" s="52"/>
      <c r="V52" s="51"/>
      <c r="W52" s="50"/>
      <c r="AA52" s="1"/>
    </row>
    <row r="53" spans="1:27">
      <c r="A53" s="65"/>
      <c r="B53" s="64"/>
      <c r="C53" s="63"/>
      <c r="D53" s="62"/>
      <c r="E53" s="61"/>
      <c r="F53" s="61"/>
      <c r="G53" s="60"/>
      <c r="H53" s="59"/>
      <c r="I53" s="61"/>
      <c r="J53" s="61"/>
      <c r="K53" s="61"/>
      <c r="L53" s="60"/>
      <c r="M53" s="59"/>
      <c r="N53" s="58"/>
      <c r="O53" s="57"/>
      <c r="P53" s="57"/>
      <c r="Q53" s="56"/>
      <c r="R53" s="55"/>
      <c r="S53" s="54" t="str">
        <f>IF(C53,ROUND(SUM(Q$10:Q53),2),"")</f>
        <v/>
      </c>
      <c r="T53" s="53" t="str">
        <f t="shared" si="5"/>
        <v/>
      </c>
      <c r="U53" s="52"/>
      <c r="V53" s="51"/>
      <c r="W53" s="50"/>
      <c r="Y53" s="13"/>
      <c r="AA53" s="1"/>
    </row>
    <row r="54" spans="1:27">
      <c r="A54" s="49"/>
      <c r="B54" s="48"/>
      <c r="C54" s="47"/>
      <c r="D54" s="46" t="str">
        <f>IF(ISNUMBER(A54),FIXED(C27,0)&amp;"-"&amp;FIXED(C54,0),"")</f>
        <v/>
      </c>
      <c r="E54" s="42"/>
      <c r="F54" s="42"/>
      <c r="G54" s="45"/>
      <c r="H54" s="44"/>
      <c r="I54" s="42"/>
      <c r="J54" s="42"/>
      <c r="K54" s="42"/>
      <c r="L54" s="45"/>
      <c r="M54" s="44"/>
      <c r="N54" s="43"/>
      <c r="O54" s="42"/>
      <c r="P54" s="41"/>
      <c r="Q54" s="40"/>
      <c r="R54" s="39"/>
      <c r="S54" s="38"/>
      <c r="T54" s="37"/>
      <c r="U54" s="36"/>
      <c r="V54" s="35"/>
      <c r="W54" s="34"/>
      <c r="Y54" s="13"/>
      <c r="AA54" s="1"/>
    </row>
    <row r="55" spans="1:27" ht="12" thickBot="1">
      <c r="A55" s="33"/>
      <c r="B55" s="32"/>
      <c r="C55" s="31"/>
      <c r="D55" s="30" t="str">
        <f>IF(ISNUMBER(A55),FIXED(C54,0)&amp;"-"&amp;FIXED(C55,0),"")</f>
        <v/>
      </c>
      <c r="E55" s="26"/>
      <c r="F55" s="26"/>
      <c r="G55" s="29"/>
      <c r="H55" s="28"/>
      <c r="I55" s="26"/>
      <c r="J55" s="26"/>
      <c r="K55" s="26"/>
      <c r="L55" s="29"/>
      <c r="M55" s="28"/>
      <c r="N55" s="27"/>
      <c r="O55" s="26"/>
      <c r="P55" s="25"/>
      <c r="Q55" s="24"/>
      <c r="R55" s="23"/>
      <c r="S55" s="22"/>
      <c r="T55" s="21"/>
      <c r="U55" s="20">
        <f>MAX(C10:C55)</f>
        <v>616</v>
      </c>
      <c r="V55" s="19"/>
      <c r="W55" s="18"/>
      <c r="Y55" s="13"/>
      <c r="AA55" s="1"/>
    </row>
    <row r="56" spans="1:27">
      <c r="A56" s="17"/>
      <c r="B56" s="17"/>
      <c r="C56" s="16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4"/>
      <c r="R56" s="11"/>
      <c r="S56" s="10"/>
      <c r="T56" s="10"/>
      <c r="U56" s="10"/>
      <c r="V56" s="10"/>
      <c r="Y56" s="13"/>
      <c r="AA56" s="1"/>
    </row>
    <row r="57" spans="1:27">
      <c r="A57" s="2"/>
      <c r="B57" s="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0"/>
      <c r="R57" s="11"/>
      <c r="S57" s="10"/>
      <c r="T57" s="10"/>
      <c r="U57" s="10"/>
      <c r="V57" s="10"/>
      <c r="AA57" s="1"/>
    </row>
    <row r="58" spans="1:27">
      <c r="A58" s="5"/>
      <c r="B58" s="5"/>
      <c r="C58" s="5"/>
      <c r="D58" s="5"/>
      <c r="E58" s="4"/>
      <c r="F58" s="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AA58" s="1"/>
    </row>
    <row r="59" spans="1:27">
      <c r="A59" s="9"/>
      <c r="B59" s="9"/>
      <c r="C59" s="5"/>
      <c r="D59" s="5"/>
      <c r="E59" s="4"/>
      <c r="F59" s="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AA59" s="1"/>
    </row>
    <row r="60" spans="1:27">
      <c r="A60" s="8"/>
      <c r="B60" s="8"/>
      <c r="C60" s="5"/>
      <c r="D60" s="5"/>
      <c r="E60" s="4"/>
      <c r="F60" s="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AA60" s="1"/>
    </row>
    <row r="61" spans="1:27">
      <c r="A61" s="5"/>
      <c r="B61" s="5"/>
      <c r="C61" s="5"/>
      <c r="D61" s="5"/>
      <c r="E61" s="4"/>
      <c r="F61" s="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AA61" s="1"/>
    </row>
    <row r="62" spans="1:27">
      <c r="A62" s="5"/>
      <c r="B62" s="5"/>
      <c r="C62" s="5"/>
      <c r="D62" s="5"/>
      <c r="E62" s="4"/>
      <c r="F62" s="3"/>
      <c r="G62" s="1"/>
      <c r="H62" s="1"/>
      <c r="I62" s="2"/>
      <c r="J62" s="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AA62" s="1"/>
    </row>
    <row r="63" spans="1:27">
      <c r="A63" s="5"/>
      <c r="B63" s="5"/>
      <c r="C63" s="5"/>
      <c r="D63" s="5"/>
      <c r="E63" s="4"/>
      <c r="F63" s="3"/>
      <c r="G63" s="1"/>
      <c r="H63" s="1"/>
      <c r="I63" s="2"/>
      <c r="J63" s="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AA63" s="1"/>
    </row>
    <row r="64" spans="1:27">
      <c r="A64" s="5"/>
      <c r="B64" s="5"/>
      <c r="C64" s="5"/>
      <c r="D64" s="5"/>
      <c r="E64" s="4"/>
      <c r="F64" s="3"/>
      <c r="G64" s="1"/>
      <c r="H64" s="1"/>
      <c r="I64" s="2"/>
      <c r="J64" s="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AA64" s="1"/>
    </row>
    <row r="65" spans="1:27">
      <c r="A65" s="5"/>
      <c r="B65" s="5"/>
      <c r="C65" s="5"/>
      <c r="D65" s="5"/>
      <c r="E65" s="4"/>
      <c r="F65" s="3"/>
      <c r="G65" s="1"/>
      <c r="H65" s="1"/>
      <c r="I65" s="2"/>
      <c r="J65" s="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AA65" s="1"/>
    </row>
    <row r="66" spans="1:27">
      <c r="A66" s="5"/>
      <c r="B66" s="5"/>
      <c r="C66" s="5"/>
      <c r="D66" s="5"/>
      <c r="E66" s="4"/>
      <c r="F66" s="3"/>
      <c r="G66" s="1"/>
      <c r="H66" s="1"/>
      <c r="I66" s="2"/>
      <c r="J66" s="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AA66" s="1"/>
    </row>
    <row r="67" spans="1:27">
      <c r="A67" s="5"/>
      <c r="B67" s="5"/>
      <c r="C67" s="5"/>
      <c r="D67" s="5"/>
      <c r="E67" s="4"/>
      <c r="F67" s="3"/>
      <c r="G67" s="1"/>
      <c r="H67" s="1"/>
      <c r="I67" s="2"/>
      <c r="J67" s="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AA67" s="1"/>
    </row>
    <row r="68" spans="1:27">
      <c r="A68" s="5"/>
      <c r="B68" s="5"/>
      <c r="C68" s="5"/>
      <c r="D68" s="5"/>
      <c r="E68" s="4"/>
      <c r="F68" s="3"/>
      <c r="G68" s="1"/>
      <c r="H68" s="1"/>
      <c r="I68" s="2"/>
      <c r="J68" s="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AA68" s="1"/>
    </row>
    <row r="69" spans="1:27">
      <c r="A69" s="5"/>
      <c r="B69" s="5"/>
      <c r="C69" s="5"/>
      <c r="D69" s="5"/>
      <c r="E69" s="4"/>
      <c r="F69" s="3"/>
      <c r="G69" s="1"/>
      <c r="H69" s="1"/>
      <c r="I69" s="2"/>
      <c r="J69" s="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AA69" s="1"/>
    </row>
    <row r="70" spans="1:27">
      <c r="A70" s="5"/>
      <c r="B70" s="5"/>
      <c r="C70" s="5"/>
      <c r="D70" s="5"/>
      <c r="E70" s="4"/>
      <c r="F70" s="3"/>
      <c r="G70" s="1"/>
      <c r="H70" s="1"/>
      <c r="I70" s="2"/>
      <c r="J70" s="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AA70" s="1"/>
    </row>
    <row r="71" spans="1:27">
      <c r="A71" s="5"/>
      <c r="B71" s="5"/>
      <c r="C71" s="5"/>
      <c r="D71" s="5"/>
      <c r="E71" s="4"/>
      <c r="F71" s="3"/>
      <c r="G71" s="1"/>
      <c r="H71" s="1"/>
      <c r="I71" s="2"/>
      <c r="J71" s="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AA71" s="1"/>
    </row>
    <row r="72" spans="1:27">
      <c r="A72" s="5"/>
      <c r="B72" s="5"/>
      <c r="C72" s="5"/>
      <c r="D72" s="5"/>
      <c r="E72" s="4"/>
      <c r="F72" s="3"/>
      <c r="G72" s="1"/>
      <c r="H72" s="1"/>
      <c r="I72" s="2"/>
      <c r="J72" s="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AA72" s="1"/>
    </row>
    <row r="73" spans="1:27">
      <c r="A73" s="5"/>
      <c r="B73" s="5"/>
      <c r="C73" s="5"/>
      <c r="D73" s="5"/>
      <c r="E73" s="4"/>
      <c r="F73" s="3"/>
      <c r="G73" s="1"/>
      <c r="H73" s="1"/>
      <c r="I73" s="2"/>
      <c r="J73" s="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AA73" s="1"/>
    </row>
    <row r="74" spans="1:27">
      <c r="A74" s="5"/>
      <c r="B74" s="5"/>
      <c r="C74" s="5"/>
      <c r="D74" s="5"/>
      <c r="E74" s="4"/>
      <c r="F74" s="3"/>
      <c r="G74" s="1"/>
      <c r="H74" s="1"/>
      <c r="I74" s="2"/>
      <c r="J74" s="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AA74" s="1"/>
    </row>
    <row r="75" spans="1:27">
      <c r="A75" s="5"/>
      <c r="B75" s="5"/>
      <c r="C75" s="5"/>
      <c r="D75" s="5"/>
      <c r="E75" s="4"/>
      <c r="F75" s="3"/>
      <c r="G75" s="1"/>
      <c r="H75" s="1"/>
      <c r="I75" s="2"/>
      <c r="J75" s="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AA75" s="1"/>
    </row>
    <row r="76" spans="1:27">
      <c r="A76" s="5"/>
      <c r="B76" s="5"/>
      <c r="C76" s="5"/>
      <c r="D76" s="5"/>
      <c r="E76" s="4"/>
      <c r="F76" s="3"/>
      <c r="G76" s="1"/>
      <c r="H76" s="1"/>
      <c r="I76" s="2"/>
      <c r="J76" s="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AA76" s="1"/>
    </row>
    <row r="77" spans="1:27">
      <c r="A77" s="5"/>
      <c r="B77" s="5"/>
      <c r="C77" s="5"/>
      <c r="D77" s="5"/>
      <c r="E77" s="4"/>
      <c r="F77" s="3"/>
      <c r="G77" s="1"/>
      <c r="H77" s="1"/>
      <c r="I77" s="2"/>
      <c r="J77" s="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AA77" s="1"/>
    </row>
    <row r="78" spans="1:27">
      <c r="A78" s="5"/>
      <c r="B78" s="5"/>
      <c r="C78" s="5"/>
      <c r="D78" s="5"/>
      <c r="E78" s="4"/>
      <c r="F78" s="3"/>
      <c r="G78" s="1"/>
      <c r="H78" s="1"/>
      <c r="I78" s="2"/>
      <c r="J78" s="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AA78" s="1"/>
    </row>
    <row r="79" spans="1:27">
      <c r="A79" s="5"/>
      <c r="B79" s="5"/>
      <c r="C79" s="5"/>
      <c r="D79" s="5"/>
      <c r="E79" s="4"/>
      <c r="F79" s="3"/>
      <c r="G79" s="1"/>
      <c r="H79" s="1"/>
      <c r="I79" s="2"/>
      <c r="J79" s="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AA79" s="1"/>
    </row>
    <row r="80" spans="1:27">
      <c r="A80" s="5"/>
      <c r="B80" s="5"/>
      <c r="C80" s="5"/>
      <c r="D80" s="5"/>
      <c r="E80" s="4"/>
      <c r="F80" s="3"/>
      <c r="G80" s="1"/>
      <c r="H80" s="1"/>
      <c r="I80" s="2"/>
      <c r="J80" s="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AA80" s="1"/>
    </row>
    <row r="81" spans="1:27">
      <c r="A81" s="5"/>
      <c r="B81" s="5"/>
      <c r="C81" s="5"/>
      <c r="D81" s="5"/>
      <c r="E81" s="4"/>
      <c r="F81" s="3"/>
      <c r="G81" s="1"/>
      <c r="H81" s="1"/>
      <c r="I81" s="2"/>
      <c r="J81" s="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AA81" s="1"/>
    </row>
    <row r="82" spans="1:27">
      <c r="A82" s="5"/>
      <c r="B82" s="5"/>
      <c r="C82" s="5"/>
      <c r="D82" s="5"/>
      <c r="E82" s="4"/>
      <c r="F82" s="3"/>
      <c r="G82" s="1"/>
      <c r="H82" s="1"/>
      <c r="I82" s="2"/>
      <c r="J82" s="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AA82" s="1"/>
    </row>
    <row r="83" spans="1:27">
      <c r="A83" s="5"/>
      <c r="B83" s="5"/>
      <c r="C83" s="5"/>
      <c r="D83" s="5"/>
      <c r="E83" s="4"/>
      <c r="F83" s="3"/>
      <c r="G83" s="1"/>
      <c r="H83" s="1"/>
      <c r="I83" s="2"/>
      <c r="J83" s="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AA83" s="1"/>
    </row>
    <row r="84" spans="1:27">
      <c r="A84" s="5"/>
      <c r="B84" s="5"/>
      <c r="C84" s="5"/>
      <c r="D84" s="5"/>
      <c r="E84" s="4"/>
      <c r="F84" s="3"/>
      <c r="G84" s="1"/>
      <c r="H84" s="1"/>
      <c r="I84" s="2"/>
      <c r="J84" s="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AA84" s="1"/>
    </row>
    <row r="85" spans="1:27">
      <c r="A85" s="5"/>
      <c r="B85" s="5"/>
      <c r="C85" s="5"/>
      <c r="D85" s="5"/>
      <c r="E85" s="4"/>
      <c r="F85" s="3"/>
      <c r="G85" s="1"/>
      <c r="H85" s="1"/>
      <c r="I85" s="2"/>
      <c r="J85" s="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AA85" s="1"/>
    </row>
    <row r="86" spans="1:27">
      <c r="A86" s="5"/>
      <c r="B86" s="5"/>
      <c r="C86" s="5"/>
      <c r="D86" s="5"/>
      <c r="E86" s="4"/>
      <c r="F86" s="3"/>
      <c r="G86" s="1"/>
      <c r="H86" s="1"/>
      <c r="I86" s="2"/>
      <c r="J86" s="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AA86" s="1"/>
    </row>
    <row r="87" spans="1:27">
      <c r="A87" s="5"/>
      <c r="B87" s="5"/>
      <c r="C87" s="5"/>
      <c r="D87" s="5"/>
      <c r="E87" s="4"/>
      <c r="F87" s="3"/>
      <c r="G87" s="1"/>
      <c r="H87" s="1"/>
      <c r="I87" s="2"/>
      <c r="J87" s="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AA87" s="1"/>
    </row>
    <row r="88" spans="1:27">
      <c r="A88" s="5"/>
      <c r="B88" s="5"/>
      <c r="C88" s="5"/>
      <c r="D88" s="5"/>
      <c r="E88" s="4"/>
      <c r="F88" s="3"/>
      <c r="G88" s="1"/>
      <c r="H88" s="1"/>
      <c r="I88" s="2"/>
      <c r="J88" s="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AA88" s="1"/>
    </row>
    <row r="89" spans="1:27">
      <c r="A89" s="5"/>
      <c r="B89" s="5"/>
      <c r="C89" s="5"/>
      <c r="D89" s="5"/>
      <c r="E89" s="4"/>
      <c r="F89" s="3"/>
      <c r="G89" s="1"/>
      <c r="H89" s="1"/>
      <c r="I89" s="2"/>
      <c r="J89" s="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AA89" s="1"/>
    </row>
    <row r="90" spans="1:27">
      <c r="A90" s="5"/>
      <c r="B90" s="5"/>
      <c r="C90" s="5"/>
      <c r="D90" s="5"/>
      <c r="E90" s="4"/>
      <c r="F90" s="3"/>
      <c r="G90" s="1"/>
      <c r="H90" s="1"/>
      <c r="I90" s="2"/>
      <c r="J90" s="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AA90" s="1"/>
    </row>
    <row r="91" spans="1:27">
      <c r="A91" s="5"/>
      <c r="B91" s="5"/>
      <c r="C91" s="5"/>
      <c r="D91" s="5"/>
      <c r="E91" s="4"/>
      <c r="F91" s="3"/>
      <c r="G91" s="1"/>
      <c r="H91" s="1"/>
      <c r="I91" s="2"/>
      <c r="J91" s="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AA91" s="1"/>
    </row>
    <row r="92" spans="1:27">
      <c r="A92" s="5"/>
      <c r="B92" s="5"/>
      <c r="C92" s="5"/>
      <c r="D92" s="5"/>
      <c r="E92" s="4"/>
      <c r="F92" s="3"/>
      <c r="G92" s="1"/>
      <c r="H92" s="1"/>
      <c r="I92" s="2"/>
      <c r="J92" s="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AA92" s="1"/>
    </row>
    <row r="93" spans="1:27">
      <c r="A93" s="5"/>
      <c r="B93" s="5"/>
      <c r="C93" s="5"/>
      <c r="D93" s="5"/>
      <c r="E93" s="4"/>
      <c r="F93" s="3"/>
      <c r="G93" s="1"/>
      <c r="H93" s="1"/>
      <c r="I93" s="2"/>
      <c r="J93" s="2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AA93" s="1"/>
    </row>
    <row r="94" spans="1:27">
      <c r="A94" s="5"/>
      <c r="B94" s="5"/>
      <c r="C94" s="5"/>
      <c r="D94" s="5"/>
      <c r="E94" s="4"/>
      <c r="F94" s="3"/>
      <c r="G94" s="1"/>
      <c r="H94" s="1"/>
      <c r="I94" s="2"/>
      <c r="J94" s="2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AA94" s="1"/>
    </row>
    <row r="95" spans="1:27">
      <c r="A95" s="5"/>
      <c r="B95" s="5"/>
      <c r="C95" s="5"/>
      <c r="D95" s="5"/>
      <c r="E95" s="4"/>
      <c r="F95" s="3"/>
      <c r="G95" s="1"/>
      <c r="H95" s="1"/>
      <c r="I95" s="2"/>
      <c r="J95" s="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AA95" s="1"/>
    </row>
    <row r="96" spans="1:27">
      <c r="A96" s="5"/>
      <c r="B96" s="5"/>
      <c r="C96" s="5"/>
      <c r="D96" s="5"/>
      <c r="E96" s="4"/>
      <c r="F96" s="3"/>
      <c r="G96" s="1"/>
      <c r="H96" s="1"/>
      <c r="I96" s="2"/>
      <c r="J96" s="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AA96" s="1"/>
    </row>
    <row r="97" spans="5:26" s="5" customFormat="1">
      <c r="E97" s="4"/>
      <c r="F97" s="3"/>
      <c r="G97" s="1"/>
      <c r="H97" s="1"/>
      <c r="I97" s="2"/>
      <c r="J97" s="2"/>
      <c r="K97" s="1"/>
      <c r="L97" s="1"/>
      <c r="M97" s="1"/>
      <c r="N97" s="1"/>
      <c r="X97" s="1"/>
      <c r="Y97" s="1"/>
      <c r="Z97" s="1"/>
    </row>
    <row r="98" spans="5:26" s="5" customFormat="1">
      <c r="E98" s="4"/>
      <c r="F98" s="3"/>
      <c r="G98" s="1"/>
      <c r="H98" s="1"/>
      <c r="I98" s="2"/>
      <c r="J98" s="2"/>
      <c r="K98" s="1"/>
      <c r="L98" s="1"/>
      <c r="M98" s="1"/>
      <c r="N98" s="1"/>
    </row>
    <row r="99" spans="5:26" s="5" customFormat="1">
      <c r="E99" s="4"/>
      <c r="F99" s="3"/>
      <c r="G99" s="1"/>
      <c r="H99" s="1"/>
      <c r="I99" s="2"/>
      <c r="J99" s="2"/>
      <c r="K99" s="1"/>
      <c r="L99" s="1"/>
      <c r="M99" s="1"/>
      <c r="N99" s="1"/>
    </row>
    <row r="100" spans="5:26" s="5" customFormat="1">
      <c r="E100" s="4"/>
      <c r="F100" s="3"/>
      <c r="G100" s="1"/>
      <c r="H100" s="1"/>
      <c r="I100" s="2"/>
      <c r="J100" s="2"/>
      <c r="K100" s="1"/>
      <c r="L100" s="1"/>
      <c r="M100" s="1"/>
      <c r="N100" s="1"/>
    </row>
    <row r="101" spans="5:26" s="5" customFormat="1">
      <c r="E101" s="4"/>
      <c r="F101" s="3"/>
      <c r="G101" s="1"/>
      <c r="H101" s="1"/>
      <c r="I101" s="2"/>
      <c r="J101" s="2"/>
      <c r="K101" s="1"/>
      <c r="L101" s="1"/>
      <c r="M101" s="1"/>
      <c r="N101" s="1"/>
    </row>
    <row r="102" spans="5:26" s="5" customFormat="1">
      <c r="E102" s="4"/>
      <c r="F102" s="3"/>
      <c r="G102" s="1"/>
      <c r="H102" s="1"/>
      <c r="I102" s="2"/>
      <c r="J102" s="2"/>
      <c r="K102" s="1"/>
      <c r="L102" s="1"/>
      <c r="M102" s="1"/>
      <c r="N102" s="1"/>
    </row>
    <row r="103" spans="5:26" s="5" customFormat="1">
      <c r="E103" s="4"/>
      <c r="F103" s="3"/>
      <c r="G103" s="1"/>
      <c r="H103" s="1"/>
      <c r="I103" s="2"/>
      <c r="J103" s="2"/>
      <c r="K103" s="1"/>
      <c r="L103" s="1"/>
      <c r="M103" s="1"/>
      <c r="N103" s="1"/>
    </row>
    <row r="104" spans="5:26" s="5" customFormat="1">
      <c r="E104" s="4"/>
      <c r="F104" s="3"/>
      <c r="G104" s="1"/>
      <c r="H104" s="1"/>
      <c r="I104" s="2"/>
      <c r="J104" s="2"/>
      <c r="K104" s="1"/>
      <c r="L104" s="1"/>
      <c r="M104" s="1"/>
      <c r="N104" s="1"/>
    </row>
    <row r="105" spans="5:26" s="5" customFormat="1">
      <c r="E105" s="4"/>
      <c r="F105" s="3"/>
      <c r="G105" s="1"/>
      <c r="H105" s="1"/>
      <c r="I105" s="2"/>
      <c r="J105" s="2"/>
      <c r="K105" s="1"/>
      <c r="L105" s="1"/>
      <c r="M105" s="1"/>
      <c r="N105" s="1"/>
    </row>
    <row r="106" spans="5:26" s="5" customFormat="1">
      <c r="E106" s="4"/>
      <c r="F106" s="3"/>
      <c r="G106" s="1"/>
      <c r="H106" s="1"/>
      <c r="I106" s="2"/>
      <c r="J106" s="2"/>
      <c r="K106" s="1"/>
      <c r="L106" s="1"/>
      <c r="M106" s="1"/>
      <c r="N106" s="1"/>
    </row>
    <row r="107" spans="5:26" s="5" customFormat="1">
      <c r="E107" s="4"/>
      <c r="F107" s="3"/>
      <c r="G107" s="1"/>
      <c r="H107" s="1"/>
      <c r="I107" s="2"/>
      <c r="J107" s="2"/>
      <c r="K107" s="1"/>
      <c r="L107" s="1"/>
      <c r="M107" s="1"/>
      <c r="N107" s="1"/>
    </row>
    <row r="108" spans="5:26" s="5" customFormat="1">
      <c r="E108" s="4"/>
      <c r="F108" s="3"/>
      <c r="G108" s="1"/>
      <c r="H108" s="1"/>
      <c r="I108" s="2"/>
      <c r="J108" s="2"/>
      <c r="K108" s="1"/>
      <c r="L108" s="1"/>
      <c r="M108" s="1"/>
      <c r="N108" s="1"/>
    </row>
    <row r="109" spans="5:26" s="5" customFormat="1">
      <c r="E109" s="4"/>
      <c r="F109" s="3"/>
      <c r="G109" s="1"/>
      <c r="H109" s="1"/>
      <c r="I109" s="2"/>
      <c r="J109" s="2"/>
      <c r="K109" s="1"/>
      <c r="L109" s="1"/>
      <c r="M109" s="1"/>
      <c r="N109" s="1"/>
    </row>
    <row r="110" spans="5:26" s="5" customFormat="1">
      <c r="E110" s="4"/>
      <c r="F110" s="3"/>
      <c r="G110" s="1"/>
      <c r="H110" s="1"/>
      <c r="I110" s="2"/>
      <c r="J110" s="2"/>
      <c r="K110" s="1"/>
      <c r="L110" s="1"/>
      <c r="M110" s="1"/>
      <c r="N110" s="1"/>
    </row>
    <row r="111" spans="5:26" s="5" customFormat="1">
      <c r="E111" s="4"/>
      <c r="F111" s="3"/>
      <c r="G111" s="1"/>
      <c r="H111" s="1"/>
      <c r="I111" s="2"/>
      <c r="J111" s="2"/>
      <c r="K111" s="1"/>
      <c r="L111" s="1"/>
      <c r="M111" s="1"/>
      <c r="N111" s="1"/>
    </row>
    <row r="112" spans="5:26" s="5" customFormat="1">
      <c r="E112" s="4"/>
      <c r="F112" s="3"/>
      <c r="G112" s="1"/>
      <c r="H112" s="1"/>
      <c r="I112" s="2"/>
      <c r="J112" s="2"/>
      <c r="K112" s="1"/>
      <c r="L112" s="1"/>
      <c r="M112" s="1"/>
      <c r="N112" s="1"/>
    </row>
    <row r="113" spans="5:14" s="5" customFormat="1">
      <c r="E113" s="4"/>
      <c r="F113" s="3"/>
      <c r="G113" s="1"/>
      <c r="H113" s="1"/>
      <c r="I113" s="2"/>
      <c r="J113" s="2"/>
      <c r="K113" s="1"/>
      <c r="L113" s="1"/>
      <c r="M113" s="1"/>
      <c r="N113" s="1"/>
    </row>
    <row r="114" spans="5:14" s="5" customFormat="1">
      <c r="E114" s="4"/>
      <c r="F114" s="3"/>
      <c r="G114" s="1"/>
      <c r="H114" s="1"/>
      <c r="I114" s="2"/>
      <c r="J114" s="2"/>
      <c r="K114" s="1"/>
      <c r="L114" s="1"/>
      <c r="M114" s="1"/>
      <c r="N114" s="1"/>
    </row>
    <row r="115" spans="5:14" s="5" customFormat="1">
      <c r="E115" s="4"/>
      <c r="F115" s="3"/>
      <c r="G115" s="1"/>
      <c r="H115" s="1"/>
      <c r="I115" s="2"/>
      <c r="J115" s="2"/>
      <c r="K115" s="1"/>
      <c r="L115" s="1"/>
      <c r="M115" s="1"/>
      <c r="N115" s="1"/>
    </row>
    <row r="116" spans="5:14" s="5" customFormat="1">
      <c r="E116" s="4"/>
      <c r="F116" s="3"/>
      <c r="G116" s="1"/>
      <c r="H116" s="1"/>
      <c r="I116" s="2"/>
      <c r="J116" s="2"/>
      <c r="K116" s="1"/>
      <c r="L116" s="1"/>
      <c r="M116" s="1"/>
      <c r="N116" s="1"/>
    </row>
    <row r="117" spans="5:14" s="5" customFormat="1">
      <c r="E117" s="4"/>
      <c r="F117" s="3"/>
      <c r="G117" s="1"/>
      <c r="H117" s="1"/>
      <c r="I117" s="2"/>
      <c r="J117" s="2"/>
      <c r="K117" s="1"/>
      <c r="L117" s="1"/>
      <c r="M117" s="1"/>
      <c r="N117" s="1"/>
    </row>
    <row r="118" spans="5:14" s="5" customFormat="1">
      <c r="E118" s="4"/>
      <c r="F118" s="3"/>
      <c r="G118" s="1"/>
      <c r="H118" s="1"/>
      <c r="I118" s="2"/>
      <c r="J118" s="2"/>
      <c r="K118" s="1"/>
      <c r="L118" s="1"/>
      <c r="M118" s="1"/>
      <c r="N118" s="1"/>
    </row>
    <row r="119" spans="5:14" s="5" customFormat="1">
      <c r="E119" s="4"/>
      <c r="F119" s="3"/>
      <c r="G119" s="1"/>
      <c r="H119" s="1"/>
      <c r="I119" s="2"/>
      <c r="J119" s="2"/>
      <c r="K119" s="1"/>
      <c r="L119" s="1"/>
      <c r="M119" s="1"/>
      <c r="N119" s="1"/>
    </row>
    <row r="120" spans="5:14" s="5" customFormat="1">
      <c r="E120" s="4"/>
      <c r="F120" s="3"/>
      <c r="G120" s="1"/>
      <c r="H120" s="1"/>
      <c r="I120" s="2"/>
      <c r="J120" s="2"/>
      <c r="K120" s="1"/>
      <c r="L120" s="1"/>
      <c r="M120" s="1"/>
      <c r="N120" s="1"/>
    </row>
    <row r="121" spans="5:14" s="5" customFormat="1">
      <c r="E121" s="4"/>
      <c r="F121" s="3"/>
      <c r="G121" s="1"/>
      <c r="H121" s="1"/>
      <c r="I121" s="2"/>
      <c r="J121" s="2"/>
      <c r="K121" s="1"/>
      <c r="L121" s="1"/>
      <c r="M121" s="1"/>
      <c r="N121" s="1"/>
    </row>
    <row r="122" spans="5:14" s="5" customFormat="1">
      <c r="E122" s="4"/>
      <c r="F122" s="3"/>
      <c r="G122" s="1"/>
      <c r="H122" s="1"/>
      <c r="I122" s="2"/>
      <c r="J122" s="2"/>
      <c r="K122" s="1"/>
      <c r="L122" s="1"/>
      <c r="M122" s="1"/>
      <c r="N122" s="1"/>
    </row>
    <row r="123" spans="5:14" s="5" customFormat="1">
      <c r="E123" s="4"/>
      <c r="F123" s="3"/>
      <c r="G123" s="1"/>
      <c r="H123" s="1"/>
      <c r="I123" s="2"/>
      <c r="J123" s="2"/>
      <c r="K123" s="1"/>
      <c r="L123" s="1"/>
      <c r="M123" s="1"/>
      <c r="N123" s="1"/>
    </row>
    <row r="124" spans="5:14" s="5" customFormat="1">
      <c r="E124" s="4"/>
      <c r="F124" s="3"/>
      <c r="G124" s="1"/>
      <c r="H124" s="1"/>
      <c r="I124" s="2"/>
      <c r="J124" s="2"/>
      <c r="K124" s="1"/>
      <c r="L124" s="1"/>
      <c r="M124" s="1"/>
      <c r="N124" s="1"/>
    </row>
    <row r="125" spans="5:14" s="5" customFormat="1">
      <c r="E125" s="4"/>
      <c r="F125" s="3"/>
      <c r="G125" s="1"/>
      <c r="H125" s="1"/>
      <c r="I125" s="2"/>
      <c r="J125" s="2"/>
      <c r="K125" s="1"/>
      <c r="L125" s="1"/>
      <c r="M125" s="1"/>
      <c r="N125" s="1"/>
    </row>
    <row r="126" spans="5:14" s="5" customFormat="1">
      <c r="E126" s="4"/>
      <c r="F126" s="3"/>
      <c r="G126" s="1"/>
      <c r="H126" s="1"/>
      <c r="I126" s="2"/>
      <c r="J126" s="2"/>
      <c r="K126" s="1"/>
      <c r="L126" s="1"/>
      <c r="M126" s="1"/>
      <c r="N126" s="1"/>
    </row>
    <row r="127" spans="5:14" s="5" customFormat="1">
      <c r="E127" s="4"/>
      <c r="F127" s="3"/>
      <c r="G127" s="1"/>
      <c r="H127" s="1"/>
      <c r="I127" s="2"/>
      <c r="J127" s="2"/>
      <c r="K127" s="1"/>
      <c r="L127" s="1"/>
      <c r="M127" s="1"/>
      <c r="N127" s="1"/>
    </row>
    <row r="128" spans="5:14" s="5" customFormat="1">
      <c r="E128" s="4"/>
      <c r="F128" s="3"/>
      <c r="G128" s="1"/>
      <c r="H128" s="1"/>
      <c r="I128" s="2"/>
      <c r="J128" s="2"/>
      <c r="K128" s="1"/>
      <c r="L128" s="1"/>
      <c r="M128" s="1"/>
      <c r="N128" s="1"/>
    </row>
    <row r="129" spans="5:14" s="5" customFormat="1">
      <c r="E129" s="4"/>
      <c r="F129" s="3"/>
      <c r="G129" s="1"/>
      <c r="H129" s="1"/>
      <c r="I129" s="2"/>
      <c r="J129" s="2"/>
      <c r="K129" s="1"/>
      <c r="L129" s="1"/>
      <c r="M129" s="1"/>
      <c r="N129" s="1"/>
    </row>
    <row r="130" spans="5:14" s="5" customFormat="1">
      <c r="E130" s="4"/>
      <c r="F130" s="3"/>
      <c r="G130" s="1"/>
      <c r="H130" s="1"/>
      <c r="I130" s="2"/>
      <c r="J130" s="2"/>
      <c r="K130" s="1"/>
      <c r="L130" s="1"/>
      <c r="M130" s="1"/>
      <c r="N130" s="1"/>
    </row>
    <row r="131" spans="5:14" s="5" customFormat="1">
      <c r="E131" s="4"/>
      <c r="F131" s="3"/>
      <c r="G131" s="1"/>
      <c r="H131" s="1"/>
      <c r="I131" s="2"/>
      <c r="J131" s="2"/>
      <c r="K131" s="1"/>
      <c r="L131" s="1"/>
      <c r="M131" s="1"/>
      <c r="N131" s="1"/>
    </row>
    <row r="132" spans="5:14" s="5" customFormat="1">
      <c r="E132" s="4"/>
      <c r="F132" s="3"/>
      <c r="G132" s="1"/>
      <c r="H132" s="1"/>
      <c r="I132" s="2"/>
      <c r="J132" s="2"/>
      <c r="K132" s="1"/>
      <c r="L132" s="1"/>
      <c r="M132" s="1"/>
      <c r="N132" s="1"/>
    </row>
    <row r="133" spans="5:14" s="5" customFormat="1">
      <c r="E133" s="4"/>
      <c r="F133" s="3"/>
      <c r="G133" s="1"/>
      <c r="H133" s="1"/>
      <c r="I133" s="2"/>
      <c r="J133" s="2"/>
      <c r="K133" s="1"/>
      <c r="L133" s="1"/>
      <c r="M133" s="1"/>
      <c r="N133" s="1"/>
    </row>
    <row r="134" spans="5:14" s="5" customFormat="1">
      <c r="E134" s="4"/>
      <c r="F134" s="3"/>
      <c r="G134" s="1"/>
      <c r="H134" s="1"/>
      <c r="I134" s="2"/>
      <c r="J134" s="2"/>
      <c r="K134" s="1"/>
      <c r="L134" s="1"/>
      <c r="M134" s="1"/>
      <c r="N134" s="1"/>
    </row>
    <row r="135" spans="5:14" s="5" customFormat="1">
      <c r="E135" s="4"/>
      <c r="F135" s="3"/>
      <c r="G135" s="1"/>
      <c r="H135" s="1"/>
      <c r="I135" s="2"/>
      <c r="J135" s="2"/>
      <c r="K135" s="1"/>
      <c r="L135" s="1"/>
      <c r="M135" s="1"/>
      <c r="N135" s="1"/>
    </row>
    <row r="136" spans="5:14" s="5" customFormat="1">
      <c r="E136" s="4"/>
      <c r="F136" s="3"/>
      <c r="G136" s="1"/>
      <c r="H136" s="1"/>
      <c r="I136" s="2"/>
      <c r="J136" s="2"/>
      <c r="K136" s="1"/>
      <c r="L136" s="1"/>
      <c r="M136" s="1"/>
      <c r="N136" s="1"/>
    </row>
    <row r="137" spans="5:14" s="5" customFormat="1">
      <c r="E137" s="4"/>
      <c r="F137" s="3"/>
      <c r="G137" s="1"/>
      <c r="H137" s="1"/>
      <c r="I137" s="2"/>
      <c r="J137" s="2"/>
      <c r="K137" s="1"/>
      <c r="L137" s="1"/>
      <c r="M137" s="1"/>
      <c r="N137" s="1"/>
    </row>
    <row r="138" spans="5:14" s="5" customFormat="1">
      <c r="E138" s="4"/>
      <c r="F138" s="3"/>
      <c r="G138" s="1"/>
      <c r="H138" s="1"/>
      <c r="I138" s="2"/>
      <c r="J138" s="2"/>
      <c r="K138" s="1"/>
      <c r="L138" s="1"/>
      <c r="M138" s="1"/>
      <c r="N138" s="1"/>
    </row>
    <row r="139" spans="5:14" s="5" customFormat="1">
      <c r="E139" s="4"/>
      <c r="F139" s="3"/>
      <c r="G139" s="1"/>
      <c r="H139" s="1"/>
      <c r="I139" s="2"/>
      <c r="J139" s="2"/>
      <c r="K139" s="1"/>
      <c r="L139" s="1"/>
      <c r="M139" s="1"/>
      <c r="N139" s="1"/>
    </row>
    <row r="140" spans="5:14" s="5" customFormat="1">
      <c r="E140" s="4"/>
      <c r="F140" s="3"/>
      <c r="G140" s="1"/>
      <c r="H140" s="1"/>
      <c r="I140" s="2"/>
      <c r="J140" s="2"/>
      <c r="K140" s="1"/>
      <c r="L140" s="1"/>
      <c r="M140" s="1"/>
      <c r="N140" s="1"/>
    </row>
    <row r="141" spans="5:14" s="5" customFormat="1">
      <c r="E141" s="4"/>
      <c r="F141" s="3"/>
      <c r="G141" s="1"/>
      <c r="H141" s="1"/>
      <c r="I141" s="2"/>
      <c r="J141" s="2"/>
      <c r="K141" s="1"/>
      <c r="L141" s="1"/>
      <c r="M141" s="1"/>
      <c r="N141" s="1"/>
    </row>
    <row r="142" spans="5:14" s="5" customFormat="1">
      <c r="E142" s="4"/>
      <c r="F142" s="3"/>
      <c r="G142" s="1"/>
      <c r="H142" s="1"/>
      <c r="I142" s="2"/>
      <c r="J142" s="2"/>
      <c r="K142" s="1"/>
      <c r="L142" s="1"/>
      <c r="M142" s="1"/>
      <c r="N142" s="1"/>
    </row>
    <row r="143" spans="5:14" s="5" customFormat="1">
      <c r="E143" s="4"/>
      <c r="F143" s="3"/>
      <c r="G143" s="1"/>
      <c r="H143" s="1"/>
      <c r="I143" s="2"/>
      <c r="J143" s="2"/>
      <c r="K143" s="1"/>
      <c r="L143" s="1"/>
      <c r="M143" s="1"/>
      <c r="N143" s="1"/>
    </row>
    <row r="144" spans="5:14" s="5" customFormat="1">
      <c r="E144" s="4"/>
      <c r="F144" s="3"/>
      <c r="G144" s="1"/>
      <c r="H144" s="1"/>
      <c r="I144" s="2"/>
      <c r="J144" s="2"/>
      <c r="K144" s="1"/>
      <c r="L144" s="1"/>
      <c r="M144" s="1"/>
      <c r="N144" s="1"/>
    </row>
    <row r="145" spans="5:26" s="5" customFormat="1">
      <c r="E145" s="4"/>
      <c r="F145" s="3"/>
      <c r="G145" s="1"/>
      <c r="H145" s="1"/>
      <c r="I145" s="2"/>
      <c r="J145" s="2"/>
      <c r="K145" s="1"/>
      <c r="L145" s="1"/>
      <c r="M145" s="1"/>
      <c r="N145" s="1"/>
    </row>
    <row r="146" spans="5:26" s="5" customFormat="1">
      <c r="E146" s="4"/>
      <c r="F146" s="3"/>
      <c r="G146" s="1"/>
      <c r="H146" s="1"/>
      <c r="I146" s="2"/>
      <c r="J146" s="2"/>
      <c r="K146" s="1"/>
      <c r="L146" s="1"/>
      <c r="M146" s="1"/>
      <c r="N146" s="1"/>
    </row>
    <row r="147" spans="5:26" s="5" customFormat="1">
      <c r="E147" s="4"/>
      <c r="F147" s="3"/>
      <c r="G147" s="1"/>
      <c r="H147" s="1"/>
      <c r="I147" s="2"/>
      <c r="J147" s="2"/>
      <c r="K147" s="1"/>
      <c r="L147" s="1"/>
      <c r="M147" s="1"/>
      <c r="N147" s="1"/>
    </row>
    <row r="148" spans="5:26" s="5" customFormat="1">
      <c r="E148" s="4"/>
      <c r="F148" s="3"/>
      <c r="G148" s="1"/>
      <c r="H148" s="1"/>
      <c r="I148" s="2"/>
      <c r="J148" s="2"/>
      <c r="K148" s="1"/>
      <c r="L148" s="1"/>
      <c r="M148" s="1"/>
      <c r="N148" s="1"/>
    </row>
    <row r="149" spans="5:26" s="5" customFormat="1">
      <c r="E149" s="4"/>
      <c r="F149" s="3"/>
      <c r="G149" s="1"/>
      <c r="H149" s="1"/>
      <c r="I149" s="2"/>
      <c r="J149" s="2"/>
      <c r="K149" s="1"/>
      <c r="L149" s="1"/>
      <c r="M149" s="1"/>
      <c r="N149" s="1"/>
    </row>
    <row r="150" spans="5:26" s="5" customFormat="1">
      <c r="E150" s="4"/>
      <c r="F150" s="3"/>
      <c r="G150" s="1"/>
      <c r="H150" s="1"/>
      <c r="I150" s="2"/>
      <c r="J150" s="2"/>
      <c r="K150" s="1"/>
      <c r="L150" s="1"/>
      <c r="M150" s="1"/>
      <c r="N150" s="1"/>
    </row>
    <row r="151" spans="5:26" s="5" customFormat="1">
      <c r="E151" s="4"/>
      <c r="F151" s="3"/>
      <c r="G151" s="1"/>
      <c r="H151" s="1"/>
      <c r="I151" s="2"/>
      <c r="J151" s="2"/>
      <c r="K151" s="1"/>
      <c r="L151" s="1"/>
      <c r="M151" s="1"/>
      <c r="N151" s="1"/>
    </row>
    <row r="152" spans="5:26" s="5" customFormat="1">
      <c r="E152" s="4"/>
      <c r="F152" s="3"/>
      <c r="G152" s="1"/>
      <c r="H152" s="1"/>
      <c r="I152" s="2"/>
      <c r="J152" s="2"/>
      <c r="K152" s="1"/>
      <c r="L152" s="1"/>
      <c r="M152" s="1"/>
      <c r="N152" s="1"/>
    </row>
    <row r="153" spans="5:26" s="5" customFormat="1">
      <c r="E153" s="4"/>
      <c r="F153" s="3"/>
      <c r="G153" s="1"/>
      <c r="H153" s="1"/>
      <c r="I153" s="2"/>
      <c r="J153" s="2"/>
      <c r="K153" s="1"/>
      <c r="L153" s="1"/>
      <c r="M153" s="1"/>
      <c r="N153" s="1"/>
    </row>
    <row r="154" spans="5:26" s="1" customFormat="1"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5"/>
      <c r="R154" s="6"/>
      <c r="S154" s="5"/>
      <c r="T154" s="5"/>
      <c r="U154" s="5"/>
      <c r="V154" s="5"/>
      <c r="W154" s="4"/>
      <c r="X154" s="5"/>
      <c r="Y154" s="5"/>
      <c r="Z154" s="5"/>
    </row>
  </sheetData>
  <dataValidations disablePrompts="1" count="1">
    <dataValidation type="list" allowBlank="1" showInputMessage="1" showErrorMessage="1" sqref="Y1">
      <formula1>$AN$2:$AN$8</formula1>
    </dataValidation>
  </dataValidations>
  <hyperlinks>
    <hyperlink ref="R1" r:id="rId1"/>
  </hyperlinks>
  <pageMargins left="0.75" right="0.75" top="1" bottom="1" header="0.5" footer="0.5"/>
  <pageSetup orientation="portrait" r:id="rId2"/>
  <headerFooter alignWithMargins="0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MB1-B2</vt:lpstr>
      <vt:lpstr>MB2-kmE28</vt:lpstr>
      <vt:lpstr>MB3</vt:lpstr>
      <vt:lpstr>MB8</vt:lpstr>
      <vt:lpstr>ACC1</vt:lpstr>
      <vt:lpstr>ACC2</vt:lpstr>
      <vt:lpstr>2011.08.29 Pit ACC1</vt:lpstr>
      <vt:lpstr>2011.08.29 PitCore KM14</vt:lpstr>
      <vt:lpstr>2011.08.29 PitCore Taz Divide</vt:lpstr>
      <vt:lpstr>'2011.08.29 PitCore KM14'!SampleType</vt:lpstr>
      <vt:lpstr>'2011.08.29 PitCore Taz Divide'!SampleType</vt:lpstr>
      <vt:lpstr>SampleType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enilan</dc:creator>
  <cp:lastModifiedBy>soneel</cp:lastModifiedBy>
  <dcterms:created xsi:type="dcterms:W3CDTF">2011-10-18T20:33:04Z</dcterms:created>
  <dcterms:modified xsi:type="dcterms:W3CDTF">2011-12-19T22:38:01Z</dcterms:modified>
</cp:coreProperties>
</file>