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105"/>
  <workbookPr date1904="1" showInkAnnotation="0" autoCompressPictures="0"/>
  <bookViews>
    <workbookView xWindow="2580" yWindow="360" windowWidth="25600" windowHeight="15700" tabRatio="500" firstSheet="2" activeTab="2"/>
  </bookViews>
  <sheets>
    <sheet name="MB1" sheetId="1" r:id="rId1"/>
    <sheet name="MB2" sheetId="2" r:id="rId2"/>
    <sheet name="MB3" sheetId="3" r:id="rId3"/>
    <sheet name="MB-GPShi" sheetId="4" r:id="rId4"/>
    <sheet name="MB-GPSmid" sheetId="5" r:id="rId5"/>
    <sheet name="MB-GPSlow" sheetId="6" r:id="rId6"/>
    <sheet name="MB8" sheetId="7" r:id="rId7"/>
    <sheet name="MB11" sheetId="8" r:id="rId8"/>
    <sheet name="ELA" sheetId="9" r:id="rId9"/>
    <sheet name="Acc1" sheetId="10" r:id="rId10"/>
    <sheet name="ACC2" sheetId="11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2" l="1"/>
  <c r="F15" i="3"/>
  <c r="F22" i="11"/>
  <c r="F21" i="11"/>
  <c r="F7" i="7"/>
  <c r="F5" i="7"/>
  <c r="F7" i="10"/>
  <c r="D10" i="10"/>
  <c r="D11" i="10"/>
  <c r="D12" i="10"/>
  <c r="D13" i="10"/>
  <c r="E10" i="10"/>
  <c r="H7" i="10"/>
  <c r="E16" i="11"/>
  <c r="E17" i="11"/>
  <c r="E18" i="11"/>
  <c r="E19" i="11"/>
  <c r="F16" i="11"/>
  <c r="E4" i="11"/>
  <c r="C7" i="9"/>
  <c r="I3" i="4"/>
  <c r="F15" i="6"/>
  <c r="E31" i="6"/>
  <c r="E32" i="6"/>
  <c r="E33" i="6"/>
  <c r="E34" i="6"/>
  <c r="E35" i="6"/>
  <c r="E36" i="6"/>
  <c r="E37" i="6"/>
  <c r="E38" i="6"/>
  <c r="F31" i="6"/>
  <c r="I15" i="6"/>
  <c r="C20" i="6"/>
  <c r="D20" i="6"/>
  <c r="F20" i="6"/>
  <c r="G20" i="6"/>
  <c r="C21" i="6"/>
  <c r="D21" i="6"/>
  <c r="F21" i="6"/>
  <c r="G21" i="6"/>
  <c r="C22" i="6"/>
  <c r="D22" i="6"/>
  <c r="F22" i="6"/>
  <c r="G22" i="6"/>
  <c r="C23" i="6"/>
  <c r="D23" i="6"/>
  <c r="F23" i="6"/>
  <c r="G23" i="6"/>
  <c r="C24" i="6"/>
  <c r="D24" i="6"/>
  <c r="F24" i="6"/>
  <c r="G24" i="6"/>
  <c r="C25" i="6"/>
  <c r="D25" i="6"/>
  <c r="F25" i="6"/>
  <c r="G25" i="6"/>
  <c r="C19" i="6"/>
  <c r="D19" i="6"/>
  <c r="F19" i="6"/>
  <c r="G19" i="6"/>
  <c r="B20" i="6"/>
  <c r="B21" i="6"/>
  <c r="B22" i="6"/>
  <c r="B23" i="6"/>
  <c r="B24" i="6"/>
  <c r="B25" i="6"/>
  <c r="B26" i="6"/>
  <c r="B27" i="6"/>
  <c r="B19" i="6"/>
  <c r="F11" i="6"/>
  <c r="I3" i="6"/>
  <c r="I5" i="5"/>
  <c r="I3" i="5"/>
  <c r="F6" i="1"/>
  <c r="F7" i="1"/>
  <c r="E5" i="2"/>
  <c r="E6" i="2"/>
  <c r="E6" i="3"/>
  <c r="E7" i="3"/>
</calcChain>
</file>

<file path=xl/sharedStrings.xml><?xml version="1.0" encoding="utf-8"?>
<sst xmlns="http://schemas.openxmlformats.org/spreadsheetml/2006/main" count="225" uniqueCount="135">
  <si>
    <t>Ash layer clearly displayed in fresh crevasse pop depth to ash layer was 3.24 m</t>
    <phoneticPr fontId="1" type="noConversion"/>
  </si>
  <si>
    <t>summer surface (ash/ice) found in core at 3.18 m</t>
    <phoneticPr fontId="1" type="noConversion"/>
  </si>
  <si>
    <t>depth from surface</t>
    <phoneticPr fontId="1" type="noConversion"/>
  </si>
  <si>
    <t xml:space="preserve"> pit to ~ 2m then core, no density measured in core</t>
    <phoneticPr fontId="1" type="noConversion"/>
  </si>
  <si>
    <t>weight</t>
    <phoneticPr fontId="1" type="noConversion"/>
  </si>
  <si>
    <t>MB1</t>
    <phoneticPr fontId="1" type="noConversion"/>
  </si>
  <si>
    <t>Marker</t>
    <phoneticPr fontId="1" type="noConversion"/>
  </si>
  <si>
    <t>Date</t>
    <phoneticPr fontId="1" type="noConversion"/>
  </si>
  <si>
    <t>PH (m)</t>
    <phoneticPr fontId="1" type="noConversion"/>
  </si>
  <si>
    <t>Surface</t>
    <phoneticPr fontId="1" type="noConversion"/>
  </si>
  <si>
    <t>MB2</t>
    <phoneticPr fontId="1" type="noConversion"/>
  </si>
  <si>
    <t>MB3</t>
    <phoneticPr fontId="1" type="noConversion"/>
  </si>
  <si>
    <t>elev</t>
    <phoneticPr fontId="1" type="noConversion"/>
  </si>
  <si>
    <t xml:space="preserve">Lat </t>
    <phoneticPr fontId="1" type="noConversion"/>
  </si>
  <si>
    <t>lon</t>
    <phoneticPr fontId="1" type="noConversion"/>
  </si>
  <si>
    <t>snow</t>
    <phoneticPr fontId="1" type="noConversion"/>
  </si>
  <si>
    <t>GPS-hi (km2)</t>
    <phoneticPr fontId="1" type="noConversion"/>
  </si>
  <si>
    <t>GPS-mid (km8)</t>
    <phoneticPr fontId="1" type="noConversion"/>
  </si>
  <si>
    <t>Total pole length</t>
    <phoneticPr fontId="1" type="noConversion"/>
  </si>
  <si>
    <t>total wire length</t>
    <phoneticPr fontId="1" type="noConversion"/>
  </si>
  <si>
    <t>~11m</t>
    <phoneticPr fontId="1" type="noConversion"/>
  </si>
  <si>
    <t>~11</t>
    <phoneticPr fontId="1" type="noConversion"/>
  </si>
  <si>
    <t>total pole height</t>
    <phoneticPr fontId="1" type="noConversion"/>
  </si>
  <si>
    <t>snow</t>
    <phoneticPr fontId="1" type="noConversion"/>
  </si>
  <si>
    <t>new snow!</t>
    <phoneticPr fontId="1" type="noConversion"/>
  </si>
  <si>
    <t>14a</t>
    <phoneticPr fontId="1" type="noConversion"/>
  </si>
  <si>
    <t>snow</t>
    <phoneticPr fontId="1" type="noConversion"/>
  </si>
  <si>
    <t>meters new snow</t>
    <phoneticPr fontId="1" type="noConversion"/>
  </si>
  <si>
    <t>9.144 (total recovery)</t>
    <phoneticPr fontId="1" type="noConversion"/>
  </si>
  <si>
    <t>metes melt and compaction over summer</t>
    <phoneticPr fontId="1" type="noConversion"/>
  </si>
  <si>
    <t>pole  bent</t>
    <phoneticPr fontId="1" type="noConversion"/>
  </si>
  <si>
    <t>new snow</t>
    <phoneticPr fontId="1" type="noConversion"/>
  </si>
  <si>
    <t>sugar at 2" below surface - how much is new is nebulous</t>
    <phoneticPr fontId="1" type="noConversion"/>
  </si>
  <si>
    <t>GPS-lo (km14)</t>
    <phoneticPr fontId="1" type="noConversion"/>
  </si>
  <si>
    <t>melted out</t>
    <phoneticPr fontId="1" type="noConversion"/>
  </si>
  <si>
    <t>at least constrains balance</t>
    <phoneticPr fontId="1" type="noConversion"/>
  </si>
  <si>
    <t>snow ~1m fresh</t>
    <phoneticPr fontId="1" type="noConversion"/>
  </si>
  <si>
    <t>melted, then new snow, net is still a loss</t>
    <phoneticPr fontId="1" type="noConversion"/>
  </si>
  <si>
    <t>1 m snow</t>
    <phoneticPr fontId="1" type="noConversion"/>
  </si>
  <si>
    <t>ice</t>
    <phoneticPr fontId="1" type="noConversion"/>
  </si>
  <si>
    <t>summer balance equals net balance</t>
    <phoneticPr fontId="1" type="noConversion"/>
  </si>
  <si>
    <t>m w.e.</t>
    <phoneticPr fontId="1" type="noConversion"/>
  </si>
  <si>
    <t>~1m snow</t>
    <phoneticPr fontId="1" type="noConversion"/>
  </si>
  <si>
    <t xml:space="preserve">ice </t>
    <phoneticPr fontId="1" type="noConversion"/>
  </si>
  <si>
    <t>m weq</t>
    <phoneticPr fontId="1" type="noConversion"/>
  </si>
  <si>
    <t>weighted average density</t>
    <phoneticPr fontId="1" type="noConversion"/>
  </si>
  <si>
    <t>m weq</t>
    <phoneticPr fontId="1" type="noConversion"/>
  </si>
  <si>
    <t>not right</t>
    <phoneticPr fontId="1" type="noConversion"/>
  </si>
  <si>
    <t>density samples with 1000 cc rip cutter, snowmetrics</t>
    <phoneticPr fontId="1" type="noConversion"/>
  </si>
  <si>
    <t>Acc2</t>
    <phoneticPr fontId="1" type="noConversion"/>
  </si>
  <si>
    <t>25 feet + short plug</t>
    <phoneticPr fontId="1" type="noConversion"/>
  </si>
  <si>
    <t>dug snow pit, depth to summer surface = 1.12 m</t>
    <phoneticPr fontId="1" type="noConversion"/>
  </si>
  <si>
    <t>sample a little light, taken below summer surface</t>
    <phoneticPr fontId="1" type="noConversion"/>
  </si>
  <si>
    <t>pit/core on 9/2</t>
    <phoneticPr fontId="1" type="noConversion"/>
  </si>
  <si>
    <t>snow pit to 1.93 m core from bottom of pit</t>
    <phoneticPr fontId="1" type="noConversion"/>
  </si>
  <si>
    <t>depth to bottom of sample</t>
    <phoneticPr fontId="1" type="noConversion"/>
  </si>
  <si>
    <t>add 1.93 m to depth</t>
    <phoneticPr fontId="1" type="noConversion"/>
  </si>
  <si>
    <t>dtb</t>
    <phoneticPr fontId="1" type="noConversion"/>
  </si>
  <si>
    <t>true depth</t>
    <phoneticPr fontId="1" type="noConversion"/>
  </si>
  <si>
    <t>length</t>
    <phoneticPr fontId="1" type="noConversion"/>
  </si>
  <si>
    <t>density at 0.35 m from surface is 560 g/ 1000 ml</t>
    <phoneticPr fontId="1" type="noConversion"/>
  </si>
  <si>
    <t>summer surface identified in core with faint ash and refrozen layer</t>
    <phoneticPr fontId="1" type="noConversion"/>
  </si>
  <si>
    <t>depth to SS</t>
    <phoneticPr fontId="1" type="noConversion"/>
  </si>
  <si>
    <t>3 mm crystal size</t>
    <phoneticPr fontId="1" type="noConversion"/>
  </si>
  <si>
    <t>darker/dirty layer (ash)</t>
    <phoneticPr fontId="1" type="noConversion"/>
  </si>
  <si>
    <t>left harware cloth black plastic on upstream side of pole, 6' wide, 8 feet long</t>
    <phoneticPr fontId="1" type="noConversion"/>
  </si>
  <si>
    <t>9/2 left hardware cloth around pole, approx 11' long, 6 feet wide</t>
    <phoneticPr fontId="1" type="noConversion"/>
  </si>
  <si>
    <t>steel cloth</t>
    <phoneticPr fontId="1" type="noConversion"/>
  </si>
  <si>
    <t>weight</t>
    <phoneticPr fontId="1" type="noConversion"/>
  </si>
  <si>
    <t>density</t>
    <phoneticPr fontId="1" type="noConversion"/>
  </si>
  <si>
    <t>volume</t>
    <phoneticPr fontId="1" type="noConversion"/>
  </si>
  <si>
    <t>radius</t>
    <phoneticPr fontId="1" type="noConversion"/>
  </si>
  <si>
    <t>density</t>
    <phoneticPr fontId="1" type="noConversion"/>
  </si>
  <si>
    <t>depth</t>
    <phoneticPr fontId="1" type="noConversion"/>
  </si>
  <si>
    <t>weight avg density</t>
    <phoneticPr fontId="1" type="noConversion"/>
  </si>
  <si>
    <t>dirty ice</t>
    <phoneticPr fontId="1" type="noConversion"/>
  </si>
  <si>
    <t>balance probably affected by ice</t>
    <phoneticPr fontId="1" type="noConversion"/>
  </si>
  <si>
    <t>MB8</t>
    <phoneticPr fontId="1" type="noConversion"/>
  </si>
  <si>
    <t>total stake length</t>
    <phoneticPr fontId="1" type="noConversion"/>
  </si>
  <si>
    <t>25 feet + plug</t>
    <phoneticPr fontId="1" type="noConversion"/>
  </si>
  <si>
    <t>summer = net balance</t>
    <phoneticPr fontId="1" type="noConversion"/>
  </si>
  <si>
    <t>below ELA</t>
    <phoneticPr fontId="1" type="noConversion"/>
  </si>
  <si>
    <t>1990's ash? On surface</t>
    <phoneticPr fontId="1" type="noConversion"/>
  </si>
  <si>
    <t>25 feet + plug</t>
    <phoneticPr fontId="1" type="noConversion"/>
  </si>
  <si>
    <t>ice</t>
    <phoneticPr fontId="1" type="noConversion"/>
  </si>
  <si>
    <t>30 feet plus plug</t>
    <phoneticPr fontId="1" type="noConversion"/>
  </si>
  <si>
    <t>dirty ice</t>
    <phoneticPr fontId="1" type="noConversion"/>
  </si>
  <si>
    <t xml:space="preserve">summer balance = </t>
    <phoneticPr fontId="1" type="noConversion"/>
  </si>
  <si>
    <t>most clear estimate of summer melt up high</t>
    <phoneticPr fontId="1" type="noConversion"/>
  </si>
  <si>
    <t>MB11</t>
    <phoneticPr fontId="1" type="noConversion"/>
  </si>
  <si>
    <t>25 feet plus plug</t>
    <phoneticPr fontId="1" type="noConversion"/>
  </si>
  <si>
    <t>old firn</t>
    <phoneticPr fontId="1" type="noConversion"/>
  </si>
  <si>
    <t>Installed just below this years ELA</t>
    <phoneticPr fontId="1" type="noConversion"/>
  </si>
  <si>
    <t>East Branch ELA above MB11  ~3500' 1050 m</t>
    <phoneticPr fontId="1" type="noConversion"/>
  </si>
  <si>
    <t>Above MB3 (first branch) ELA @2900-3000</t>
    <phoneticPr fontId="1" type="noConversion"/>
  </si>
  <si>
    <t>Main Branch ELA 3150</t>
    <phoneticPr fontId="1" type="noConversion"/>
  </si>
  <si>
    <t>Acc1</t>
    <phoneticPr fontId="1" type="noConversion"/>
  </si>
  <si>
    <t>snow, new firn</t>
    <phoneticPr fontId="1" type="noConversion"/>
  </si>
  <si>
    <t>pit/core taken</t>
    <phoneticPr fontId="1" type="noConversion"/>
  </si>
  <si>
    <t>lat</t>
  </si>
  <si>
    <t>lon</t>
  </si>
  <si>
    <t>z</t>
  </si>
  <si>
    <t>Called Upper East Branch</t>
  </si>
  <si>
    <t>Also called B2 proxy</t>
  </si>
  <si>
    <t>Also Called E28 Proxy</t>
  </si>
  <si>
    <t>Marker</t>
  </si>
  <si>
    <t>West Branch Pole</t>
  </si>
  <si>
    <t>Km 32 proxy, up from divider</t>
  </si>
  <si>
    <t>km 24 proxy</t>
  </si>
  <si>
    <t>mw25</t>
  </si>
  <si>
    <t>snow depth =0.9m</t>
  </si>
  <si>
    <t>snow depth = 2.22 m</t>
  </si>
  <si>
    <t>stake buried</t>
  </si>
  <si>
    <t>buried</t>
  </si>
  <si>
    <t>snow depth 2.35</t>
  </si>
  <si>
    <t>snow. Depth =</t>
  </si>
  <si>
    <t>install wire11.1 m</t>
  </si>
  <si>
    <t>1 sect left below surface</t>
  </si>
  <si>
    <t xml:space="preserve">snow. Depth = </t>
  </si>
  <si>
    <t>no change</t>
  </si>
  <si>
    <t>installed wire9.88 m total</t>
  </si>
  <si>
    <t>0.47 to bottom of goo, 0.55 to knot</t>
  </si>
  <si>
    <t xml:space="preserve">snow depth = </t>
  </si>
  <si>
    <t>13 m wire</t>
  </si>
  <si>
    <t>new wire drilled upstream above cracks</t>
  </si>
  <si>
    <t>snow depth =</t>
  </si>
  <si>
    <t>rm top section (5 feet)</t>
  </si>
  <si>
    <t>10 m hole</t>
  </si>
  <si>
    <t>LOCATED UPSTREAM ~0.5 miles</t>
  </si>
  <si>
    <t>20 feet</t>
  </si>
  <si>
    <t>10 feet</t>
  </si>
  <si>
    <t>ice</t>
  </si>
  <si>
    <t>updated z, was likely wrong before!!</t>
  </si>
  <si>
    <t>ERROR HERE, THIS 6/14 ENTRY IS SUPPOSED TO BE MB2</t>
  </si>
  <si>
    <t>Shad Oneel 8/31.2011 unfixed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</si>
</sst>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" fontId="0" fillId="0" borderId="0" xfId="0" applyNumberFormat="1"/>
    <xf numFmtId="0" fontId="0" fillId="2" borderId="0" xfId="0" applyFill="1"/>
    <xf numFmtId="165" fontId="0" fillId="0" borderId="0" xfId="0" applyNumberFormat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165" fontId="0" fillId="0" borderId="0" xfId="0" applyNumberFormat="1"/>
    <xf numFmtId="165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50" zoomScaleNormal="150" zoomScalePageLayoutView="150" workbookViewId="0">
      <selection activeCell="E4" sqref="E4"/>
    </sheetView>
  </sheetViews>
  <sheetFormatPr baseColWidth="10" defaultRowHeight="13" x14ac:dyDescent="0"/>
  <sheetData>
    <row r="1" spans="1:8">
      <c r="A1" t="s">
        <v>6</v>
      </c>
      <c r="B1" t="s">
        <v>7</v>
      </c>
      <c r="C1" t="s">
        <v>19</v>
      </c>
      <c r="D1" t="s">
        <v>8</v>
      </c>
      <c r="E1" t="s">
        <v>9</v>
      </c>
      <c r="F1" t="s">
        <v>12</v>
      </c>
      <c r="G1" t="s">
        <v>13</v>
      </c>
      <c r="H1" t="s">
        <v>14</v>
      </c>
    </row>
    <row r="2" spans="1:8">
      <c r="A2" t="s">
        <v>5</v>
      </c>
      <c r="B2" s="1">
        <v>38851</v>
      </c>
      <c r="C2" s="1" t="s">
        <v>20</v>
      </c>
      <c r="D2">
        <v>0.71120000000000005</v>
      </c>
      <c r="E2" t="s">
        <v>38</v>
      </c>
      <c r="F2">
        <v>240</v>
      </c>
      <c r="G2">
        <v>61.182180000000002</v>
      </c>
      <c r="H2">
        <v>146.86687000000001</v>
      </c>
    </row>
    <row r="3" spans="1:8">
      <c r="B3" s="1">
        <v>38960</v>
      </c>
      <c r="D3">
        <v>5.01</v>
      </c>
      <c r="E3" t="s">
        <v>75</v>
      </c>
      <c r="F3">
        <v>275</v>
      </c>
      <c r="G3" t="s">
        <v>132</v>
      </c>
    </row>
    <row r="4" spans="1:8">
      <c r="B4" s="1">
        <v>39246</v>
      </c>
      <c r="D4">
        <v>6.61</v>
      </c>
    </row>
    <row r="5" spans="1:8">
      <c r="A5" t="s">
        <v>103</v>
      </c>
    </row>
    <row r="6" spans="1:8">
      <c r="C6" t="s">
        <v>40</v>
      </c>
      <c r="F6">
        <f>D3-D2</f>
        <v>4.2988</v>
      </c>
    </row>
    <row r="7" spans="1:8">
      <c r="F7">
        <f>1*0.35 +(F6-1)*0.9</f>
        <v>3.3189200000000003</v>
      </c>
      <c r="G7" t="s">
        <v>41</v>
      </c>
    </row>
    <row r="9" spans="1:8">
      <c r="D9" t="s">
        <v>76</v>
      </c>
    </row>
    <row r="11" spans="1:8">
      <c r="B11" s="3">
        <v>38960</v>
      </c>
      <c r="C11" t="s">
        <v>85</v>
      </c>
      <c r="D11">
        <v>4.2300000000000004</v>
      </c>
      <c r="E11" t="s">
        <v>86</v>
      </c>
    </row>
    <row r="12" spans="1:8">
      <c r="B12" s="1">
        <v>39218</v>
      </c>
      <c r="C12" t="s">
        <v>129</v>
      </c>
      <c r="D12">
        <v>4.3</v>
      </c>
      <c r="E12" t="s">
        <v>110</v>
      </c>
    </row>
    <row r="13" spans="1:8">
      <c r="B13" s="1">
        <v>39246</v>
      </c>
      <c r="C13" t="s">
        <v>130</v>
      </c>
      <c r="D13">
        <v>6.08</v>
      </c>
      <c r="E13" t="s">
        <v>131</v>
      </c>
    </row>
    <row r="14" spans="1:8">
      <c r="B14" s="1">
        <v>39246</v>
      </c>
      <c r="C14" t="s">
        <v>127</v>
      </c>
      <c r="D14">
        <v>0.86</v>
      </c>
      <c r="E14" t="s">
        <v>131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150" zoomScaleNormal="150" zoomScalePageLayoutView="150" workbookViewId="0">
      <selection activeCell="D17" sqref="D17"/>
    </sheetView>
  </sheetViews>
  <sheetFormatPr baseColWidth="10" defaultRowHeight="13" x14ac:dyDescent="0"/>
  <sheetData>
    <row r="1" spans="1:9">
      <c r="A1" t="s">
        <v>6</v>
      </c>
      <c r="B1" t="s">
        <v>7</v>
      </c>
      <c r="C1" t="s">
        <v>78</v>
      </c>
      <c r="D1" t="s">
        <v>8</v>
      </c>
      <c r="E1" t="s">
        <v>9</v>
      </c>
      <c r="F1" t="s">
        <v>12</v>
      </c>
      <c r="G1" t="s">
        <v>13</v>
      </c>
      <c r="H1" t="s">
        <v>14</v>
      </c>
    </row>
    <row r="2" spans="1:9">
      <c r="A2" t="s">
        <v>96</v>
      </c>
      <c r="B2" s="1">
        <v>38961</v>
      </c>
      <c r="C2" t="s">
        <v>83</v>
      </c>
      <c r="D2">
        <v>4.6500000000000004</v>
      </c>
      <c r="E2" t="s">
        <v>97</v>
      </c>
      <c r="F2">
        <v>1380</v>
      </c>
      <c r="G2">
        <v>61.314579999999999</v>
      </c>
      <c r="H2">
        <v>146.8175</v>
      </c>
    </row>
    <row r="3" spans="1:9">
      <c r="A3" t="s">
        <v>108</v>
      </c>
    </row>
    <row r="5" spans="1:9">
      <c r="A5" t="s">
        <v>0</v>
      </c>
    </row>
    <row r="6" spans="1:9">
      <c r="A6" t="s">
        <v>98</v>
      </c>
      <c r="B6" t="s">
        <v>3</v>
      </c>
    </row>
    <row r="7" spans="1:9">
      <c r="A7" t="s">
        <v>1</v>
      </c>
      <c r="F7">
        <f>AVERAGE(3.24,3.18)</f>
        <v>3.21</v>
      </c>
      <c r="G7" t="s">
        <v>62</v>
      </c>
      <c r="H7">
        <f>F7*E10</f>
        <v>1.7202773584905664</v>
      </c>
      <c r="I7" t="s">
        <v>46</v>
      </c>
    </row>
    <row r="8" spans="1:9">
      <c r="A8" t="s">
        <v>48</v>
      </c>
    </row>
    <row r="9" spans="1:9">
      <c r="A9" t="s">
        <v>2</v>
      </c>
      <c r="C9" t="s">
        <v>4</v>
      </c>
      <c r="D9" t="s">
        <v>68</v>
      </c>
    </row>
    <row r="10" spans="1:9">
      <c r="A10">
        <v>182</v>
      </c>
      <c r="C10">
        <v>530</v>
      </c>
      <c r="D10">
        <f>(318-A11)/318</f>
        <v>0.63207547169811318</v>
      </c>
      <c r="E10" s="9">
        <f>(C10*D10+C11*D11+C12*D12+C13*D13)/1000</f>
        <v>0.53591194968553468</v>
      </c>
      <c r="F10" t="s">
        <v>45</v>
      </c>
    </row>
    <row r="11" spans="1:9">
      <c r="A11">
        <v>117</v>
      </c>
      <c r="C11">
        <v>520</v>
      </c>
      <c r="D11">
        <f>(A11-A12)/318</f>
        <v>0.13836477987421383</v>
      </c>
    </row>
    <row r="12" spans="1:9">
      <c r="A12">
        <v>73</v>
      </c>
      <c r="C12">
        <v>570</v>
      </c>
      <c r="D12">
        <f>(A12-A13)/318</f>
        <v>0.16666666666666666</v>
      </c>
    </row>
    <row r="13" spans="1:9">
      <c r="A13">
        <v>20</v>
      </c>
      <c r="C13">
        <v>540</v>
      </c>
      <c r="D13">
        <f>20/318</f>
        <v>6.2893081761006289E-2</v>
      </c>
    </row>
    <row r="16" spans="1:9">
      <c r="B16" s="1">
        <v>39218</v>
      </c>
      <c r="D16" t="s">
        <v>113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150" zoomScaleNormal="150" zoomScalePageLayoutView="150" workbookViewId="0">
      <selection activeCell="B23" sqref="B23"/>
    </sheetView>
  </sheetViews>
  <sheetFormatPr baseColWidth="10" defaultRowHeight="13" x14ac:dyDescent="0"/>
  <sheetData>
    <row r="1" spans="1:8">
      <c r="A1" t="s">
        <v>6</v>
      </c>
      <c r="B1" t="s">
        <v>7</v>
      </c>
      <c r="C1" t="s">
        <v>78</v>
      </c>
      <c r="D1" t="s">
        <v>8</v>
      </c>
      <c r="E1" t="s">
        <v>9</v>
      </c>
      <c r="F1" t="s">
        <v>12</v>
      </c>
      <c r="G1" t="s">
        <v>13</v>
      </c>
      <c r="H1" t="s">
        <v>14</v>
      </c>
    </row>
    <row r="2" spans="1:8">
      <c r="A2" t="s">
        <v>49</v>
      </c>
      <c r="B2" s="1">
        <v>38961</v>
      </c>
      <c r="C2" t="s">
        <v>50</v>
      </c>
      <c r="D2">
        <v>4</v>
      </c>
      <c r="E2" t="s">
        <v>97</v>
      </c>
      <c r="F2">
        <v>1100</v>
      </c>
      <c r="G2">
        <v>61.291939999999997</v>
      </c>
      <c r="H2">
        <v>146.99549999999999</v>
      </c>
    </row>
    <row r="3" spans="1:8">
      <c r="A3" t="s">
        <v>109</v>
      </c>
    </row>
    <row r="4" spans="1:8">
      <c r="A4" t="s">
        <v>51</v>
      </c>
      <c r="E4">
        <f>1.12*F16</f>
        <v>0.58990000000000009</v>
      </c>
    </row>
    <row r="6" spans="1:8">
      <c r="A6" t="s">
        <v>48</v>
      </c>
    </row>
    <row r="7" spans="1:8">
      <c r="A7" t="s">
        <v>2</v>
      </c>
      <c r="C7" t="s">
        <v>4</v>
      </c>
    </row>
    <row r="8" spans="1:8">
      <c r="A8">
        <v>1.1499999999999999</v>
      </c>
      <c r="C8">
        <v>535</v>
      </c>
      <c r="D8" t="s">
        <v>52</v>
      </c>
    </row>
    <row r="9" spans="1:8">
      <c r="A9">
        <v>0.9</v>
      </c>
      <c r="C9">
        <v>500</v>
      </c>
    </row>
    <row r="10" spans="1:8">
      <c r="A10">
        <v>0.5</v>
      </c>
      <c r="C10">
        <v>530</v>
      </c>
    </row>
    <row r="11" spans="1:8">
      <c r="A11">
        <v>0.18</v>
      </c>
      <c r="C11">
        <v>570</v>
      </c>
    </row>
    <row r="16" spans="1:8">
      <c r="C16">
        <v>0</v>
      </c>
      <c r="D16">
        <v>0.56999999999999995</v>
      </c>
      <c r="E16">
        <f>18/112</f>
        <v>0.16071428571428573</v>
      </c>
      <c r="F16" s="10">
        <f>D16*E16+D17*E17+D18*E18+D19*E19</f>
        <v>0.52669642857142862</v>
      </c>
    </row>
    <row r="17" spans="2:7">
      <c r="C17">
        <v>18</v>
      </c>
      <c r="D17">
        <v>0.53</v>
      </c>
      <c r="E17">
        <f>(50-18)/112</f>
        <v>0.2857142857142857</v>
      </c>
    </row>
    <row r="18" spans="2:7">
      <c r="C18">
        <v>50</v>
      </c>
      <c r="D18">
        <v>0.5</v>
      </c>
      <c r="E18">
        <f>40/112</f>
        <v>0.35714285714285715</v>
      </c>
    </row>
    <row r="19" spans="2:7">
      <c r="C19">
        <v>90</v>
      </c>
      <c r="D19">
        <v>0.53500000000000003</v>
      </c>
      <c r="E19">
        <f>22/112</f>
        <v>0.19642857142857142</v>
      </c>
    </row>
    <row r="20" spans="2:7">
      <c r="C20">
        <v>112</v>
      </c>
    </row>
    <row r="21" spans="2:7">
      <c r="B21" s="1">
        <v>39246</v>
      </c>
      <c r="C21" t="s">
        <v>119</v>
      </c>
      <c r="D21">
        <v>0.2</v>
      </c>
      <c r="E21" t="s">
        <v>118</v>
      </c>
      <c r="F21">
        <f>AVERAGE(2.67,3.16,3.2,2.29,2.35,1.8,3.2,3.2,2.77,2.75,3.2,2.89,2.73)</f>
        <v>2.7853846153846149</v>
      </c>
    </row>
    <row r="22" spans="2:7">
      <c r="B22" s="1">
        <v>39246</v>
      </c>
      <c r="C22" t="s">
        <v>120</v>
      </c>
      <c r="D22">
        <v>0.47</v>
      </c>
      <c r="E22" t="s">
        <v>118</v>
      </c>
      <c r="F22">
        <f>AVERAGE(2.67,3.16,3.2,2.29,2.35,1.8,3.2,3.2,2.77,2.75,3.2,2.89,2.73)</f>
        <v>2.7853846153846149</v>
      </c>
      <c r="G22" t="s">
        <v>121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50" workbookViewId="0">
      <selection activeCell="F12" sqref="F12"/>
    </sheetView>
  </sheetViews>
  <sheetFormatPr baseColWidth="10" defaultRowHeight="13" x14ac:dyDescent="0"/>
  <sheetData>
    <row r="1" spans="1:8">
      <c r="A1" t="s">
        <v>6</v>
      </c>
      <c r="B1" t="s">
        <v>7</v>
      </c>
      <c r="C1" t="s">
        <v>19</v>
      </c>
      <c r="D1" t="s">
        <v>8</v>
      </c>
      <c r="E1" t="s">
        <v>9</v>
      </c>
      <c r="F1" t="s">
        <v>99</v>
      </c>
      <c r="G1" t="s">
        <v>100</v>
      </c>
      <c r="H1" t="s">
        <v>101</v>
      </c>
    </row>
    <row r="2" spans="1:8">
      <c r="A2" t="s">
        <v>10</v>
      </c>
      <c r="B2" s="1">
        <v>38852</v>
      </c>
      <c r="C2" s="1" t="s">
        <v>20</v>
      </c>
      <c r="D2">
        <v>0.83819999999999995</v>
      </c>
      <c r="E2" t="s">
        <v>42</v>
      </c>
      <c r="F2">
        <v>61.266069999999999</v>
      </c>
      <c r="G2">
        <v>146.75124</v>
      </c>
      <c r="H2">
        <v>580</v>
      </c>
    </row>
    <row r="3" spans="1:8">
      <c r="B3" s="3">
        <v>38960</v>
      </c>
      <c r="D3">
        <v>5.26</v>
      </c>
      <c r="E3" t="s">
        <v>39</v>
      </c>
    </row>
    <row r="4" spans="1:8">
      <c r="A4" t="s">
        <v>104</v>
      </c>
    </row>
    <row r="5" spans="1:8">
      <c r="E5">
        <f>D3-D2</f>
        <v>4.4218000000000002</v>
      </c>
    </row>
    <row r="6" spans="1:8">
      <c r="E6">
        <f>1*0.35 +(E5-1)*0.9</f>
        <v>3.4296200000000003</v>
      </c>
    </row>
    <row r="8" spans="1:8">
      <c r="B8" s="3">
        <v>38960</v>
      </c>
      <c r="C8" t="s">
        <v>83</v>
      </c>
      <c r="D8">
        <v>4.42</v>
      </c>
      <c r="E8" t="s">
        <v>84</v>
      </c>
    </row>
    <row r="9" spans="1:8">
      <c r="B9" s="1">
        <v>39218</v>
      </c>
      <c r="D9">
        <v>2.4500000000000002</v>
      </c>
      <c r="E9" t="s">
        <v>111</v>
      </c>
    </row>
    <row r="10" spans="1:8">
      <c r="B10" s="1">
        <v>39246</v>
      </c>
      <c r="C10" t="s">
        <v>126</v>
      </c>
      <c r="D10">
        <v>4.28</v>
      </c>
      <c r="E10" t="s">
        <v>125</v>
      </c>
      <c r="F10">
        <f>AVERAGE(1.35,1.54,1.36,1.38,1.32,1.42,1.45,1.37,1.3)</f>
        <v>1.387777777777778</v>
      </c>
    </row>
    <row r="11" spans="1:8">
      <c r="B11" s="1">
        <v>39246</v>
      </c>
      <c r="C11" t="s">
        <v>127</v>
      </c>
      <c r="D11">
        <v>0.68</v>
      </c>
      <c r="F11" t="s">
        <v>128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150" workbookViewId="0">
      <selection activeCell="B18" sqref="B18"/>
    </sheetView>
  </sheetViews>
  <sheetFormatPr baseColWidth="10" defaultRowHeight="13" x14ac:dyDescent="0"/>
  <sheetData>
    <row r="1" spans="1:9">
      <c r="A1" t="s">
        <v>6</v>
      </c>
      <c r="B1" t="s">
        <v>7</v>
      </c>
      <c r="C1" t="s">
        <v>19</v>
      </c>
      <c r="D1" t="s">
        <v>8</v>
      </c>
      <c r="E1" t="s">
        <v>9</v>
      </c>
      <c r="F1" t="s">
        <v>99</v>
      </c>
      <c r="G1" t="s">
        <v>100</v>
      </c>
      <c r="H1" t="s">
        <v>101</v>
      </c>
    </row>
    <row r="2" spans="1:9">
      <c r="A2" t="s">
        <v>11</v>
      </c>
      <c r="B2" s="1">
        <v>38852</v>
      </c>
      <c r="C2" s="1" t="s">
        <v>21</v>
      </c>
      <c r="D2">
        <v>0.81279999999999997</v>
      </c>
      <c r="E2" t="s">
        <v>42</v>
      </c>
      <c r="F2">
        <v>61.262540000000001</v>
      </c>
      <c r="G2">
        <v>146.95230000000001</v>
      </c>
      <c r="H2">
        <v>680</v>
      </c>
    </row>
    <row r="4" spans="1:9">
      <c r="B4" s="3">
        <v>38960</v>
      </c>
      <c r="D4">
        <v>5.03</v>
      </c>
      <c r="E4" t="s">
        <v>43</v>
      </c>
    </row>
    <row r="5" spans="1:9">
      <c r="A5" t="s">
        <v>107</v>
      </c>
    </row>
    <row r="6" spans="1:9">
      <c r="E6">
        <f>D4-D2</f>
        <v>4.2172000000000001</v>
      </c>
    </row>
    <row r="7" spans="1:9">
      <c r="C7" t="s">
        <v>80</v>
      </c>
      <c r="E7">
        <f>-(1*0.35 +(E6-1)*0.9)</f>
        <v>-3.2454800000000001</v>
      </c>
      <c r="F7" t="s">
        <v>47</v>
      </c>
    </row>
    <row r="9" spans="1:9">
      <c r="C9" t="s">
        <v>81</v>
      </c>
    </row>
    <row r="10" spans="1:9">
      <c r="C10" t="s">
        <v>82</v>
      </c>
    </row>
    <row r="13" spans="1:9">
      <c r="B13" s="3">
        <v>38960</v>
      </c>
      <c r="C13" t="s">
        <v>83</v>
      </c>
      <c r="D13">
        <v>4.16</v>
      </c>
      <c r="E13" t="s">
        <v>84</v>
      </c>
    </row>
    <row r="14" spans="1:9">
      <c r="B14" s="1">
        <v>39218</v>
      </c>
      <c r="D14">
        <v>1.5</v>
      </c>
      <c r="E14" t="s">
        <v>114</v>
      </c>
    </row>
    <row r="15" spans="1:9">
      <c r="B15" s="1">
        <v>39246</v>
      </c>
      <c r="D15">
        <v>2.73</v>
      </c>
      <c r="E15" t="s">
        <v>122</v>
      </c>
      <c r="F15">
        <f>AVERAGE(2.08,3.2,3.2,1.5,2.07,2.2,2.27,2.58,3.2,3.2,1.95,2.28,2.16,2.04)</f>
        <v>2.4235714285714285</v>
      </c>
    </row>
    <row r="16" spans="1:9">
      <c r="B16" s="1">
        <v>39246</v>
      </c>
      <c r="C16" t="s">
        <v>123</v>
      </c>
      <c r="D16">
        <v>0.625</v>
      </c>
      <c r="F16">
        <v>61.262770000000003</v>
      </c>
      <c r="G16">
        <v>146.95914999999999</v>
      </c>
      <c r="I16" t="s">
        <v>124</v>
      </c>
    </row>
    <row r="17" spans="2:2">
      <c r="B17" t="s">
        <v>133</v>
      </c>
    </row>
    <row r="18" spans="2:2">
      <c r="B18" t="s">
        <v>134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50" workbookViewId="0">
      <selection activeCell="G2" sqref="G2:H2"/>
    </sheetView>
  </sheetViews>
  <sheetFormatPr baseColWidth="10" defaultRowHeight="13" x14ac:dyDescent="0"/>
  <sheetData>
    <row r="1" spans="1:10">
      <c r="A1" t="s">
        <v>6</v>
      </c>
      <c r="B1" t="s">
        <v>7</v>
      </c>
      <c r="C1" t="s">
        <v>22</v>
      </c>
      <c r="D1" t="s">
        <v>8</v>
      </c>
      <c r="E1" t="s">
        <v>9</v>
      </c>
      <c r="F1" t="s">
        <v>12</v>
      </c>
      <c r="G1" t="s">
        <v>13</v>
      </c>
      <c r="H1" t="s">
        <v>14</v>
      </c>
    </row>
    <row r="2" spans="1:10">
      <c r="A2" t="s">
        <v>16</v>
      </c>
      <c r="B2" s="1">
        <v>38840</v>
      </c>
      <c r="C2" s="2">
        <v>6.0960000000000001</v>
      </c>
      <c r="D2">
        <v>3.7846000000000002</v>
      </c>
      <c r="E2" t="s">
        <v>15</v>
      </c>
      <c r="F2">
        <v>2650</v>
      </c>
      <c r="G2">
        <v>61.382680000000001</v>
      </c>
      <c r="H2">
        <v>147.13380000000001</v>
      </c>
    </row>
    <row r="3" spans="1:10">
      <c r="B3" s="1">
        <v>38853</v>
      </c>
      <c r="C3">
        <v>6.0960000000000001</v>
      </c>
      <c r="D3">
        <v>2.6419999999999999</v>
      </c>
      <c r="E3" t="s">
        <v>23</v>
      </c>
      <c r="I3">
        <f>D2-D3</f>
        <v>1.1426000000000003</v>
      </c>
      <c r="J3" t="s">
        <v>24</v>
      </c>
    </row>
    <row r="4" spans="1:10">
      <c r="B4" s="1">
        <v>38853</v>
      </c>
      <c r="C4">
        <v>9.1440000000000001</v>
      </c>
      <c r="D4">
        <v>5.6859999999999999</v>
      </c>
      <c r="E4" t="s">
        <v>23</v>
      </c>
    </row>
    <row r="5" spans="1:10">
      <c r="B5" s="3">
        <v>38952</v>
      </c>
      <c r="C5">
        <v>9.1440000000000001</v>
      </c>
      <c r="D5">
        <v>6.0960000000000001</v>
      </c>
      <c r="E5" t="s">
        <v>36</v>
      </c>
      <c r="I5" t="s">
        <v>37</v>
      </c>
    </row>
    <row r="6" spans="1:10">
      <c r="B6" s="1">
        <v>38952</v>
      </c>
      <c r="C6">
        <v>7.3620000000000001</v>
      </c>
      <c r="D6">
        <v>4.5720000000000001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150" workbookViewId="0">
      <selection activeCell="G2" sqref="G2:H2"/>
    </sheetView>
  </sheetViews>
  <sheetFormatPr baseColWidth="10" defaultRowHeight="13" x14ac:dyDescent="0"/>
  <cols>
    <col min="1" max="1" width="14.85546875" customWidth="1"/>
    <col min="3" max="3" width="17.140625" customWidth="1"/>
  </cols>
  <sheetData>
    <row r="1" spans="1:10">
      <c r="A1" t="s">
        <v>6</v>
      </c>
      <c r="B1" t="s">
        <v>7</v>
      </c>
      <c r="C1" t="s">
        <v>18</v>
      </c>
      <c r="D1" t="s">
        <v>8</v>
      </c>
      <c r="E1" t="s">
        <v>9</v>
      </c>
      <c r="F1" t="s">
        <v>12</v>
      </c>
      <c r="G1" t="s">
        <v>13</v>
      </c>
      <c r="H1" t="s">
        <v>14</v>
      </c>
    </row>
    <row r="2" spans="1:10">
      <c r="A2" t="s">
        <v>17</v>
      </c>
      <c r="B2" s="1">
        <v>38840</v>
      </c>
      <c r="C2" s="2">
        <v>6.0960000000000001</v>
      </c>
      <c r="D2">
        <v>3.5306000000000002</v>
      </c>
      <c r="E2" t="s">
        <v>15</v>
      </c>
      <c r="F2">
        <v>2200</v>
      </c>
      <c r="G2">
        <v>61.41245</v>
      </c>
      <c r="H2">
        <v>147.03772000000001</v>
      </c>
    </row>
    <row r="3" spans="1:10">
      <c r="B3" s="1">
        <v>38853</v>
      </c>
      <c r="C3">
        <v>6.0960000000000001</v>
      </c>
      <c r="D3">
        <v>3.2</v>
      </c>
      <c r="E3" t="s">
        <v>23</v>
      </c>
      <c r="I3">
        <f>D2-D3</f>
        <v>0.3306</v>
      </c>
      <c r="J3" t="s">
        <v>31</v>
      </c>
    </row>
    <row r="4" spans="1:10">
      <c r="B4" s="3">
        <v>38853</v>
      </c>
      <c r="C4">
        <v>9.1440000000000001</v>
      </c>
      <c r="D4">
        <v>6.2484000000000002</v>
      </c>
      <c r="I4" t="s">
        <v>30</v>
      </c>
    </row>
    <row r="5" spans="1:10">
      <c r="B5" s="1">
        <v>38952</v>
      </c>
      <c r="C5" t="s">
        <v>28</v>
      </c>
      <c r="D5">
        <v>7.7724000000000002</v>
      </c>
      <c r="I5">
        <f>D5-D4</f>
        <v>1.524</v>
      </c>
      <c r="J5" t="s">
        <v>29</v>
      </c>
    </row>
    <row r="6" spans="1:10">
      <c r="B6" s="1">
        <v>38952</v>
      </c>
      <c r="C6">
        <v>8.8391999999999999</v>
      </c>
      <c r="D6">
        <v>5.2577999999999996</v>
      </c>
      <c r="E6" t="s">
        <v>31</v>
      </c>
      <c r="I6" t="s">
        <v>32</v>
      </c>
    </row>
    <row r="7" spans="1:10">
      <c r="B7" t="s">
        <v>66</v>
      </c>
    </row>
    <row r="8" spans="1:10">
      <c r="B8" t="s">
        <v>67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150" zoomScaleNormal="150" zoomScalePageLayoutView="150" workbookViewId="0">
      <selection activeCell="F15" sqref="F15"/>
    </sheetView>
  </sheetViews>
  <sheetFormatPr baseColWidth="10" defaultRowHeight="13" x14ac:dyDescent="0"/>
  <cols>
    <col min="1" max="1" width="13" customWidth="1"/>
  </cols>
  <sheetData>
    <row r="1" spans="1:10">
      <c r="A1" t="s">
        <v>6</v>
      </c>
      <c r="B1" t="s">
        <v>7</v>
      </c>
      <c r="C1" t="s">
        <v>18</v>
      </c>
      <c r="D1" t="s">
        <v>8</v>
      </c>
      <c r="E1" t="s">
        <v>9</v>
      </c>
      <c r="F1" t="s">
        <v>12</v>
      </c>
      <c r="G1" t="s">
        <v>13</v>
      </c>
      <c r="H1" t="s">
        <v>14</v>
      </c>
    </row>
    <row r="2" spans="1:10">
      <c r="A2" t="s">
        <v>33</v>
      </c>
      <c r="B2" s="1">
        <v>38840</v>
      </c>
      <c r="C2" s="2">
        <v>6.0960000000000001</v>
      </c>
      <c r="D2">
        <v>4.5212000000000003</v>
      </c>
      <c r="E2" t="s">
        <v>15</v>
      </c>
      <c r="F2">
        <v>1940</v>
      </c>
      <c r="G2">
        <v>61.39161</v>
      </c>
      <c r="H2">
        <v>146.92690999999999</v>
      </c>
    </row>
    <row r="3" spans="1:10">
      <c r="B3" s="1">
        <v>38853</v>
      </c>
      <c r="C3">
        <v>6.0960000000000001</v>
      </c>
      <c r="D3">
        <v>3.9116</v>
      </c>
      <c r="I3">
        <f>D2-D3</f>
        <v>0.60960000000000036</v>
      </c>
      <c r="J3" t="s">
        <v>27</v>
      </c>
    </row>
    <row r="4" spans="1:10">
      <c r="B4" s="1">
        <v>38952</v>
      </c>
      <c r="C4">
        <v>6.0960000000000001</v>
      </c>
      <c r="D4" t="s">
        <v>34</v>
      </c>
      <c r="I4" t="s">
        <v>35</v>
      </c>
    </row>
    <row r="5" spans="1:10">
      <c r="B5" s="1">
        <v>38952</v>
      </c>
      <c r="C5">
        <v>7.62</v>
      </c>
      <c r="D5">
        <v>5.3848000000000003</v>
      </c>
      <c r="E5" t="s">
        <v>23</v>
      </c>
    </row>
    <row r="6" spans="1:10">
      <c r="B6" s="1">
        <v>38961</v>
      </c>
      <c r="C6">
        <v>7.62</v>
      </c>
      <c r="D6">
        <v>5.32</v>
      </c>
      <c r="E6" t="s">
        <v>23</v>
      </c>
      <c r="I6" t="s">
        <v>65</v>
      </c>
    </row>
    <row r="7" spans="1:10">
      <c r="B7" s="1"/>
    </row>
    <row r="8" spans="1:10">
      <c r="A8" t="s">
        <v>25</v>
      </c>
      <c r="B8" s="3">
        <v>38853</v>
      </c>
      <c r="C8">
        <v>9.1440000000000001</v>
      </c>
      <c r="D8">
        <v>4.2926000000000002</v>
      </c>
      <c r="E8" t="s">
        <v>26</v>
      </c>
    </row>
    <row r="9" spans="1:10">
      <c r="B9" s="3">
        <v>38961</v>
      </c>
      <c r="D9">
        <v>6.99</v>
      </c>
      <c r="E9" t="s">
        <v>23</v>
      </c>
    </row>
    <row r="11" spans="1:10">
      <c r="D11" t="s">
        <v>87</v>
      </c>
      <c r="F11">
        <f>D9-D8</f>
        <v>2.6974</v>
      </c>
      <c r="H11" t="s">
        <v>88</v>
      </c>
    </row>
    <row r="13" spans="1:10">
      <c r="A13" t="s">
        <v>53</v>
      </c>
    </row>
    <row r="14" spans="1:10">
      <c r="A14" t="s">
        <v>54</v>
      </c>
      <c r="D14" t="s">
        <v>60</v>
      </c>
    </row>
    <row r="15" spans="1:10">
      <c r="A15" t="s">
        <v>61</v>
      </c>
      <c r="F15" s="4">
        <f xml:space="preserve"> 1.93+3.45</f>
        <v>5.38</v>
      </c>
      <c r="G15" s="4" t="s">
        <v>62</v>
      </c>
      <c r="I15" s="8">
        <f>F15*F31</f>
        <v>3.1079270627264624</v>
      </c>
      <c r="J15" s="7" t="s">
        <v>44</v>
      </c>
    </row>
    <row r="16" spans="1:10">
      <c r="A16" t="s">
        <v>55</v>
      </c>
      <c r="C16" t="s">
        <v>56</v>
      </c>
    </row>
    <row r="18" spans="1:7">
      <c r="A18" t="s">
        <v>57</v>
      </c>
      <c r="B18" t="s">
        <v>58</v>
      </c>
      <c r="C18" t="s">
        <v>71</v>
      </c>
      <c r="D18" t="s">
        <v>59</v>
      </c>
      <c r="E18" t="s">
        <v>68</v>
      </c>
      <c r="F18" t="s">
        <v>70</v>
      </c>
      <c r="G18" t="s">
        <v>72</v>
      </c>
    </row>
    <row r="19" spans="1:7">
      <c r="A19">
        <v>0.54</v>
      </c>
      <c r="B19">
        <f>A19+1.93</f>
        <v>2.4699999999999998</v>
      </c>
      <c r="C19">
        <f>(AVERAGE(7.3,7.3,7.2,7.3))/2</f>
        <v>3.6375000000000002</v>
      </c>
      <c r="D19">
        <f>AVERAGE(25,24.8,24)</f>
        <v>24.599999999999998</v>
      </c>
      <c r="E19">
        <v>615</v>
      </c>
      <c r="F19">
        <f t="shared" ref="F19:F25" si="0">PI()*(C19^2)*D19</f>
        <v>1022.565141322887</v>
      </c>
      <c r="G19">
        <f>E19/F19</f>
        <v>0.60142867690989132</v>
      </c>
    </row>
    <row r="20" spans="1:7">
      <c r="A20">
        <v>1.1200000000000001</v>
      </c>
      <c r="B20">
        <f t="shared" ref="B20:B27" si="1">A20+1.93</f>
        <v>3.05</v>
      </c>
      <c r="C20">
        <f>(AVERAGE(7.2,7.4,7.3,7.3))/2</f>
        <v>3.6500000000000004</v>
      </c>
      <c r="D20">
        <f>AVERAGE(19.2,19.1,19.5)</f>
        <v>19.266666666666666</v>
      </c>
      <c r="E20">
        <v>460</v>
      </c>
      <c r="F20">
        <f t="shared" si="0"/>
        <v>806.38452592220381</v>
      </c>
      <c r="G20">
        <f t="shared" ref="G20:G25" si="2">E20/F20</f>
        <v>0.57044745430095056</v>
      </c>
    </row>
    <row r="21" spans="1:7">
      <c r="A21">
        <v>1.35</v>
      </c>
      <c r="B21">
        <f t="shared" si="1"/>
        <v>3.2800000000000002</v>
      </c>
      <c r="C21">
        <f>AVERAGE(7.3,7.4,7.2,7.3)/2</f>
        <v>3.65</v>
      </c>
      <c r="D21">
        <f>AVERAGE(22.3,21.5,21.2)</f>
        <v>21.666666666666668</v>
      </c>
      <c r="E21">
        <v>530</v>
      </c>
      <c r="F21">
        <f t="shared" si="0"/>
        <v>906.83380942808378</v>
      </c>
      <c r="G21">
        <f t="shared" si="2"/>
        <v>0.58445108077108088</v>
      </c>
    </row>
    <row r="22" spans="1:7">
      <c r="A22">
        <v>1.59</v>
      </c>
      <c r="B22">
        <f t="shared" si="1"/>
        <v>3.52</v>
      </c>
      <c r="C22">
        <f>AVERAGE(7.3,7.2,7.1,6.6)/2</f>
        <v>3.5250000000000004</v>
      </c>
      <c r="D22">
        <f>AVERAGE(16.5,16.2,16.1)</f>
        <v>16.266666666666669</v>
      </c>
      <c r="E22">
        <v>360</v>
      </c>
      <c r="F22">
        <f t="shared" si="0"/>
        <v>634.98970271785674</v>
      </c>
      <c r="G22">
        <f t="shared" si="2"/>
        <v>0.566938327439237</v>
      </c>
    </row>
    <row r="23" spans="1:7">
      <c r="A23">
        <v>2.38</v>
      </c>
      <c r="B23">
        <f t="shared" si="1"/>
        <v>4.3099999999999996</v>
      </c>
      <c r="C23">
        <f>AVERAGE(7.3,6.9,7,7)/2</f>
        <v>3.5249999999999999</v>
      </c>
      <c r="D23">
        <f>AVERAGE(15.3,16,14.8)</f>
        <v>15.366666666666667</v>
      </c>
      <c r="E23">
        <v>355</v>
      </c>
      <c r="F23">
        <f t="shared" si="0"/>
        <v>599.8570757232211</v>
      </c>
      <c r="G23">
        <f t="shared" si="2"/>
        <v>0.59180763946477122</v>
      </c>
    </row>
    <row r="24" spans="1:7">
      <c r="A24">
        <v>2.83</v>
      </c>
      <c r="B24">
        <f t="shared" si="1"/>
        <v>4.76</v>
      </c>
      <c r="C24">
        <f>AVERAGE(6.9,7,7,6.8)/2</f>
        <v>3.4624999999999999</v>
      </c>
      <c r="D24">
        <f>AVERAGE(43.3,43.1,43)</f>
        <v>43.133333333333333</v>
      </c>
      <c r="E24">
        <v>740</v>
      </c>
      <c r="F24">
        <f t="shared" si="0"/>
        <v>1624.5850726884107</v>
      </c>
      <c r="G24">
        <f t="shared" si="2"/>
        <v>0.45550092293746514</v>
      </c>
    </row>
    <row r="25" spans="1:7">
      <c r="A25">
        <v>3.09</v>
      </c>
      <c r="B25">
        <f t="shared" si="1"/>
        <v>5.0199999999999996</v>
      </c>
      <c r="C25">
        <f>AVERAGE(7.1,7.2,7.1,7)/2</f>
        <v>3.55</v>
      </c>
      <c r="D25">
        <f>AVERAGE(29.2,28.9,28.6)</f>
        <v>28.899999999999995</v>
      </c>
      <c r="E25">
        <v>670</v>
      </c>
      <c r="F25">
        <f t="shared" si="0"/>
        <v>1144.206528947409</v>
      </c>
      <c r="G25">
        <f t="shared" si="2"/>
        <v>0.58555862342120502</v>
      </c>
    </row>
    <row r="26" spans="1:7">
      <c r="A26">
        <v>3.36</v>
      </c>
      <c r="B26">
        <f t="shared" si="1"/>
        <v>5.29</v>
      </c>
      <c r="E26" t="s">
        <v>63</v>
      </c>
    </row>
    <row r="27" spans="1:7">
      <c r="A27">
        <v>3.45</v>
      </c>
      <c r="B27">
        <f t="shared" si="1"/>
        <v>5.38</v>
      </c>
      <c r="E27" t="s">
        <v>64</v>
      </c>
    </row>
    <row r="30" spans="1:7">
      <c r="C30" t="s">
        <v>73</v>
      </c>
      <c r="D30" t="s">
        <v>69</v>
      </c>
      <c r="E30" t="s">
        <v>68</v>
      </c>
    </row>
    <row r="31" spans="1:7">
      <c r="C31">
        <v>35</v>
      </c>
      <c r="D31">
        <v>0.56000000000000005</v>
      </c>
      <c r="E31" s="6">
        <f>C31/538</f>
        <v>6.5055762081784388E-2</v>
      </c>
      <c r="F31" s="5">
        <f>(D31*E31 +D32*E32 +D33*E33 +D34*E34 +D35*E35 +D36*E36 +D37*E37 +D38*E38)</f>
        <v>0.57768161017220487</v>
      </c>
      <c r="G31" t="s">
        <v>74</v>
      </c>
    </row>
    <row r="32" spans="1:7">
      <c r="C32">
        <v>247</v>
      </c>
      <c r="D32" s="5">
        <v>0.60142867690989132</v>
      </c>
      <c r="E32" s="6">
        <f>(C32-C31)/538</f>
        <v>0.39405204460966542</v>
      </c>
    </row>
    <row r="33" spans="3:5">
      <c r="C33">
        <v>305</v>
      </c>
      <c r="D33" s="5">
        <v>0.57044745430095056</v>
      </c>
      <c r="E33" s="6">
        <f t="shared" ref="E33:E38" si="3">(C33-C32)/538</f>
        <v>0.10780669144981413</v>
      </c>
    </row>
    <row r="34" spans="3:5">
      <c r="C34">
        <v>328</v>
      </c>
      <c r="D34" s="5">
        <v>0.58445108077108088</v>
      </c>
      <c r="E34" s="6">
        <f t="shared" si="3"/>
        <v>4.2750929368029739E-2</v>
      </c>
    </row>
    <row r="35" spans="3:5">
      <c r="C35">
        <v>352</v>
      </c>
      <c r="D35" s="5">
        <v>0.566938327439237</v>
      </c>
      <c r="E35" s="6">
        <f t="shared" si="3"/>
        <v>4.4609665427509292E-2</v>
      </c>
    </row>
    <row r="36" spans="3:5">
      <c r="C36">
        <v>431</v>
      </c>
      <c r="D36" s="5">
        <v>0.59180763946477122</v>
      </c>
      <c r="E36" s="6">
        <f t="shared" si="3"/>
        <v>0.14684014869888476</v>
      </c>
    </row>
    <row r="37" spans="3:5">
      <c r="C37">
        <v>476</v>
      </c>
      <c r="D37" s="5">
        <v>0.45550092293746514</v>
      </c>
      <c r="E37" s="6">
        <f t="shared" si="3"/>
        <v>8.3643122676579931E-2</v>
      </c>
    </row>
    <row r="38" spans="3:5">
      <c r="C38">
        <v>538</v>
      </c>
      <c r="D38" s="5">
        <v>0.58555862342120502</v>
      </c>
      <c r="E38" s="6">
        <f t="shared" si="3"/>
        <v>0.11524163568773234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50" workbookViewId="0">
      <selection activeCell="E9" sqref="E9"/>
    </sheetView>
  </sheetViews>
  <sheetFormatPr baseColWidth="10" defaultRowHeight="13" x14ac:dyDescent="0"/>
  <sheetData>
    <row r="1" spans="1:8">
      <c r="A1" t="s">
        <v>105</v>
      </c>
      <c r="B1" t="s">
        <v>7</v>
      </c>
      <c r="C1" t="s">
        <v>78</v>
      </c>
      <c r="D1" t="s">
        <v>8</v>
      </c>
      <c r="E1" t="s">
        <v>9</v>
      </c>
      <c r="F1" t="s">
        <v>12</v>
      </c>
      <c r="G1" t="s">
        <v>13</v>
      </c>
      <c r="H1" t="s">
        <v>14</v>
      </c>
    </row>
    <row r="2" spans="1:8">
      <c r="A2" t="s">
        <v>77</v>
      </c>
      <c r="B2" s="3">
        <v>38960</v>
      </c>
      <c r="C2" t="s">
        <v>79</v>
      </c>
      <c r="D2">
        <v>3.99</v>
      </c>
      <c r="E2" t="s">
        <v>39</v>
      </c>
      <c r="F2">
        <v>505</v>
      </c>
      <c r="G2">
        <v>61.185859999999998</v>
      </c>
      <c r="H2">
        <v>147.25078999999999</v>
      </c>
    </row>
    <row r="3" spans="1:8">
      <c r="A3" t="s">
        <v>106</v>
      </c>
    </row>
    <row r="5" spans="1:8">
      <c r="B5" s="1">
        <v>39246</v>
      </c>
      <c r="C5" t="s">
        <v>117</v>
      </c>
      <c r="D5">
        <v>3.55</v>
      </c>
      <c r="E5" t="s">
        <v>115</v>
      </c>
      <c r="F5">
        <f>AVERAGE(1.02,1.04,1,1.08,1.08,0.59,1.18,1.03,1.15,1.11,1.06,0.93,0.97,0.93,0.97,1.06)</f>
        <v>1.0125</v>
      </c>
    </row>
    <row r="7" spans="1:8">
      <c r="B7" s="1">
        <v>39246</v>
      </c>
      <c r="C7" t="s">
        <v>116</v>
      </c>
      <c r="D7">
        <v>0.65</v>
      </c>
      <c r="E7" t="s">
        <v>115</v>
      </c>
      <c r="F7">
        <f>AVERAGE(1.02,1.04,1,1.08,1.08,0.59,1.18,1.03,1.15,1.11,1.06,0.93,0.97,0.93,0.97,1.06)</f>
        <v>1.0125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50" workbookViewId="0">
      <selection activeCell="B7" sqref="B7"/>
    </sheetView>
  </sheetViews>
  <sheetFormatPr baseColWidth="10" defaultRowHeight="13" x14ac:dyDescent="0"/>
  <sheetData>
    <row r="1" spans="1:8">
      <c r="A1" t="s">
        <v>6</v>
      </c>
      <c r="B1" t="s">
        <v>7</v>
      </c>
      <c r="C1" t="s">
        <v>78</v>
      </c>
      <c r="D1" t="s">
        <v>8</v>
      </c>
      <c r="E1" t="s">
        <v>9</v>
      </c>
      <c r="F1" t="s">
        <v>12</v>
      </c>
      <c r="G1" t="s">
        <v>13</v>
      </c>
      <c r="H1" t="s">
        <v>14</v>
      </c>
    </row>
    <row r="2" spans="1:8">
      <c r="A2" t="s">
        <v>89</v>
      </c>
      <c r="B2" s="3">
        <v>38960</v>
      </c>
      <c r="C2" t="s">
        <v>90</v>
      </c>
      <c r="D2">
        <v>4.16</v>
      </c>
      <c r="E2" t="s">
        <v>91</v>
      </c>
      <c r="F2">
        <v>1005</v>
      </c>
      <c r="G2">
        <v>61.28931</v>
      </c>
      <c r="H2">
        <v>146.55019999999999</v>
      </c>
    </row>
    <row r="3" spans="1:8">
      <c r="B3" t="s">
        <v>92</v>
      </c>
    </row>
    <row r="4" spans="1:8">
      <c r="A4" t="s">
        <v>102</v>
      </c>
    </row>
    <row r="6" spans="1:8">
      <c r="B6" s="1">
        <v>39218</v>
      </c>
      <c r="C6" t="s">
        <v>112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view="pageLayout" zoomScale="150" workbookViewId="0">
      <selection activeCell="C8" sqref="C8"/>
    </sheetView>
  </sheetViews>
  <sheetFormatPr baseColWidth="10" defaultRowHeight="13" x14ac:dyDescent="0"/>
  <sheetData>
    <row r="1" spans="1:4">
      <c r="A1" t="s">
        <v>93</v>
      </c>
    </row>
    <row r="2" spans="1:4">
      <c r="A2" t="s">
        <v>94</v>
      </c>
      <c r="D2">
        <v>900</v>
      </c>
    </row>
    <row r="3" spans="1:4">
      <c r="A3" t="s">
        <v>95</v>
      </c>
      <c r="C3">
        <v>960</v>
      </c>
    </row>
    <row r="7" spans="1:4">
      <c r="C7">
        <f>(960+960+900+1050)/4</f>
        <v>967.5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MB1</vt:lpstr>
      <vt:lpstr>MB2</vt:lpstr>
      <vt:lpstr>MB3</vt:lpstr>
      <vt:lpstr>MB-GPShi</vt:lpstr>
      <vt:lpstr>MB-GPSmid</vt:lpstr>
      <vt:lpstr>MB-GPSlow</vt:lpstr>
      <vt:lpstr>MB8</vt:lpstr>
      <vt:lpstr>MB11</vt:lpstr>
      <vt:lpstr>ELA</vt:lpstr>
      <vt:lpstr>Acc1</vt:lpstr>
      <vt:lpstr>ACC2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O'Neel</dc:creator>
  <cp:lastModifiedBy>shad O'Neel</cp:lastModifiedBy>
  <dcterms:created xsi:type="dcterms:W3CDTF">2010-08-31T18:16:34Z</dcterms:created>
  <dcterms:modified xsi:type="dcterms:W3CDTF">2011-08-31T17:21:40Z</dcterms:modified>
</cp:coreProperties>
</file>