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ules" sheetId="1" state="visible" r:id="rId3"/>
    <sheet name="Attendance shrawan" sheetId="2" state="visible" r:id="rId4"/>
    <sheet name="Staff Details" sheetId="3" state="visible" r:id="rId5"/>
    <sheet name="Basic Salary" sheetId="4" state="visible" r:id="rId6"/>
    <sheet name="Allowances" sheetId="5" state="visible" r:id="rId7"/>
    <sheet name="Tax Calculation" sheetId="6" state="visible" r:id="rId8"/>
    <sheet name="Salary Sheet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<sst xmlns="http://schemas.openxmlformats.org/spreadsheetml/2006/main" count="421" uniqueCount="109">
  <si>
    <t xml:space="preserve">Rules</t>
  </si>
  <si>
    <t xml:space="preserve">Basic Salary will be 60% of Gross Salary, remaining will be Allowances</t>
  </si>
  <si>
    <t xml:space="preserve">1 month basic salary will be provided as festivable allowances</t>
  </si>
  <si>
    <t xml:space="preserve">PF contribution by employer, 10% of basic salary.</t>
  </si>
  <si>
    <t xml:space="preserve">Employee should contribute the  equal amount as employer for PF Deposit.</t>
  </si>
  <si>
    <t xml:space="preserve">Tax Rates are as follows</t>
  </si>
  <si>
    <t xml:space="preserve">Single</t>
  </si>
  <si>
    <t xml:space="preserve">Couple Opted</t>
  </si>
  <si>
    <t xml:space="preserve">Slab</t>
  </si>
  <si>
    <t xml:space="preserve">Rate</t>
  </si>
  <si>
    <t xml:space="preserve">above 20 lacs</t>
  </si>
  <si>
    <t xml:space="preserve">Deduction</t>
  </si>
  <si>
    <t xml:space="preserve">PF Deposit/ Contribution, Minimum of</t>
  </si>
  <si>
    <t xml:space="preserve">    - actual deposit</t>
  </si>
  <si>
    <t xml:space="preserve">    - 1/3 of accessible income</t>
  </si>
  <si>
    <t xml:space="preserve">    - rs 3,00,000.00</t>
  </si>
  <si>
    <t xml:space="preserve">Life Insurance premium, Minimum of</t>
  </si>
  <si>
    <t xml:space="preserve">    - rs 40,000.00</t>
  </si>
  <si>
    <t xml:space="preserve">    - actual premium</t>
  </si>
  <si>
    <t xml:space="preserve">If any female is unmarried she would get 10% credit (discount) on final tax payable amount.</t>
  </si>
  <si>
    <t xml:space="preserve">Employee Code</t>
  </si>
  <si>
    <t xml:space="preserve">Name of Employee</t>
  </si>
  <si>
    <t xml:space="preserve">Total Days</t>
  </si>
  <si>
    <t xml:space="preserve">Present</t>
  </si>
  <si>
    <t xml:space="preserve">Saturday</t>
  </si>
  <si>
    <t xml:space="preserve">Paid Holiday</t>
  </si>
  <si>
    <t xml:space="preserve">Leave</t>
  </si>
  <si>
    <t xml:space="preserve">Half day</t>
  </si>
  <si>
    <t xml:space="preserve">Total Present</t>
  </si>
  <si>
    <t xml:space="preserve">P</t>
  </si>
  <si>
    <t xml:space="preserve">S</t>
  </si>
  <si>
    <t xml:space="preserve">PH</t>
  </si>
  <si>
    <t xml:space="preserve">L</t>
  </si>
  <si>
    <t xml:space="preserve">A</t>
  </si>
  <si>
    <t xml:space="preserve">Sharwan</t>
  </si>
  <si>
    <t xml:space="preserve">Bhadra</t>
  </si>
  <si>
    <t xml:space="preserve">Ashoj</t>
  </si>
  <si>
    <t xml:space="preserve">Karthik</t>
  </si>
  <si>
    <t xml:space="preserve">Mangsir</t>
  </si>
  <si>
    <t xml:space="preserve">Poush</t>
  </si>
  <si>
    <t xml:space="preserve">Magh</t>
  </si>
  <si>
    <t xml:space="preserve">Falgun</t>
  </si>
  <si>
    <t xml:space="preserve">Chaitra</t>
  </si>
  <si>
    <t xml:space="preserve">Baisakh</t>
  </si>
  <si>
    <t xml:space="preserve">Jestha</t>
  </si>
  <si>
    <t xml:space="preserve">Asadh</t>
  </si>
  <si>
    <t xml:space="preserve">SN</t>
  </si>
  <si>
    <t xml:space="preserve">Name of Staff</t>
  </si>
  <si>
    <t xml:space="preserve">Gender</t>
  </si>
  <si>
    <t xml:space="preserve">Marital Status</t>
  </si>
  <si>
    <t xml:space="preserve">Tax Status</t>
  </si>
  <si>
    <t xml:space="preserve">Gross Salary</t>
  </si>
  <si>
    <t xml:space="preserve">Basic Salary(60%)</t>
  </si>
  <si>
    <t xml:space="preserve">Allowances</t>
  </si>
  <si>
    <t xml:space="preserve">Life insurance</t>
  </si>
  <si>
    <t xml:space="preserve">Dwight K Schrute</t>
  </si>
  <si>
    <t xml:space="preserve">Female</t>
  </si>
  <si>
    <t xml:space="preserve">Married</t>
  </si>
  <si>
    <t xml:space="preserve">Rajesh Koothrapalli</t>
  </si>
  <si>
    <t xml:space="preserve">Unmarried</t>
  </si>
  <si>
    <t xml:space="preserve">Leonard Hoffstader</t>
  </si>
  <si>
    <t xml:space="preserve">Howard Wolowitz</t>
  </si>
  <si>
    <t xml:space="preserve">Male</t>
  </si>
  <si>
    <t xml:space="preserve">Sheldon Cooper</t>
  </si>
  <si>
    <t xml:space="preserve">Euler</t>
  </si>
  <si>
    <t xml:space="preserve">Total</t>
  </si>
  <si>
    <t xml:space="preserve">Xlookup</t>
  </si>
  <si>
    <t xml:space="preserve">Life insurrance</t>
  </si>
  <si>
    <t xml:space="preserve">Total Basic Salary</t>
  </si>
  <si>
    <t xml:space="preserve">Shrawan</t>
  </si>
  <si>
    <t xml:space="preserve">Festivable allowances</t>
  </si>
  <si>
    <t xml:space="preserve">Kartik</t>
  </si>
  <si>
    <t xml:space="preserve">Baishakh</t>
  </si>
  <si>
    <t xml:space="preserve">Jesth</t>
  </si>
  <si>
    <t xml:space="preserve">Ashadh</t>
  </si>
  <si>
    <t xml:space="preserve">Total Allowances</t>
  </si>
  <si>
    <t xml:space="preserve">Name of employee</t>
  </si>
  <si>
    <t xml:space="preserve">Festivable Allowances</t>
  </si>
  <si>
    <t xml:space="preserve">PF by Employer</t>
  </si>
  <si>
    <t xml:space="preserve">Total Accessible Income</t>
  </si>
  <si>
    <t xml:space="preserve">PF Deduction</t>
  </si>
  <si>
    <t xml:space="preserve">Life Insurance</t>
  </si>
  <si>
    <t xml:space="preserve">Taxable Amount</t>
  </si>
  <si>
    <t xml:space="preserve">1st slab</t>
  </si>
  <si>
    <t xml:space="preserve">1% SST</t>
  </si>
  <si>
    <t xml:space="preserve">Extra 6%</t>
  </si>
  <si>
    <t xml:space="preserve">SST</t>
  </si>
  <si>
    <t xml:space="preserve">Remuneration tax</t>
  </si>
  <si>
    <t xml:space="preserve">Female SST Credit</t>
  </si>
  <si>
    <t xml:space="preserve">Female Remuneration credit</t>
  </si>
  <si>
    <t xml:space="preserve">Net SST payable</t>
  </si>
  <si>
    <t xml:space="preserve">Net Remuneration payable</t>
  </si>
  <si>
    <t xml:space="preserve">Monthly SST</t>
  </si>
  <si>
    <t xml:space="preserve">Monthly Remuneration</t>
  </si>
  <si>
    <t xml:space="preserve">Basic Salary</t>
  </si>
  <si>
    <t xml:space="preserve">Total Salary Payable</t>
  </si>
  <si>
    <t xml:space="preserve">Net Salary Payable</t>
  </si>
  <si>
    <t xml:space="preserve">SALARY PAYABLE: SHRAWAN</t>
  </si>
  <si>
    <t xml:space="preserve">SALARY PAYABLE: BHADRA</t>
  </si>
  <si>
    <t xml:space="preserve">SALARY PAYABLE: ASHOJ</t>
  </si>
  <si>
    <t xml:space="preserve">SALARY PAYABLE: KARTHIK</t>
  </si>
  <si>
    <t xml:space="preserve">SALARY PAYABLE: MANGSHIR</t>
  </si>
  <si>
    <t xml:space="preserve">SALARY PAYABLE: POUSH</t>
  </si>
  <si>
    <t xml:space="preserve">SALARY PAYABLE: MAGH</t>
  </si>
  <si>
    <t xml:space="preserve">SALARY PAYABLE: FALGUN</t>
  </si>
  <si>
    <t xml:space="preserve">SALARY PAYABLE: CHAITRA</t>
  </si>
  <si>
    <t xml:space="preserve">SALARY PAYABLE: BAISAKH</t>
  </si>
  <si>
    <t xml:space="preserve">SALARY PAYABLE: JESTHA</t>
  </si>
  <si>
    <t xml:space="preserve">SALARY PAYABLE: ASHAR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</si>
</sst>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%"/>
    <numFmt numFmtId="167" formatCode="_(* #,##0.00_);_(* \(#,##0.00\);_(* \-??_);_(@_)"/>
  </numFmts>
  <fonts count="6">
    <font>
      <sz val="12"/>
      <color theme="1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2"/>
      <name val="Times New Roma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theme="5" tint="0.5999"/>
        <bgColor rgb="FFD9D9D9"/>
      </patternFill>
    </fill>
    <fill>
      <patternFill patternType="solid">
        <fgColor theme="0" tint="-0.15"/>
        <bgColor rgb="FFF8CBA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 pitchFamily="0" charset="1"/>
        <a:ea typeface="Times New Roman" pitchFamily="0" charset="1"/>
        <a:cs typeface="Times New Roman" pitchFamily="0" charset="1"/>
      </a:majorFont>
      <a:minorFont>
        <a:latin typeface="Times New Roman" pitchFamily="0" charset="1"/>
        <a:ea typeface="Times New Roma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E18" activeCellId="0" sqref="E18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1.88"/>
    <col collapsed="false" customWidth="true" hidden="false" outlineLevel="0" max="2" min="2" style="0" width="22.25"/>
    <col collapsed="false" customWidth="true" hidden="false" outlineLevel="0" max="3" min="3" style="0" width="4.5"/>
    <col collapsed="false" customWidth="true" hidden="false" outlineLevel="0" max="4" min="4" style="0" width="8.63"/>
    <col collapsed="false" customWidth="true" hidden="false" outlineLevel="0" max="5" min="5" style="0" width="13.12"/>
    <col collapsed="false" customWidth="true" hidden="false" outlineLevel="0" max="6" min="6" style="0" width="4.5"/>
    <col collapsed="false" customWidth="true" hidden="false" outlineLevel="0" max="26" min="7" style="0" width="8.63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A2" s="2" t="n">
        <v>1</v>
      </c>
      <c r="B2" s="2" t="s">
        <v>1</v>
      </c>
    </row>
    <row r="3" customFormat="false" ht="15.75" hidden="false" customHeight="true" outlineLevel="0" collapsed="false">
      <c r="A3" s="2" t="n">
        <v>2</v>
      </c>
      <c r="B3" s="2" t="s">
        <v>2</v>
      </c>
    </row>
    <row r="4" customFormat="false" ht="15.75" hidden="false" customHeight="true" outlineLevel="0" collapsed="false">
      <c r="A4" s="2" t="n">
        <v>3</v>
      </c>
      <c r="B4" s="2" t="s">
        <v>3</v>
      </c>
    </row>
    <row r="5" customFormat="false" ht="15.75" hidden="false" customHeight="true" outlineLevel="0" collapsed="false">
      <c r="A5" s="2" t="n">
        <v>4</v>
      </c>
      <c r="B5" s="2" t="s">
        <v>4</v>
      </c>
    </row>
    <row r="6" customFormat="false" ht="15.75" hidden="false" customHeight="true" outlineLevel="0" collapsed="false">
      <c r="B6" s="1" t="s">
        <v>5</v>
      </c>
    </row>
    <row r="7" customFormat="false" ht="15.75" hidden="false" customHeight="true" outlineLevel="0" collapsed="false">
      <c r="B7" s="3" t="s">
        <v>6</v>
      </c>
      <c r="C7" s="3"/>
      <c r="E7" s="3" t="s">
        <v>7</v>
      </c>
      <c r="F7" s="3"/>
    </row>
    <row r="8" customFormat="false" ht="15.75" hidden="false" customHeight="true" outlineLevel="0" collapsed="false">
      <c r="B8" s="4" t="s">
        <v>8</v>
      </c>
      <c r="C8" s="5" t="s">
        <v>9</v>
      </c>
      <c r="E8" s="4" t="s">
        <v>8</v>
      </c>
      <c r="F8" s="5" t="s">
        <v>9</v>
      </c>
    </row>
    <row r="9" customFormat="false" ht="15.75" hidden="false" customHeight="true" outlineLevel="0" collapsed="false">
      <c r="B9" s="6" t="n">
        <v>500000</v>
      </c>
      <c r="C9" s="7" t="n">
        <v>0.01</v>
      </c>
      <c r="E9" s="6" t="n">
        <v>600000</v>
      </c>
      <c r="F9" s="7" t="n">
        <v>0.01</v>
      </c>
    </row>
    <row r="10" customFormat="false" ht="15.75" hidden="false" customHeight="true" outlineLevel="0" collapsed="false">
      <c r="B10" s="6" t="n">
        <v>200000</v>
      </c>
      <c r="C10" s="7" t="n">
        <v>0.1</v>
      </c>
      <c r="E10" s="6" t="n">
        <v>200000</v>
      </c>
      <c r="F10" s="7" t="n">
        <v>0.1</v>
      </c>
    </row>
    <row r="11" customFormat="false" ht="15.75" hidden="false" customHeight="true" outlineLevel="0" collapsed="false">
      <c r="B11" s="6" t="n">
        <v>300000</v>
      </c>
      <c r="C11" s="7" t="n">
        <v>0.2</v>
      </c>
      <c r="E11" s="6" t="n">
        <v>300000</v>
      </c>
      <c r="F11" s="7" t="n">
        <v>0.2</v>
      </c>
    </row>
    <row r="12" customFormat="false" ht="15.75" hidden="false" customHeight="true" outlineLevel="0" collapsed="false">
      <c r="B12" s="6" t="n">
        <v>1000000</v>
      </c>
      <c r="C12" s="7" t="n">
        <v>0.3</v>
      </c>
      <c r="E12" s="6" t="n">
        <v>900000</v>
      </c>
      <c r="F12" s="7" t="n">
        <v>0.3</v>
      </c>
    </row>
    <row r="13" customFormat="false" ht="15.75" hidden="false" customHeight="true" outlineLevel="0" collapsed="false">
      <c r="B13" s="8" t="s">
        <v>10</v>
      </c>
      <c r="C13" s="9" t="n">
        <v>0.36</v>
      </c>
      <c r="E13" s="8" t="s">
        <v>10</v>
      </c>
      <c r="F13" s="9" t="n">
        <v>0.36</v>
      </c>
    </row>
    <row r="14" customFormat="false" ht="15.75" hidden="false" customHeight="true" outlineLevel="0" collapsed="false"/>
    <row r="15" customFormat="false" ht="15.75" hidden="false" customHeight="true" outlineLevel="0" collapsed="false">
      <c r="B15" s="1" t="s">
        <v>11</v>
      </c>
    </row>
    <row r="16" customFormat="false" ht="15.75" hidden="false" customHeight="true" outlineLevel="0" collapsed="false">
      <c r="A16" s="2" t="n">
        <v>1</v>
      </c>
      <c r="B16" s="2" t="s">
        <v>12</v>
      </c>
    </row>
    <row r="17" customFormat="false" ht="15.75" hidden="false" customHeight="true" outlineLevel="0" collapsed="false">
      <c r="B17" s="2" t="s">
        <v>13</v>
      </c>
    </row>
    <row r="18" customFormat="false" ht="15.75" hidden="false" customHeight="true" outlineLevel="0" collapsed="false">
      <c r="B18" s="2" t="s">
        <v>14</v>
      </c>
    </row>
    <row r="19" customFormat="false" ht="15.75" hidden="false" customHeight="true" outlineLevel="0" collapsed="false">
      <c r="B19" s="2" t="s">
        <v>15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n">
        <v>2</v>
      </c>
      <c r="B21" s="2" t="s">
        <v>16</v>
      </c>
    </row>
    <row r="22" customFormat="false" ht="15.75" hidden="false" customHeight="true" outlineLevel="0" collapsed="false">
      <c r="B22" s="2" t="s">
        <v>17</v>
      </c>
    </row>
    <row r="23" customFormat="false" ht="15.75" hidden="false" customHeight="true" outlineLevel="0" collapsed="false">
      <c r="B23" s="2" t="s">
        <v>18</v>
      </c>
    </row>
    <row r="24" customFormat="false" ht="15.75" hidden="false" customHeight="true" outlineLevel="0" collapsed="false"/>
    <row r="25" customFormat="false" ht="15.75" hidden="false" customHeight="true" outlineLevel="0" collapsed="false">
      <c r="A25" s="2" t="n">
        <v>3</v>
      </c>
      <c r="B25" s="2" t="s">
        <v>19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7:C7"/>
    <mergeCell ref="E7:F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46" colorId="64" zoomScale="78" zoomScaleNormal="78" zoomScalePageLayoutView="100" workbookViewId="0">
      <selection pane="topLeft" activeCell="J10" activeCellId="0" sqref="J10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3" min="2" style="0" width="16.88"/>
    <col collapsed="false" customWidth="true" hidden="false" outlineLevel="0" max="4" min="4" style="0" width="7.25"/>
    <col collapsed="false" customWidth="true" hidden="false" outlineLevel="0" max="6" min="5" style="0" width="8.38"/>
    <col collapsed="false" customWidth="true" hidden="false" outlineLevel="0" max="7" min="7" style="0" width="6.12"/>
    <col collapsed="false" customWidth="true" hidden="false" outlineLevel="0" max="8" min="8" style="0" width="8"/>
    <col collapsed="false" customWidth="true" hidden="false" outlineLevel="0" max="10" min="9" style="0" width="9.25"/>
    <col collapsed="false" customWidth="true" hidden="false" outlineLevel="0" max="11" min="11" style="0" width="14.38"/>
    <col collapsed="false" customWidth="true" hidden="false" outlineLevel="0" max="12" min="12" style="0" width="17.38"/>
  </cols>
  <sheetData>
    <row r="1" customFormat="false" ht="15.75" hidden="false" customHeight="true" outlineLevel="0" collapsed="false">
      <c r="A1" s="10" t="s">
        <v>20</v>
      </c>
      <c r="B1" s="11" t="s">
        <v>21</v>
      </c>
      <c r="C1" s="11" t="s">
        <v>22</v>
      </c>
      <c r="D1" s="12" t="s">
        <v>23</v>
      </c>
      <c r="E1" s="12" t="s">
        <v>24</v>
      </c>
      <c r="F1" s="12" t="s">
        <v>25</v>
      </c>
      <c r="G1" s="12" t="s">
        <v>26</v>
      </c>
      <c r="H1" s="13" t="s">
        <v>27</v>
      </c>
      <c r="I1" s="14" t="s">
        <v>28</v>
      </c>
      <c r="J1" s="15"/>
      <c r="K1" s="10" t="s">
        <v>20</v>
      </c>
      <c r="L1" s="11" t="s">
        <v>21</v>
      </c>
      <c r="M1" s="11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3" t="s">
        <v>27</v>
      </c>
      <c r="S1" s="14" t="s">
        <v>28</v>
      </c>
    </row>
    <row r="2" customFormat="false" ht="15.75" hidden="false" customHeight="true" outlineLevel="0" collapsed="false">
      <c r="A2" s="10"/>
      <c r="B2" s="11"/>
      <c r="C2" s="11"/>
      <c r="D2" s="16" t="s">
        <v>29</v>
      </c>
      <c r="E2" s="16" t="s">
        <v>30</v>
      </c>
      <c r="F2" s="16" t="s">
        <v>31</v>
      </c>
      <c r="G2" s="16" t="s">
        <v>32</v>
      </c>
      <c r="H2" s="17" t="s">
        <v>33</v>
      </c>
      <c r="I2" s="14"/>
      <c r="J2" s="18"/>
      <c r="K2" s="10"/>
      <c r="L2" s="11"/>
      <c r="M2" s="11"/>
      <c r="N2" s="16" t="s">
        <v>29</v>
      </c>
      <c r="O2" s="16" t="s">
        <v>30</v>
      </c>
      <c r="P2" s="16" t="s">
        <v>31</v>
      </c>
      <c r="Q2" s="16" t="s">
        <v>32</v>
      </c>
      <c r="R2" s="17" t="s">
        <v>33</v>
      </c>
      <c r="S2" s="14"/>
    </row>
    <row r="3" customFormat="false" ht="15.75" hidden="false" customHeight="true" outlineLevel="0" collapsed="false">
      <c r="A3" s="4" t="n">
        <v>101</v>
      </c>
      <c r="B3" s="19" t="str">
        <f aca="false">VLOOKUP(A3,'Staff Details'!$B$1:$C$7,2,0)</f>
        <v>Dwight K Schrute</v>
      </c>
      <c r="C3" s="19" t="n">
        <v>30</v>
      </c>
      <c r="D3" s="19" t="n">
        <f aca="false">C3-(E3+F3)-G3-H3</f>
        <v>25</v>
      </c>
      <c r="E3" s="19" t="n">
        <v>5</v>
      </c>
      <c r="F3" s="19" t="n">
        <v>0</v>
      </c>
      <c r="G3" s="19" t="n">
        <v>0</v>
      </c>
      <c r="H3" s="20" t="n">
        <v>0</v>
      </c>
      <c r="I3" s="19" t="n">
        <f aca="false">D3+E3+F3</f>
        <v>30</v>
      </c>
      <c r="J3" s="21"/>
      <c r="K3" s="4" t="n">
        <v>101</v>
      </c>
      <c r="L3" s="19" t="str">
        <f aca="false">VLOOKUP(K3,'Staff Details'!$B$1:$C$7,2,0)</f>
        <v>Dwight K Schrute</v>
      </c>
      <c r="M3" s="19" t="n">
        <v>30</v>
      </c>
      <c r="N3" s="19" t="n">
        <f aca="false">M3-(O3+P3)-Q3-R3</f>
        <v>24</v>
      </c>
      <c r="O3" s="19" t="n">
        <v>5</v>
      </c>
      <c r="P3" s="19" t="n">
        <v>0</v>
      </c>
      <c r="Q3" s="19" t="n">
        <v>1</v>
      </c>
      <c r="R3" s="20" t="n">
        <v>0</v>
      </c>
      <c r="S3" s="19" t="n">
        <f aca="false">N3+O3+P3</f>
        <v>29</v>
      </c>
    </row>
    <row r="4" customFormat="false" ht="15.75" hidden="false" customHeight="true" outlineLevel="0" collapsed="false">
      <c r="A4" s="4" t="n">
        <v>102</v>
      </c>
      <c r="B4" s="19" t="str">
        <f aca="false">VLOOKUP(A4,'Staff Details'!$B$1:$C$7,2,0)</f>
        <v>Rajesh Koothrapalli</v>
      </c>
      <c r="C4" s="19" t="n">
        <v>30</v>
      </c>
      <c r="D4" s="19" t="n">
        <f aca="false">C4-(E4+F4)-G4-H4</f>
        <v>20.5</v>
      </c>
      <c r="E4" s="19" t="n">
        <v>5</v>
      </c>
      <c r="F4" s="19" t="n">
        <v>0</v>
      </c>
      <c r="G4" s="19" t="n">
        <v>4</v>
      </c>
      <c r="H4" s="20" t="n">
        <v>0.5</v>
      </c>
      <c r="I4" s="19" t="n">
        <f aca="false">D4+E4+F4</f>
        <v>25.5</v>
      </c>
      <c r="J4" s="21"/>
      <c r="K4" s="4" t="n">
        <v>102</v>
      </c>
      <c r="L4" s="19" t="str">
        <f aca="false">VLOOKUP(K4,'Staff Details'!$B$1:$C$7,2,0)</f>
        <v>Rajesh Koothrapalli</v>
      </c>
      <c r="M4" s="19" t="n">
        <v>30</v>
      </c>
      <c r="N4" s="19" t="n">
        <f aca="false">M4-(O4+P4)-Q4-R4</f>
        <v>24</v>
      </c>
      <c r="O4" s="19" t="n">
        <v>5</v>
      </c>
      <c r="P4" s="19" t="n">
        <v>0</v>
      </c>
      <c r="Q4" s="19" t="n">
        <v>0</v>
      </c>
      <c r="R4" s="20" t="n">
        <v>1</v>
      </c>
      <c r="S4" s="19" t="n">
        <f aca="false">N4+O4+P4</f>
        <v>29</v>
      </c>
    </row>
    <row r="5" customFormat="false" ht="15.75" hidden="false" customHeight="true" outlineLevel="0" collapsed="false">
      <c r="A5" s="4" t="n">
        <v>103</v>
      </c>
      <c r="B5" s="19" t="str">
        <f aca="false">VLOOKUP(A5,'Staff Details'!$B$1:$C$7,2,0)</f>
        <v>Leonard Hoffstader</v>
      </c>
      <c r="C5" s="19" t="n">
        <v>30</v>
      </c>
      <c r="D5" s="19" t="n">
        <f aca="false">C5-(E5+F5)-G5-H5</f>
        <v>22</v>
      </c>
      <c r="E5" s="19" t="n">
        <v>5</v>
      </c>
      <c r="F5" s="19" t="n">
        <v>0</v>
      </c>
      <c r="G5" s="19" t="n">
        <v>3</v>
      </c>
      <c r="H5" s="20" t="n">
        <v>0</v>
      </c>
      <c r="I5" s="19" t="n">
        <f aca="false">D5+E5+F5</f>
        <v>27</v>
      </c>
      <c r="J5" s="21"/>
      <c r="K5" s="4" t="n">
        <v>103</v>
      </c>
      <c r="L5" s="19" t="str">
        <f aca="false">VLOOKUP(K5,'Staff Details'!$B$1:$C$7,2,0)</f>
        <v>Leonard Hoffstader</v>
      </c>
      <c r="M5" s="19" t="n">
        <v>30</v>
      </c>
      <c r="N5" s="19" t="n">
        <f aca="false">M5-(O5+P5)-Q5-R5</f>
        <v>25</v>
      </c>
      <c r="O5" s="19" t="n">
        <v>5</v>
      </c>
      <c r="P5" s="19" t="n">
        <v>0</v>
      </c>
      <c r="Q5" s="19" t="n">
        <v>0</v>
      </c>
      <c r="R5" s="20" t="n">
        <v>0</v>
      </c>
      <c r="S5" s="19" t="n">
        <f aca="false">N5+O5+P5</f>
        <v>30</v>
      </c>
    </row>
    <row r="6" customFormat="false" ht="15.75" hidden="false" customHeight="true" outlineLevel="0" collapsed="false">
      <c r="A6" s="4" t="n">
        <v>104</v>
      </c>
      <c r="B6" s="19" t="str">
        <f aca="false">VLOOKUP(A6,'Staff Details'!$B$1:$C$7,2,0)</f>
        <v>Howard Wolowitz</v>
      </c>
      <c r="C6" s="19" t="n">
        <v>30</v>
      </c>
      <c r="D6" s="19" t="n">
        <f aca="false">C6-(E6+F6)-G6-H6</f>
        <v>22</v>
      </c>
      <c r="E6" s="19" t="n">
        <v>5</v>
      </c>
      <c r="F6" s="19" t="n">
        <v>0</v>
      </c>
      <c r="G6" s="19" t="n">
        <v>3</v>
      </c>
      <c r="H6" s="20" t="n">
        <v>0</v>
      </c>
      <c r="I6" s="19" t="n">
        <f aca="false">D6+E6+F6</f>
        <v>27</v>
      </c>
      <c r="J6" s="21"/>
      <c r="K6" s="4" t="n">
        <v>104</v>
      </c>
      <c r="L6" s="19" t="str">
        <f aca="false">VLOOKUP(K6,'Staff Details'!$B$1:$C$7,2,0)</f>
        <v>Howard Wolowitz</v>
      </c>
      <c r="M6" s="19" t="n">
        <v>30</v>
      </c>
      <c r="N6" s="19" t="n">
        <f aca="false">M6-(O6+P6)-Q6-R6</f>
        <v>23</v>
      </c>
      <c r="O6" s="19" t="n">
        <v>5</v>
      </c>
      <c r="P6" s="19" t="n">
        <v>0</v>
      </c>
      <c r="Q6" s="19" t="n">
        <v>2</v>
      </c>
      <c r="R6" s="20" t="n">
        <v>0</v>
      </c>
      <c r="S6" s="19" t="n">
        <f aca="false">N6+O6+P6</f>
        <v>28</v>
      </c>
    </row>
    <row r="7" customFormat="false" ht="15.75" hidden="false" customHeight="true" outlineLevel="0" collapsed="false">
      <c r="A7" s="4" t="n">
        <v>105</v>
      </c>
      <c r="B7" s="19" t="str">
        <f aca="false">VLOOKUP(A7,'Staff Details'!$B$1:$C$7,2,0)</f>
        <v>Sheldon Cooper</v>
      </c>
      <c r="C7" s="19" t="n">
        <v>30</v>
      </c>
      <c r="D7" s="19" t="n">
        <f aca="false">C7-(E7+F7)-G7-H7</f>
        <v>25</v>
      </c>
      <c r="E7" s="19" t="n">
        <v>5</v>
      </c>
      <c r="F7" s="19" t="n">
        <v>0</v>
      </c>
      <c r="G7" s="19" t="n">
        <v>0</v>
      </c>
      <c r="H7" s="20" t="n">
        <v>0</v>
      </c>
      <c r="I7" s="19" t="n">
        <f aca="false">D7+E7+F7</f>
        <v>30</v>
      </c>
      <c r="J7" s="21"/>
      <c r="K7" s="4" t="n">
        <v>105</v>
      </c>
      <c r="L7" s="19" t="str">
        <f aca="false">VLOOKUP(K7,'Staff Details'!$B$1:$C$7,2,0)</f>
        <v>Sheldon Cooper</v>
      </c>
      <c r="M7" s="19" t="n">
        <v>30</v>
      </c>
      <c r="N7" s="19" t="n">
        <f aca="false">M7-(O7+P7)-Q7-R7</f>
        <v>20</v>
      </c>
      <c r="O7" s="19" t="n">
        <v>5</v>
      </c>
      <c r="P7" s="19" t="n">
        <v>0</v>
      </c>
      <c r="Q7" s="19" t="n">
        <v>5</v>
      </c>
      <c r="R7" s="20" t="n">
        <v>0</v>
      </c>
      <c r="S7" s="19" t="n">
        <f aca="false">N7+O7+P7</f>
        <v>25</v>
      </c>
    </row>
    <row r="8" customFormat="false" ht="15.75" hidden="false" customHeight="true" outlineLevel="0" collapsed="false">
      <c r="A8" s="22" t="n">
        <v>106</v>
      </c>
      <c r="B8" s="23" t="str">
        <f aca="false">VLOOKUP(A8,'Staff Details'!$B$1:$C$7,2,0)</f>
        <v>Euler</v>
      </c>
      <c r="C8" s="19" t="n">
        <v>30</v>
      </c>
      <c r="D8" s="23" t="n">
        <f aca="false">C8-(E8+F8)-G8-H8</f>
        <v>25</v>
      </c>
      <c r="E8" s="23" t="n">
        <v>5</v>
      </c>
      <c r="F8" s="23" t="n">
        <v>0</v>
      </c>
      <c r="G8" s="23" t="n">
        <v>0</v>
      </c>
      <c r="H8" s="24" t="n">
        <v>0</v>
      </c>
      <c r="I8" s="23" t="n">
        <f aca="false">D8+E8+F8</f>
        <v>30</v>
      </c>
      <c r="J8" s="21"/>
      <c r="K8" s="22" t="n">
        <v>106</v>
      </c>
      <c r="L8" s="23" t="str">
        <f aca="false">VLOOKUP(K8,'Staff Details'!$B$1:$C$7,2,0)</f>
        <v>Euler</v>
      </c>
      <c r="M8" s="23" t="n">
        <v>30</v>
      </c>
      <c r="N8" s="23" t="n">
        <f aca="false">M8-(O8+P8)-Q8-R8</f>
        <v>23</v>
      </c>
      <c r="O8" s="23" t="n">
        <v>5</v>
      </c>
      <c r="P8" s="23" t="n">
        <v>0</v>
      </c>
      <c r="Q8" s="23" t="n">
        <v>2</v>
      </c>
      <c r="R8" s="24" t="n">
        <v>0</v>
      </c>
      <c r="S8" s="23" t="n">
        <f aca="false">N8+O8+P8</f>
        <v>28</v>
      </c>
    </row>
    <row r="9" customFormat="false" ht="15.75" hidden="false" customHeight="true" outlineLevel="0" collapsed="false">
      <c r="A9" s="25" t="s">
        <v>34</v>
      </c>
      <c r="B9" s="25"/>
      <c r="C9" s="25"/>
      <c r="D9" s="25"/>
      <c r="E9" s="25"/>
      <c r="F9" s="25"/>
      <c r="G9" s="25"/>
      <c r="H9" s="25"/>
      <c r="I9" s="25"/>
      <c r="K9" s="25" t="s">
        <v>35</v>
      </c>
      <c r="L9" s="25"/>
      <c r="M9" s="25"/>
      <c r="N9" s="25"/>
      <c r="O9" s="25"/>
      <c r="P9" s="25"/>
      <c r="Q9" s="25"/>
      <c r="R9" s="25"/>
      <c r="S9" s="25"/>
    </row>
    <row r="10" customFormat="false" ht="15.75" hidden="false" customHeight="true" outlineLevel="0" collapsed="false"/>
    <row r="11" customFormat="false" ht="15.75" hidden="false" customHeight="true" outlineLevel="0" collapsed="false">
      <c r="A11" s="10" t="s">
        <v>20</v>
      </c>
      <c r="B11" s="11" t="s">
        <v>21</v>
      </c>
      <c r="C11" s="11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3" t="s">
        <v>27</v>
      </c>
      <c r="I11" s="14" t="s">
        <v>28</v>
      </c>
      <c r="K11" s="10" t="s">
        <v>20</v>
      </c>
      <c r="L11" s="11" t="s">
        <v>21</v>
      </c>
      <c r="M11" s="11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3" t="s">
        <v>27</v>
      </c>
      <c r="S11" s="14" t="s">
        <v>28</v>
      </c>
    </row>
    <row r="12" customFormat="false" ht="15.75" hidden="false" customHeight="true" outlineLevel="0" collapsed="false">
      <c r="A12" s="10"/>
      <c r="B12" s="11"/>
      <c r="C12" s="11"/>
      <c r="D12" s="16" t="s">
        <v>29</v>
      </c>
      <c r="E12" s="16" t="s">
        <v>30</v>
      </c>
      <c r="F12" s="16" t="s">
        <v>31</v>
      </c>
      <c r="G12" s="16" t="s">
        <v>32</v>
      </c>
      <c r="H12" s="17" t="s">
        <v>33</v>
      </c>
      <c r="I12" s="14"/>
      <c r="K12" s="10"/>
      <c r="L12" s="11"/>
      <c r="M12" s="11"/>
      <c r="N12" s="16" t="s">
        <v>29</v>
      </c>
      <c r="O12" s="16" t="s">
        <v>30</v>
      </c>
      <c r="P12" s="16" t="s">
        <v>31</v>
      </c>
      <c r="Q12" s="16" t="s">
        <v>32</v>
      </c>
      <c r="R12" s="17" t="s">
        <v>33</v>
      </c>
      <c r="S12" s="14"/>
    </row>
    <row r="13" customFormat="false" ht="15.75" hidden="false" customHeight="true" outlineLevel="0" collapsed="false">
      <c r="A13" s="4" t="n">
        <v>101</v>
      </c>
      <c r="B13" s="19" t="str">
        <f aca="false">VLOOKUP(A13,'Staff Details'!$B$1:$C$7,2,0)</f>
        <v>Dwight K Schrute</v>
      </c>
      <c r="C13" s="19" t="n">
        <v>30</v>
      </c>
      <c r="D13" s="19" t="n">
        <f aca="false">C13-(E13+F13)-G13-H13</f>
        <v>21</v>
      </c>
      <c r="E13" s="19" t="n">
        <v>5</v>
      </c>
      <c r="F13" s="19" t="n">
        <v>0</v>
      </c>
      <c r="G13" s="19" t="n">
        <v>4</v>
      </c>
      <c r="H13" s="20" t="n">
        <v>0</v>
      </c>
      <c r="I13" s="19" t="n">
        <f aca="false">D13+E13+F13</f>
        <v>26</v>
      </c>
      <c r="K13" s="4" t="n">
        <v>101</v>
      </c>
      <c r="L13" s="19" t="str">
        <f aca="false">VLOOKUP(K13,'Staff Details'!$B$1:$C$7,2,0)</f>
        <v>Dwight K Schrute</v>
      </c>
      <c r="M13" s="19" t="n">
        <v>30</v>
      </c>
      <c r="N13" s="19" t="n">
        <f aca="false">M13-(O13+P13)-Q13-R13</f>
        <v>22</v>
      </c>
      <c r="O13" s="19" t="n">
        <v>5</v>
      </c>
      <c r="P13" s="19" t="n">
        <v>0</v>
      </c>
      <c r="Q13" s="19" t="n">
        <v>2</v>
      </c>
      <c r="R13" s="20" t="n">
        <v>1</v>
      </c>
      <c r="S13" s="19" t="n">
        <f aca="false">N13+O13+P13</f>
        <v>27</v>
      </c>
    </row>
    <row r="14" customFormat="false" ht="15.75" hidden="false" customHeight="true" outlineLevel="0" collapsed="false">
      <c r="A14" s="4" t="n">
        <v>102</v>
      </c>
      <c r="B14" s="19" t="str">
        <f aca="false">VLOOKUP(A14,'Staff Details'!$B$1:$C$7,2,0)</f>
        <v>Rajesh Koothrapalli</v>
      </c>
      <c r="C14" s="19" t="n">
        <v>30</v>
      </c>
      <c r="D14" s="19" t="n">
        <f aca="false">C14-(E14+F14)-G14-H14</f>
        <v>25</v>
      </c>
      <c r="E14" s="19" t="n">
        <v>5</v>
      </c>
      <c r="F14" s="19" t="n">
        <v>0</v>
      </c>
      <c r="G14" s="19" t="n">
        <v>0</v>
      </c>
      <c r="H14" s="20" t="n">
        <v>0</v>
      </c>
      <c r="I14" s="19" t="n">
        <f aca="false">D14+E14+F14</f>
        <v>30</v>
      </c>
      <c r="K14" s="4" t="n">
        <v>102</v>
      </c>
      <c r="L14" s="19" t="str">
        <f aca="false">VLOOKUP(K14,'Staff Details'!$B$1:$C$7,2,0)</f>
        <v>Rajesh Koothrapalli</v>
      </c>
      <c r="M14" s="19" t="n">
        <v>30</v>
      </c>
      <c r="N14" s="19" t="n">
        <f aca="false">M14-(O14+P14)-Q14-R14</f>
        <v>25</v>
      </c>
      <c r="O14" s="19" t="n">
        <v>5</v>
      </c>
      <c r="P14" s="19" t="n">
        <v>0</v>
      </c>
      <c r="Q14" s="19" t="n">
        <v>0</v>
      </c>
      <c r="R14" s="20" t="n">
        <v>0</v>
      </c>
      <c r="S14" s="19" t="n">
        <f aca="false">N14+O14+P14</f>
        <v>30</v>
      </c>
    </row>
    <row r="15" customFormat="false" ht="15.75" hidden="false" customHeight="true" outlineLevel="0" collapsed="false">
      <c r="A15" s="4" t="n">
        <v>103</v>
      </c>
      <c r="B15" s="19" t="str">
        <f aca="false">VLOOKUP(A15,'Staff Details'!$B$1:$C$7,2,0)</f>
        <v>Leonard Hoffstader</v>
      </c>
      <c r="C15" s="19" t="n">
        <v>30</v>
      </c>
      <c r="D15" s="19" t="n">
        <f aca="false">C15-(E15+F15)-G15-H15</f>
        <v>25</v>
      </c>
      <c r="E15" s="19" t="n">
        <v>5</v>
      </c>
      <c r="F15" s="19" t="n">
        <v>0</v>
      </c>
      <c r="G15" s="19" t="n">
        <v>0</v>
      </c>
      <c r="H15" s="20" t="n">
        <v>0</v>
      </c>
      <c r="I15" s="19" t="n">
        <f aca="false">D15+E15+F15</f>
        <v>30</v>
      </c>
      <c r="K15" s="4" t="n">
        <v>103</v>
      </c>
      <c r="L15" s="19" t="str">
        <f aca="false">VLOOKUP(K15,'Staff Details'!$B$1:$C$7,2,0)</f>
        <v>Leonard Hoffstader</v>
      </c>
      <c r="M15" s="19" t="n">
        <v>30</v>
      </c>
      <c r="N15" s="19" t="n">
        <f aca="false">M15-(O15+P15)-Q15-R15</f>
        <v>25</v>
      </c>
      <c r="O15" s="19" t="n">
        <v>5</v>
      </c>
      <c r="P15" s="19" t="n">
        <v>0</v>
      </c>
      <c r="Q15" s="19" t="n">
        <v>0</v>
      </c>
      <c r="R15" s="20" t="n">
        <v>0</v>
      </c>
      <c r="S15" s="19" t="n">
        <f aca="false">N15+O15+P15</f>
        <v>30</v>
      </c>
    </row>
    <row r="16" customFormat="false" ht="15.75" hidden="false" customHeight="true" outlineLevel="0" collapsed="false">
      <c r="A16" s="4" t="n">
        <v>104</v>
      </c>
      <c r="B16" s="19" t="str">
        <f aca="false">VLOOKUP(A16,'Staff Details'!$B$1:$C$7,2,0)</f>
        <v>Howard Wolowitz</v>
      </c>
      <c r="C16" s="19" t="n">
        <v>30</v>
      </c>
      <c r="D16" s="19" t="n">
        <f aca="false">C16-(E16+F16)-G16-H16</f>
        <v>20</v>
      </c>
      <c r="E16" s="19" t="n">
        <v>5</v>
      </c>
      <c r="F16" s="19" t="n">
        <v>0</v>
      </c>
      <c r="G16" s="19" t="n">
        <v>5</v>
      </c>
      <c r="H16" s="20" t="n">
        <v>0</v>
      </c>
      <c r="I16" s="19" t="n">
        <f aca="false">D16+E16+F16</f>
        <v>25</v>
      </c>
      <c r="K16" s="4" t="n">
        <v>104</v>
      </c>
      <c r="L16" s="19" t="str">
        <f aca="false">VLOOKUP(K16,'Staff Details'!$B$1:$C$7,2,0)</f>
        <v>Howard Wolowitz</v>
      </c>
      <c r="M16" s="19" t="n">
        <v>30</v>
      </c>
      <c r="N16" s="19" t="n">
        <f aca="false">M16-(O16+P16)-Q16-R16</f>
        <v>24</v>
      </c>
      <c r="O16" s="19" t="n">
        <v>5</v>
      </c>
      <c r="P16" s="19" t="n">
        <v>0</v>
      </c>
      <c r="Q16" s="19" t="n">
        <v>1</v>
      </c>
      <c r="R16" s="20" t="n">
        <v>0</v>
      </c>
      <c r="S16" s="19" t="n">
        <f aca="false">N16+O16+P16</f>
        <v>29</v>
      </c>
    </row>
    <row r="17" customFormat="false" ht="15.75" hidden="false" customHeight="true" outlineLevel="0" collapsed="false">
      <c r="A17" s="4" t="n">
        <v>105</v>
      </c>
      <c r="B17" s="19" t="str">
        <f aca="false">VLOOKUP(A17,'Staff Details'!$B$1:$C$7,2,0)</f>
        <v>Sheldon Cooper</v>
      </c>
      <c r="C17" s="19" t="n">
        <v>30</v>
      </c>
      <c r="D17" s="19" t="n">
        <f aca="false">C17-(E17+F17)-G17-H17</f>
        <v>21</v>
      </c>
      <c r="E17" s="19" t="n">
        <v>5</v>
      </c>
      <c r="F17" s="19" t="n">
        <v>0</v>
      </c>
      <c r="G17" s="19" t="n">
        <v>4</v>
      </c>
      <c r="H17" s="20" t="n">
        <v>0</v>
      </c>
      <c r="I17" s="19" t="n">
        <f aca="false">D17+E17+F17</f>
        <v>26</v>
      </c>
      <c r="K17" s="4" t="n">
        <v>105</v>
      </c>
      <c r="L17" s="19" t="str">
        <f aca="false">VLOOKUP(K17,'Staff Details'!$B$1:$C$7,2,0)</f>
        <v>Sheldon Cooper</v>
      </c>
      <c r="M17" s="19" t="n">
        <v>30</v>
      </c>
      <c r="N17" s="19" t="n">
        <f aca="false">M17-(O17+P17)-Q17-R17</f>
        <v>22</v>
      </c>
      <c r="O17" s="19" t="n">
        <v>5</v>
      </c>
      <c r="P17" s="19" t="n">
        <v>0</v>
      </c>
      <c r="Q17" s="19" t="n">
        <v>2</v>
      </c>
      <c r="R17" s="20" t="n">
        <v>1</v>
      </c>
      <c r="S17" s="19" t="n">
        <f aca="false">N17+O17+P17</f>
        <v>27</v>
      </c>
    </row>
    <row r="18" customFormat="false" ht="15.75" hidden="false" customHeight="true" outlineLevel="0" collapsed="false">
      <c r="A18" s="22" t="n">
        <v>106</v>
      </c>
      <c r="B18" s="23" t="str">
        <f aca="false">VLOOKUP(A18,'Staff Details'!$B$1:$C$7,2,0)</f>
        <v>Euler</v>
      </c>
      <c r="C18" s="19" t="n">
        <v>30</v>
      </c>
      <c r="D18" s="23" t="n">
        <f aca="false">C18-(E18+F18)-G18-H18</f>
        <v>25</v>
      </c>
      <c r="E18" s="23" t="n">
        <v>5</v>
      </c>
      <c r="F18" s="23" t="n">
        <v>0</v>
      </c>
      <c r="G18" s="23" t="n">
        <v>0</v>
      </c>
      <c r="H18" s="24" t="n">
        <v>0</v>
      </c>
      <c r="I18" s="23" t="n">
        <f aca="false">D18+E18+F18</f>
        <v>30</v>
      </c>
      <c r="K18" s="22" t="n">
        <v>106</v>
      </c>
      <c r="L18" s="23" t="str">
        <f aca="false">VLOOKUP(K18,'Staff Details'!$B$1:$C$7,2,0)</f>
        <v>Euler</v>
      </c>
      <c r="M18" s="19" t="n">
        <v>30</v>
      </c>
      <c r="N18" s="23" t="n">
        <f aca="false">M18-(O18+P18)-Q18-R18</f>
        <v>25</v>
      </c>
      <c r="O18" s="23" t="n">
        <v>5</v>
      </c>
      <c r="P18" s="23" t="n">
        <v>0</v>
      </c>
      <c r="Q18" s="23" t="n">
        <v>0</v>
      </c>
      <c r="R18" s="24" t="n">
        <v>0</v>
      </c>
      <c r="S18" s="23" t="n">
        <f aca="false">N18+O18+P18</f>
        <v>30</v>
      </c>
    </row>
    <row r="19" customFormat="false" ht="15.75" hidden="false" customHeight="true" outlineLevel="0" collapsed="false">
      <c r="A19" s="25" t="s">
        <v>36</v>
      </c>
      <c r="B19" s="25"/>
      <c r="C19" s="25"/>
      <c r="D19" s="25"/>
      <c r="E19" s="25"/>
      <c r="F19" s="25"/>
      <c r="G19" s="25"/>
      <c r="H19" s="25"/>
      <c r="I19" s="25"/>
      <c r="K19" s="25" t="s">
        <v>37</v>
      </c>
      <c r="L19" s="25"/>
      <c r="M19" s="25"/>
      <c r="N19" s="25"/>
      <c r="O19" s="25"/>
      <c r="P19" s="25"/>
      <c r="Q19" s="25"/>
      <c r="R19" s="25"/>
      <c r="S19" s="25"/>
    </row>
    <row r="20" customFormat="false" ht="15.75" hidden="false" customHeight="true" outlineLevel="0" collapsed="false"/>
    <row r="21" customFormat="false" ht="15.75" hidden="false" customHeight="true" outlineLevel="0" collapsed="false">
      <c r="A21" s="10" t="s">
        <v>20</v>
      </c>
      <c r="B21" s="11" t="s">
        <v>21</v>
      </c>
      <c r="C21" s="11" t="s">
        <v>22</v>
      </c>
      <c r="D21" s="12" t="s">
        <v>23</v>
      </c>
      <c r="E21" s="12" t="s">
        <v>24</v>
      </c>
      <c r="F21" s="12" t="s">
        <v>25</v>
      </c>
      <c r="G21" s="12" t="s">
        <v>26</v>
      </c>
      <c r="H21" s="13" t="s">
        <v>27</v>
      </c>
      <c r="I21" s="14" t="s">
        <v>28</v>
      </c>
      <c r="K21" s="10" t="s">
        <v>20</v>
      </c>
      <c r="L21" s="11" t="s">
        <v>21</v>
      </c>
      <c r="M21" s="11" t="s">
        <v>22</v>
      </c>
      <c r="N21" s="12" t="s">
        <v>23</v>
      </c>
      <c r="O21" s="12" t="s">
        <v>24</v>
      </c>
      <c r="P21" s="12" t="s">
        <v>25</v>
      </c>
      <c r="Q21" s="12" t="s">
        <v>26</v>
      </c>
      <c r="R21" s="13" t="s">
        <v>27</v>
      </c>
      <c r="S21" s="14" t="s">
        <v>28</v>
      </c>
    </row>
    <row r="22" customFormat="false" ht="15.75" hidden="false" customHeight="true" outlineLevel="0" collapsed="false">
      <c r="A22" s="10"/>
      <c r="B22" s="11"/>
      <c r="C22" s="11"/>
      <c r="D22" s="16" t="s">
        <v>29</v>
      </c>
      <c r="E22" s="16" t="s">
        <v>30</v>
      </c>
      <c r="F22" s="16" t="s">
        <v>31</v>
      </c>
      <c r="G22" s="16" t="s">
        <v>32</v>
      </c>
      <c r="H22" s="17" t="s">
        <v>33</v>
      </c>
      <c r="I22" s="14"/>
      <c r="K22" s="10"/>
      <c r="L22" s="11"/>
      <c r="M22" s="11"/>
      <c r="N22" s="16" t="s">
        <v>29</v>
      </c>
      <c r="O22" s="16" t="s">
        <v>30</v>
      </c>
      <c r="P22" s="16" t="s">
        <v>31</v>
      </c>
      <c r="Q22" s="16" t="s">
        <v>32</v>
      </c>
      <c r="R22" s="17" t="s">
        <v>33</v>
      </c>
      <c r="S22" s="14"/>
    </row>
    <row r="23" customFormat="false" ht="15.75" hidden="false" customHeight="true" outlineLevel="0" collapsed="false">
      <c r="A23" s="4" t="n">
        <v>101</v>
      </c>
      <c r="B23" s="19" t="str">
        <f aca="false">VLOOKUP(A23,'Staff Details'!$B$1:$C$7,2,0)</f>
        <v>Dwight K Schrute</v>
      </c>
      <c r="C23" s="19" t="n">
        <v>31</v>
      </c>
      <c r="D23" s="19" t="n">
        <f aca="false">C23-(E23+F23)-G23-H23</f>
        <v>21</v>
      </c>
      <c r="E23" s="19" t="n">
        <v>5</v>
      </c>
      <c r="F23" s="19" t="n">
        <v>0</v>
      </c>
      <c r="G23" s="19" t="n">
        <v>5</v>
      </c>
      <c r="H23" s="20" t="n">
        <v>0</v>
      </c>
      <c r="I23" s="19" t="n">
        <f aca="false">D23+E23+F23</f>
        <v>26</v>
      </c>
      <c r="K23" s="4" t="n">
        <v>101</v>
      </c>
      <c r="L23" s="19" t="str">
        <f aca="false">VLOOKUP(K23,'Staff Details'!$B$1:$C$7,2,0)</f>
        <v>Dwight K Schrute</v>
      </c>
      <c r="M23" s="19" t="n">
        <v>31</v>
      </c>
      <c r="N23" s="19" t="n">
        <f aca="false">M23-(O23+P23)-Q23-R23</f>
        <v>25</v>
      </c>
      <c r="O23" s="19" t="n">
        <v>5</v>
      </c>
      <c r="P23" s="19" t="n">
        <v>0</v>
      </c>
      <c r="Q23" s="19" t="n">
        <v>1</v>
      </c>
      <c r="R23" s="20" t="n">
        <v>0</v>
      </c>
      <c r="S23" s="19" t="n">
        <f aca="false">N23+O23+P23</f>
        <v>30</v>
      </c>
    </row>
    <row r="24" customFormat="false" ht="15.75" hidden="false" customHeight="true" outlineLevel="0" collapsed="false">
      <c r="A24" s="4" t="n">
        <v>102</v>
      </c>
      <c r="B24" s="19" t="str">
        <f aca="false">VLOOKUP(A24,'Staff Details'!$B$1:$C$7,2,0)</f>
        <v>Rajesh Koothrapalli</v>
      </c>
      <c r="C24" s="19" t="n">
        <v>31</v>
      </c>
      <c r="D24" s="19" t="n">
        <f aca="false">C24-(E24+F24)-G24-H24</f>
        <v>26</v>
      </c>
      <c r="E24" s="19" t="n">
        <v>5</v>
      </c>
      <c r="F24" s="19" t="n">
        <v>0</v>
      </c>
      <c r="G24" s="19" t="n">
        <v>0</v>
      </c>
      <c r="H24" s="20" t="n">
        <v>0</v>
      </c>
      <c r="I24" s="19" t="n">
        <f aca="false">D24+E24+F24</f>
        <v>31</v>
      </c>
      <c r="K24" s="4" t="n">
        <v>102</v>
      </c>
      <c r="L24" s="19" t="str">
        <f aca="false">VLOOKUP(K24,'Staff Details'!$B$1:$C$7,2,0)</f>
        <v>Rajesh Koothrapalli</v>
      </c>
      <c r="M24" s="19" t="n">
        <v>31</v>
      </c>
      <c r="N24" s="19" t="n">
        <f aca="false">M24-(O24+P24)-Q24-R24</f>
        <v>26</v>
      </c>
      <c r="O24" s="19" t="n">
        <v>5</v>
      </c>
      <c r="P24" s="19" t="n">
        <v>0</v>
      </c>
      <c r="Q24" s="19" t="n">
        <v>0</v>
      </c>
      <c r="R24" s="20" t="n">
        <v>0</v>
      </c>
      <c r="S24" s="19" t="n">
        <f aca="false">N24+O24+P24</f>
        <v>31</v>
      </c>
    </row>
    <row r="25" customFormat="false" ht="15.75" hidden="false" customHeight="true" outlineLevel="0" collapsed="false">
      <c r="A25" s="4" t="n">
        <v>103</v>
      </c>
      <c r="B25" s="19" t="str">
        <f aca="false">VLOOKUP(A25,'Staff Details'!$B$1:$C$7,2,0)</f>
        <v>Leonard Hoffstader</v>
      </c>
      <c r="C25" s="19" t="n">
        <v>31</v>
      </c>
      <c r="D25" s="19" t="n">
        <f aca="false">C25-(E25+F25)-G25-H25</f>
        <v>26</v>
      </c>
      <c r="E25" s="19" t="n">
        <v>5</v>
      </c>
      <c r="F25" s="19" t="n">
        <v>0</v>
      </c>
      <c r="G25" s="19" t="n">
        <v>0</v>
      </c>
      <c r="H25" s="20" t="n">
        <v>0</v>
      </c>
      <c r="I25" s="19" t="n">
        <f aca="false">D25+E25+F25</f>
        <v>31</v>
      </c>
      <c r="K25" s="4" t="n">
        <v>103</v>
      </c>
      <c r="L25" s="19" t="str">
        <f aca="false">VLOOKUP(K25,'Staff Details'!$B$1:$C$7,2,0)</f>
        <v>Leonard Hoffstader</v>
      </c>
      <c r="M25" s="19" t="n">
        <v>31</v>
      </c>
      <c r="N25" s="19" t="n">
        <f aca="false">M25-(O25+P25)-Q25-R25</f>
        <v>26</v>
      </c>
      <c r="O25" s="19" t="n">
        <v>5</v>
      </c>
      <c r="P25" s="19" t="n">
        <v>0</v>
      </c>
      <c r="Q25" s="19" t="n">
        <v>0</v>
      </c>
      <c r="R25" s="20" t="n">
        <v>0</v>
      </c>
      <c r="S25" s="19" t="n">
        <f aca="false">N25+O25+P25</f>
        <v>31</v>
      </c>
    </row>
    <row r="26" customFormat="false" ht="15.75" hidden="false" customHeight="true" outlineLevel="0" collapsed="false">
      <c r="A26" s="4" t="n">
        <v>104</v>
      </c>
      <c r="B26" s="19" t="str">
        <f aca="false">VLOOKUP(A26,'Staff Details'!$B$1:$C$7,2,0)</f>
        <v>Howard Wolowitz</v>
      </c>
      <c r="C26" s="19" t="n">
        <v>31</v>
      </c>
      <c r="D26" s="19" t="n">
        <f aca="false">C26-(E26+F26)-G26-H26</f>
        <v>22</v>
      </c>
      <c r="E26" s="19" t="n">
        <v>5</v>
      </c>
      <c r="F26" s="19" t="n">
        <v>0</v>
      </c>
      <c r="G26" s="19" t="n">
        <v>4</v>
      </c>
      <c r="H26" s="20" t="n">
        <v>0</v>
      </c>
      <c r="I26" s="19" t="n">
        <f aca="false">D26+E26+F26</f>
        <v>27</v>
      </c>
      <c r="K26" s="4" t="n">
        <v>104</v>
      </c>
      <c r="L26" s="19" t="str">
        <f aca="false">VLOOKUP(K26,'Staff Details'!$B$1:$C$7,2,0)</f>
        <v>Howard Wolowitz</v>
      </c>
      <c r="M26" s="19" t="n">
        <v>31</v>
      </c>
      <c r="N26" s="19" t="n">
        <f aca="false">M26-(O26+P26)-Q26-R26</f>
        <v>24</v>
      </c>
      <c r="O26" s="19" t="n">
        <v>5</v>
      </c>
      <c r="P26" s="19" t="n">
        <v>0</v>
      </c>
      <c r="Q26" s="19" t="n">
        <v>2</v>
      </c>
      <c r="R26" s="20" t="n">
        <v>0</v>
      </c>
      <c r="S26" s="19" t="n">
        <f aca="false">N26+O26+P26</f>
        <v>29</v>
      </c>
    </row>
    <row r="27" customFormat="false" ht="15.75" hidden="false" customHeight="true" outlineLevel="0" collapsed="false">
      <c r="A27" s="4" t="n">
        <v>105</v>
      </c>
      <c r="B27" s="19" t="str">
        <f aca="false">VLOOKUP(A27,'Staff Details'!$B$1:$C$7,2,0)</f>
        <v>Sheldon Cooper</v>
      </c>
      <c r="C27" s="19" t="n">
        <v>31</v>
      </c>
      <c r="D27" s="19" t="n">
        <f aca="false">C27-(E27+F27)-G27-H27</f>
        <v>21</v>
      </c>
      <c r="E27" s="19" t="n">
        <v>5</v>
      </c>
      <c r="F27" s="19" t="n">
        <v>0</v>
      </c>
      <c r="G27" s="19" t="n">
        <v>5</v>
      </c>
      <c r="H27" s="20" t="n">
        <v>0</v>
      </c>
      <c r="I27" s="19" t="n">
        <f aca="false">D27+E27+F27</f>
        <v>26</v>
      </c>
      <c r="K27" s="4" t="n">
        <v>105</v>
      </c>
      <c r="L27" s="19" t="str">
        <f aca="false">VLOOKUP(K27,'Staff Details'!$B$1:$C$7,2,0)</f>
        <v>Sheldon Cooper</v>
      </c>
      <c r="M27" s="19" t="n">
        <v>31</v>
      </c>
      <c r="N27" s="19" t="n">
        <f aca="false">M27-(O27+P27)-Q27-R27</f>
        <v>25</v>
      </c>
      <c r="O27" s="19" t="n">
        <v>5</v>
      </c>
      <c r="P27" s="19" t="n">
        <v>0</v>
      </c>
      <c r="Q27" s="19" t="n">
        <v>1</v>
      </c>
      <c r="R27" s="20" t="n">
        <v>0</v>
      </c>
      <c r="S27" s="19" t="n">
        <f aca="false">N27+O27+P27</f>
        <v>30</v>
      </c>
    </row>
    <row r="28" customFormat="false" ht="15.75" hidden="false" customHeight="true" outlineLevel="0" collapsed="false">
      <c r="A28" s="22" t="n">
        <v>106</v>
      </c>
      <c r="B28" s="23" t="str">
        <f aca="false">VLOOKUP(A28,'Staff Details'!$B$1:$C$7,2,0)</f>
        <v>Euler</v>
      </c>
      <c r="C28" s="23" t="n">
        <v>31</v>
      </c>
      <c r="D28" s="23" t="n">
        <f aca="false">C28-(E28+F28)-G28-H28</f>
        <v>26</v>
      </c>
      <c r="E28" s="23" t="n">
        <v>5</v>
      </c>
      <c r="F28" s="23" t="n">
        <v>0</v>
      </c>
      <c r="G28" s="23" t="n">
        <v>0</v>
      </c>
      <c r="H28" s="24" t="n">
        <v>0</v>
      </c>
      <c r="I28" s="23" t="n">
        <f aca="false">D28+E28+F28</f>
        <v>31</v>
      </c>
      <c r="K28" s="22" t="n">
        <v>106</v>
      </c>
      <c r="L28" s="23" t="str">
        <f aca="false">VLOOKUP(K28,'Staff Details'!$B$1:$C$7,2,0)</f>
        <v>Euler</v>
      </c>
      <c r="M28" s="23" t="n">
        <v>31</v>
      </c>
      <c r="N28" s="23" t="n">
        <f aca="false">M28-(O28+P28)-Q28-R28</f>
        <v>26</v>
      </c>
      <c r="O28" s="23" t="n">
        <v>5</v>
      </c>
      <c r="P28" s="23" t="n">
        <v>0</v>
      </c>
      <c r="Q28" s="23" t="n">
        <v>0</v>
      </c>
      <c r="R28" s="24" t="n">
        <v>0</v>
      </c>
      <c r="S28" s="23" t="n">
        <f aca="false">N28+O28+P28</f>
        <v>31</v>
      </c>
    </row>
    <row r="29" customFormat="false" ht="15.75" hidden="false" customHeight="true" outlineLevel="0" collapsed="false">
      <c r="A29" s="25" t="s">
        <v>38</v>
      </c>
      <c r="B29" s="25"/>
      <c r="C29" s="25"/>
      <c r="D29" s="25"/>
      <c r="E29" s="25"/>
      <c r="F29" s="25"/>
      <c r="G29" s="25"/>
      <c r="H29" s="25"/>
      <c r="I29" s="25"/>
      <c r="K29" s="25" t="s">
        <v>39</v>
      </c>
      <c r="L29" s="25"/>
      <c r="M29" s="25"/>
      <c r="N29" s="25"/>
      <c r="O29" s="25"/>
      <c r="P29" s="25"/>
      <c r="Q29" s="25"/>
      <c r="R29" s="25"/>
      <c r="S29" s="25"/>
    </row>
    <row r="30" customFormat="false" ht="15.75" hidden="false" customHeight="true" outlineLevel="0" collapsed="false"/>
    <row r="31" customFormat="false" ht="15.75" hidden="false" customHeight="true" outlineLevel="0" collapsed="false">
      <c r="A31" s="10" t="s">
        <v>20</v>
      </c>
      <c r="B31" s="11" t="s">
        <v>21</v>
      </c>
      <c r="C31" s="11" t="s">
        <v>22</v>
      </c>
      <c r="D31" s="12" t="s">
        <v>23</v>
      </c>
      <c r="E31" s="12" t="s">
        <v>24</v>
      </c>
      <c r="F31" s="12" t="s">
        <v>25</v>
      </c>
      <c r="G31" s="12" t="s">
        <v>26</v>
      </c>
      <c r="H31" s="13" t="s">
        <v>27</v>
      </c>
      <c r="I31" s="14" t="s">
        <v>28</v>
      </c>
      <c r="K31" s="10" t="s">
        <v>20</v>
      </c>
      <c r="L31" s="11" t="s">
        <v>21</v>
      </c>
      <c r="M31" s="11" t="s">
        <v>22</v>
      </c>
      <c r="N31" s="12" t="s">
        <v>23</v>
      </c>
      <c r="O31" s="12" t="s">
        <v>24</v>
      </c>
      <c r="P31" s="12" t="s">
        <v>25</v>
      </c>
      <c r="Q31" s="12" t="s">
        <v>26</v>
      </c>
      <c r="R31" s="13" t="s">
        <v>27</v>
      </c>
      <c r="S31" s="14" t="s">
        <v>28</v>
      </c>
    </row>
    <row r="32" customFormat="false" ht="15.75" hidden="false" customHeight="true" outlineLevel="0" collapsed="false">
      <c r="A32" s="10"/>
      <c r="B32" s="11"/>
      <c r="C32" s="11"/>
      <c r="D32" s="16" t="s">
        <v>29</v>
      </c>
      <c r="E32" s="16" t="s">
        <v>30</v>
      </c>
      <c r="F32" s="16" t="s">
        <v>31</v>
      </c>
      <c r="G32" s="16" t="s">
        <v>32</v>
      </c>
      <c r="H32" s="17" t="s">
        <v>33</v>
      </c>
      <c r="I32" s="14"/>
      <c r="K32" s="10"/>
      <c r="L32" s="11"/>
      <c r="M32" s="11"/>
      <c r="N32" s="16" t="s">
        <v>29</v>
      </c>
      <c r="O32" s="16" t="s">
        <v>30</v>
      </c>
      <c r="P32" s="16" t="s">
        <v>31</v>
      </c>
      <c r="Q32" s="16" t="s">
        <v>32</v>
      </c>
      <c r="R32" s="17" t="s">
        <v>33</v>
      </c>
      <c r="S32" s="14"/>
    </row>
    <row r="33" customFormat="false" ht="15.75" hidden="false" customHeight="true" outlineLevel="0" collapsed="false">
      <c r="A33" s="4" t="n">
        <v>101</v>
      </c>
      <c r="B33" s="19" t="str">
        <f aca="false">VLOOKUP(A33,'Staff Details'!$B$1:$C$7,2,0)</f>
        <v>Dwight K Schrute</v>
      </c>
      <c r="C33" s="19" t="n">
        <v>30</v>
      </c>
      <c r="D33" s="19" t="n">
        <f aca="false">C33-(E33+F33)-G33-H33</f>
        <v>25</v>
      </c>
      <c r="E33" s="19" t="n">
        <v>5</v>
      </c>
      <c r="F33" s="19" t="n">
        <v>0</v>
      </c>
      <c r="G33" s="19" t="n">
        <v>0</v>
      </c>
      <c r="H33" s="20" t="n">
        <v>0</v>
      </c>
      <c r="I33" s="19" t="n">
        <f aca="false">D33+E33+F33</f>
        <v>30</v>
      </c>
      <c r="K33" s="4" t="n">
        <v>101</v>
      </c>
      <c r="L33" s="19" t="str">
        <f aca="false">VLOOKUP(K33,'Staff Details'!$B$1:$C$7,2,0)</f>
        <v>Dwight K Schrute</v>
      </c>
      <c r="M33" s="19" t="n">
        <v>30</v>
      </c>
      <c r="N33" s="19" t="n">
        <f aca="false">M33-(O33+P33)-Q33-R33</f>
        <v>25</v>
      </c>
      <c r="O33" s="19" t="n">
        <v>5</v>
      </c>
      <c r="P33" s="19" t="n">
        <v>0</v>
      </c>
      <c r="Q33" s="19" t="n">
        <v>0</v>
      </c>
      <c r="R33" s="20" t="n">
        <v>0</v>
      </c>
      <c r="S33" s="19" t="n">
        <f aca="false">N33+O33+P33</f>
        <v>30</v>
      </c>
    </row>
    <row r="34" customFormat="false" ht="15.75" hidden="false" customHeight="true" outlineLevel="0" collapsed="false">
      <c r="A34" s="4" t="n">
        <v>102</v>
      </c>
      <c r="B34" s="19" t="str">
        <f aca="false">VLOOKUP(A34,'Staff Details'!$B$1:$C$7,2,0)</f>
        <v>Rajesh Koothrapalli</v>
      </c>
      <c r="C34" s="19" t="n">
        <v>30</v>
      </c>
      <c r="D34" s="19" t="n">
        <f aca="false">C34-(E34+F34)-G34-H34</f>
        <v>25</v>
      </c>
      <c r="E34" s="19" t="n">
        <v>5</v>
      </c>
      <c r="F34" s="19" t="n">
        <v>0</v>
      </c>
      <c r="G34" s="19" t="n">
        <v>0</v>
      </c>
      <c r="H34" s="20" t="n">
        <v>0</v>
      </c>
      <c r="I34" s="19" t="n">
        <f aca="false">D34+E34+F34</f>
        <v>30</v>
      </c>
      <c r="K34" s="4" t="n">
        <v>102</v>
      </c>
      <c r="L34" s="19" t="str">
        <f aca="false">VLOOKUP(K34,'Staff Details'!$B$1:$C$7,2,0)</f>
        <v>Rajesh Koothrapalli</v>
      </c>
      <c r="M34" s="19" t="n">
        <v>30</v>
      </c>
      <c r="N34" s="19" t="n">
        <f aca="false">M34-(O34+P34)-Q34-R34</f>
        <v>25</v>
      </c>
      <c r="O34" s="19" t="n">
        <v>5</v>
      </c>
      <c r="P34" s="19" t="n">
        <v>0</v>
      </c>
      <c r="Q34" s="19" t="n">
        <v>0</v>
      </c>
      <c r="R34" s="20" t="n">
        <v>0</v>
      </c>
      <c r="S34" s="19" t="n">
        <f aca="false">N34+O34+P34</f>
        <v>30</v>
      </c>
    </row>
    <row r="35" customFormat="false" ht="15.75" hidden="false" customHeight="true" outlineLevel="0" collapsed="false">
      <c r="A35" s="4" t="n">
        <v>103</v>
      </c>
      <c r="B35" s="19" t="str">
        <f aca="false">VLOOKUP(A35,'Staff Details'!$B$1:$C$7,2,0)</f>
        <v>Leonard Hoffstader</v>
      </c>
      <c r="C35" s="19" t="n">
        <v>30</v>
      </c>
      <c r="D35" s="19" t="n">
        <f aca="false">C35-(E35+F35)-G35-H35</f>
        <v>25</v>
      </c>
      <c r="E35" s="19" t="n">
        <v>5</v>
      </c>
      <c r="F35" s="19" t="n">
        <v>0</v>
      </c>
      <c r="G35" s="19" t="n">
        <v>0</v>
      </c>
      <c r="H35" s="20" t="n">
        <v>0</v>
      </c>
      <c r="I35" s="19" t="n">
        <f aca="false">D35+E35+F35</f>
        <v>30</v>
      </c>
      <c r="K35" s="4" t="n">
        <v>103</v>
      </c>
      <c r="L35" s="19" t="str">
        <f aca="false">VLOOKUP(K35,'Staff Details'!$B$1:$C$7,2,0)</f>
        <v>Leonard Hoffstader</v>
      </c>
      <c r="M35" s="19" t="n">
        <v>30</v>
      </c>
      <c r="N35" s="19" t="n">
        <f aca="false">M35-(O35+P35)-Q35-R35</f>
        <v>25</v>
      </c>
      <c r="O35" s="19" t="n">
        <v>5</v>
      </c>
      <c r="P35" s="19" t="n">
        <v>0</v>
      </c>
      <c r="Q35" s="19" t="n">
        <v>0</v>
      </c>
      <c r="R35" s="20" t="n">
        <v>0</v>
      </c>
      <c r="S35" s="19" t="n">
        <f aca="false">N35+O35+P35</f>
        <v>30</v>
      </c>
    </row>
    <row r="36" customFormat="false" ht="15.75" hidden="false" customHeight="true" outlineLevel="0" collapsed="false">
      <c r="A36" s="4" t="n">
        <v>104</v>
      </c>
      <c r="B36" s="19" t="str">
        <f aca="false">VLOOKUP(A36,'Staff Details'!$B$1:$C$7,2,0)</f>
        <v>Howard Wolowitz</v>
      </c>
      <c r="C36" s="19" t="n">
        <v>30</v>
      </c>
      <c r="D36" s="19" t="n">
        <f aca="false">C36-(E36+F36)-G36-H36</f>
        <v>24</v>
      </c>
      <c r="E36" s="19" t="n">
        <v>5</v>
      </c>
      <c r="F36" s="19" t="n">
        <v>0</v>
      </c>
      <c r="G36" s="19" t="n">
        <v>1</v>
      </c>
      <c r="H36" s="20" t="n">
        <v>0</v>
      </c>
      <c r="I36" s="19" t="n">
        <f aca="false">D36+E36+F36</f>
        <v>29</v>
      </c>
      <c r="K36" s="4" t="n">
        <v>104</v>
      </c>
      <c r="L36" s="19" t="str">
        <f aca="false">VLOOKUP(K36,'Staff Details'!$B$1:$C$7,2,0)</f>
        <v>Howard Wolowitz</v>
      </c>
      <c r="M36" s="19" t="n">
        <v>30</v>
      </c>
      <c r="N36" s="19" t="n">
        <f aca="false">M36-(O36+P36)-Q36-R36</f>
        <v>22</v>
      </c>
      <c r="O36" s="19" t="n">
        <v>5</v>
      </c>
      <c r="P36" s="19" t="n">
        <v>0</v>
      </c>
      <c r="Q36" s="19" t="n">
        <v>3</v>
      </c>
      <c r="R36" s="20" t="n">
        <v>0</v>
      </c>
      <c r="S36" s="19" t="n">
        <f aca="false">N36+O36+P36</f>
        <v>27</v>
      </c>
    </row>
    <row r="37" customFormat="false" ht="15.75" hidden="false" customHeight="true" outlineLevel="0" collapsed="false">
      <c r="A37" s="4" t="n">
        <v>105</v>
      </c>
      <c r="B37" s="19" t="str">
        <f aca="false">VLOOKUP(A37,'Staff Details'!$B$1:$C$7,2,0)</f>
        <v>Sheldon Cooper</v>
      </c>
      <c r="C37" s="19" t="n">
        <v>30</v>
      </c>
      <c r="D37" s="19" t="n">
        <f aca="false">C37-(E37+F37)-G37-H37</f>
        <v>25</v>
      </c>
      <c r="E37" s="19" t="n">
        <v>5</v>
      </c>
      <c r="F37" s="19" t="n">
        <v>0</v>
      </c>
      <c r="G37" s="19" t="n">
        <v>0</v>
      </c>
      <c r="H37" s="20" t="n">
        <v>0</v>
      </c>
      <c r="I37" s="19" t="n">
        <f aca="false">D37+E37+F37</f>
        <v>30</v>
      </c>
      <c r="K37" s="4" t="n">
        <v>105</v>
      </c>
      <c r="L37" s="19" t="str">
        <f aca="false">VLOOKUP(K37,'Staff Details'!$B$1:$C$7,2,0)</f>
        <v>Sheldon Cooper</v>
      </c>
      <c r="M37" s="19" t="n">
        <v>30</v>
      </c>
      <c r="N37" s="19" t="n">
        <f aca="false">M37-(O37+P37)-Q37-R37</f>
        <v>25</v>
      </c>
      <c r="O37" s="19" t="n">
        <v>5</v>
      </c>
      <c r="P37" s="19" t="n">
        <v>0</v>
      </c>
      <c r="Q37" s="19" t="n">
        <v>0</v>
      </c>
      <c r="R37" s="20" t="n">
        <v>0</v>
      </c>
      <c r="S37" s="19" t="n">
        <f aca="false">N37+O37+P37</f>
        <v>30</v>
      </c>
    </row>
    <row r="38" customFormat="false" ht="15.75" hidden="false" customHeight="true" outlineLevel="0" collapsed="false">
      <c r="A38" s="22" t="n">
        <v>106</v>
      </c>
      <c r="B38" s="23" t="str">
        <f aca="false">VLOOKUP(A38,'Staff Details'!$B$1:$C$7,2,0)</f>
        <v>Euler</v>
      </c>
      <c r="C38" s="19" t="n">
        <v>30</v>
      </c>
      <c r="D38" s="23" t="n">
        <f aca="false">C38-(E38+F38)-G38-H38</f>
        <v>25</v>
      </c>
      <c r="E38" s="23" t="n">
        <v>5</v>
      </c>
      <c r="F38" s="23" t="n">
        <v>0</v>
      </c>
      <c r="G38" s="23" t="n">
        <v>0</v>
      </c>
      <c r="H38" s="24" t="n">
        <v>0</v>
      </c>
      <c r="I38" s="23" t="n">
        <f aca="false">D38+E38+F38</f>
        <v>30</v>
      </c>
      <c r="K38" s="22" t="n">
        <v>106</v>
      </c>
      <c r="L38" s="23" t="str">
        <f aca="false">VLOOKUP(K38,'Staff Details'!$B$1:$C$7,2,0)</f>
        <v>Euler</v>
      </c>
      <c r="M38" s="19" t="n">
        <v>30</v>
      </c>
      <c r="N38" s="23" t="n">
        <f aca="false">M38-(O38+P38)-Q38-R38</f>
        <v>25</v>
      </c>
      <c r="O38" s="23" t="n">
        <v>5</v>
      </c>
      <c r="P38" s="23" t="n">
        <v>0</v>
      </c>
      <c r="Q38" s="23" t="n">
        <v>0</v>
      </c>
      <c r="R38" s="24" t="n">
        <v>0</v>
      </c>
      <c r="S38" s="23" t="n">
        <f aca="false">N38+O38+P38</f>
        <v>30</v>
      </c>
    </row>
    <row r="39" customFormat="false" ht="15.75" hidden="false" customHeight="true" outlineLevel="0" collapsed="false">
      <c r="A39" s="25" t="s">
        <v>40</v>
      </c>
      <c r="B39" s="25"/>
      <c r="C39" s="25"/>
      <c r="D39" s="25"/>
      <c r="E39" s="25"/>
      <c r="F39" s="25"/>
      <c r="G39" s="25"/>
      <c r="H39" s="25"/>
      <c r="I39" s="25"/>
      <c r="K39" s="25" t="s">
        <v>41</v>
      </c>
      <c r="L39" s="25"/>
      <c r="M39" s="25"/>
      <c r="N39" s="25"/>
      <c r="O39" s="25"/>
      <c r="P39" s="25"/>
      <c r="Q39" s="25"/>
      <c r="R39" s="25"/>
      <c r="S39" s="25"/>
    </row>
    <row r="40" customFormat="false" ht="15.75" hidden="false" customHeight="true" outlineLevel="0" collapsed="false"/>
    <row r="41" customFormat="false" ht="15.75" hidden="false" customHeight="true" outlineLevel="0" collapsed="false">
      <c r="A41" s="10" t="s">
        <v>20</v>
      </c>
      <c r="B41" s="11" t="s">
        <v>21</v>
      </c>
      <c r="C41" s="11" t="s">
        <v>22</v>
      </c>
      <c r="D41" s="12" t="s">
        <v>23</v>
      </c>
      <c r="E41" s="12" t="s">
        <v>24</v>
      </c>
      <c r="F41" s="12" t="s">
        <v>25</v>
      </c>
      <c r="G41" s="12" t="s">
        <v>26</v>
      </c>
      <c r="H41" s="13" t="s">
        <v>27</v>
      </c>
      <c r="I41" s="14" t="s">
        <v>28</v>
      </c>
      <c r="K41" s="10" t="s">
        <v>20</v>
      </c>
      <c r="L41" s="11" t="s">
        <v>21</v>
      </c>
      <c r="M41" s="11" t="s">
        <v>22</v>
      </c>
      <c r="N41" s="12" t="s">
        <v>23</v>
      </c>
      <c r="O41" s="12" t="s">
        <v>24</v>
      </c>
      <c r="P41" s="12" t="s">
        <v>25</v>
      </c>
      <c r="Q41" s="12" t="s">
        <v>26</v>
      </c>
      <c r="R41" s="13" t="s">
        <v>27</v>
      </c>
      <c r="S41" s="14" t="s">
        <v>28</v>
      </c>
    </row>
    <row r="42" customFormat="false" ht="15.75" hidden="false" customHeight="true" outlineLevel="0" collapsed="false">
      <c r="A42" s="10"/>
      <c r="B42" s="11"/>
      <c r="C42" s="11"/>
      <c r="D42" s="16" t="s">
        <v>29</v>
      </c>
      <c r="E42" s="16" t="s">
        <v>30</v>
      </c>
      <c r="F42" s="16" t="s">
        <v>31</v>
      </c>
      <c r="G42" s="16" t="s">
        <v>32</v>
      </c>
      <c r="H42" s="17" t="s">
        <v>33</v>
      </c>
      <c r="I42" s="14"/>
      <c r="K42" s="10"/>
      <c r="L42" s="11"/>
      <c r="M42" s="11"/>
      <c r="N42" s="16" t="s">
        <v>29</v>
      </c>
      <c r="O42" s="16" t="s">
        <v>30</v>
      </c>
      <c r="P42" s="16" t="s">
        <v>31</v>
      </c>
      <c r="Q42" s="16" t="s">
        <v>32</v>
      </c>
      <c r="R42" s="17" t="s">
        <v>33</v>
      </c>
      <c r="S42" s="14"/>
    </row>
    <row r="43" customFormat="false" ht="15.75" hidden="false" customHeight="true" outlineLevel="0" collapsed="false">
      <c r="A43" s="4" t="n">
        <v>101</v>
      </c>
      <c r="B43" s="19" t="str">
        <f aca="false">VLOOKUP(A43,'Staff Details'!$B$1:$C$7,2,0)</f>
        <v>Dwight K Schrute</v>
      </c>
      <c r="C43" s="19" t="n">
        <v>30</v>
      </c>
      <c r="D43" s="19" t="n">
        <f aca="false">C43-(E43+F43)-G43-H43</f>
        <v>25</v>
      </c>
      <c r="E43" s="19" t="n">
        <v>5</v>
      </c>
      <c r="F43" s="19" t="n">
        <v>0</v>
      </c>
      <c r="G43" s="19" t="n">
        <v>0</v>
      </c>
      <c r="H43" s="20" t="n">
        <v>0</v>
      </c>
      <c r="I43" s="19" t="n">
        <f aca="false">D43+E43+F43</f>
        <v>30</v>
      </c>
      <c r="K43" s="4" t="n">
        <v>101</v>
      </c>
      <c r="L43" s="19" t="str">
        <f aca="false">VLOOKUP(K43,'Staff Details'!$B$1:$C$7,2,0)</f>
        <v>Dwight K Schrute</v>
      </c>
      <c r="M43" s="19" t="n">
        <v>30</v>
      </c>
      <c r="N43" s="19" t="n">
        <f aca="false">M43-(O43+P43)-Q43-R43</f>
        <v>25</v>
      </c>
      <c r="O43" s="19" t="n">
        <v>5</v>
      </c>
      <c r="P43" s="19" t="n">
        <v>0</v>
      </c>
      <c r="Q43" s="19" t="n">
        <v>0</v>
      </c>
      <c r="R43" s="20" t="n">
        <v>0</v>
      </c>
      <c r="S43" s="19" t="n">
        <f aca="false">N43+O43+P43</f>
        <v>30</v>
      </c>
    </row>
    <row r="44" customFormat="false" ht="15.75" hidden="false" customHeight="true" outlineLevel="0" collapsed="false">
      <c r="A44" s="4" t="n">
        <v>102</v>
      </c>
      <c r="B44" s="19" t="str">
        <f aca="false">VLOOKUP(A44,'Staff Details'!$B$1:$C$7,2,0)</f>
        <v>Rajesh Koothrapalli</v>
      </c>
      <c r="C44" s="19" t="n">
        <v>30</v>
      </c>
      <c r="D44" s="19" t="n">
        <f aca="false">C44-(E44+F44)-G44-H44</f>
        <v>25</v>
      </c>
      <c r="E44" s="19" t="n">
        <v>5</v>
      </c>
      <c r="F44" s="19" t="n">
        <v>0</v>
      </c>
      <c r="G44" s="19" t="n">
        <v>0</v>
      </c>
      <c r="H44" s="20" t="n">
        <v>0</v>
      </c>
      <c r="I44" s="19" t="n">
        <f aca="false">D44+E44+F44</f>
        <v>30</v>
      </c>
      <c r="K44" s="4" t="n">
        <v>102</v>
      </c>
      <c r="L44" s="19" t="str">
        <f aca="false">VLOOKUP(K44,'Staff Details'!$B$1:$C$7,2,0)</f>
        <v>Rajesh Koothrapalli</v>
      </c>
      <c r="M44" s="19" t="n">
        <v>30</v>
      </c>
      <c r="N44" s="19" t="n">
        <f aca="false">M44-(O44+P44)-Q44-R44</f>
        <v>25</v>
      </c>
      <c r="O44" s="19" t="n">
        <v>5</v>
      </c>
      <c r="P44" s="19" t="n">
        <v>0</v>
      </c>
      <c r="Q44" s="19" t="n">
        <v>0</v>
      </c>
      <c r="R44" s="20" t="n">
        <v>0</v>
      </c>
      <c r="S44" s="19" t="n">
        <f aca="false">N44+O44+P44</f>
        <v>30</v>
      </c>
    </row>
    <row r="45" customFormat="false" ht="15.75" hidden="false" customHeight="true" outlineLevel="0" collapsed="false">
      <c r="A45" s="4" t="n">
        <v>103</v>
      </c>
      <c r="B45" s="19" t="str">
        <f aca="false">VLOOKUP(A45,'Staff Details'!$B$1:$C$7,2,0)</f>
        <v>Leonard Hoffstader</v>
      </c>
      <c r="C45" s="19" t="n">
        <v>30</v>
      </c>
      <c r="D45" s="19" t="n">
        <f aca="false">C45-(E45+F45)-G45-H45</f>
        <v>25</v>
      </c>
      <c r="E45" s="19" t="n">
        <v>5</v>
      </c>
      <c r="F45" s="19" t="n">
        <v>0</v>
      </c>
      <c r="G45" s="19" t="n">
        <v>0</v>
      </c>
      <c r="H45" s="20" t="n">
        <v>0</v>
      </c>
      <c r="I45" s="19" t="n">
        <f aca="false">D45+E45+F45</f>
        <v>30</v>
      </c>
      <c r="K45" s="4" t="n">
        <v>103</v>
      </c>
      <c r="L45" s="19" t="str">
        <f aca="false">VLOOKUP(K45,'Staff Details'!$B$1:$C$7,2,0)</f>
        <v>Leonard Hoffstader</v>
      </c>
      <c r="M45" s="19" t="n">
        <v>30</v>
      </c>
      <c r="N45" s="19" t="n">
        <f aca="false">M45-(O45+P45)-Q45-R45</f>
        <v>25</v>
      </c>
      <c r="O45" s="19" t="n">
        <v>5</v>
      </c>
      <c r="P45" s="19" t="n">
        <v>0</v>
      </c>
      <c r="Q45" s="19" t="n">
        <v>0</v>
      </c>
      <c r="R45" s="20" t="n">
        <v>0</v>
      </c>
      <c r="S45" s="19" t="n">
        <f aca="false">N45+O45+P45</f>
        <v>30</v>
      </c>
    </row>
    <row r="46" customFormat="false" ht="15.75" hidden="false" customHeight="true" outlineLevel="0" collapsed="false">
      <c r="A46" s="4" t="n">
        <v>104</v>
      </c>
      <c r="B46" s="19" t="str">
        <f aca="false">VLOOKUP(A46,'Staff Details'!$B$1:$C$7,2,0)</f>
        <v>Howard Wolowitz</v>
      </c>
      <c r="C46" s="19" t="n">
        <v>30</v>
      </c>
      <c r="D46" s="19" t="n">
        <f aca="false">C46-(E46+F46)-G46-H46</f>
        <v>25</v>
      </c>
      <c r="E46" s="19" t="n">
        <v>5</v>
      </c>
      <c r="F46" s="19" t="n">
        <v>0</v>
      </c>
      <c r="G46" s="19" t="n">
        <v>0</v>
      </c>
      <c r="H46" s="20" t="n">
        <v>0</v>
      </c>
      <c r="I46" s="19" t="n">
        <f aca="false">D46+E46+F46</f>
        <v>30</v>
      </c>
      <c r="K46" s="4" t="n">
        <v>104</v>
      </c>
      <c r="L46" s="19" t="str">
        <f aca="false">VLOOKUP(K46,'Staff Details'!$B$1:$C$7,2,0)</f>
        <v>Howard Wolowitz</v>
      </c>
      <c r="M46" s="19" t="n">
        <v>30</v>
      </c>
      <c r="N46" s="19" t="n">
        <f aca="false">M46-(O46+P46)-Q46-R46</f>
        <v>24</v>
      </c>
      <c r="O46" s="19" t="n">
        <v>5</v>
      </c>
      <c r="P46" s="19" t="n">
        <v>0</v>
      </c>
      <c r="Q46" s="19" t="n">
        <v>1</v>
      </c>
      <c r="R46" s="20" t="n">
        <v>0</v>
      </c>
      <c r="S46" s="19" t="n">
        <f aca="false">N46+O46+P46</f>
        <v>29</v>
      </c>
    </row>
    <row r="47" customFormat="false" ht="15.75" hidden="false" customHeight="true" outlineLevel="0" collapsed="false">
      <c r="A47" s="4" t="n">
        <v>105</v>
      </c>
      <c r="B47" s="19" t="str">
        <f aca="false">VLOOKUP(A47,'Staff Details'!$B$1:$C$7,2,0)</f>
        <v>Sheldon Cooper</v>
      </c>
      <c r="C47" s="19" t="n">
        <v>30</v>
      </c>
      <c r="D47" s="19" t="n">
        <f aca="false">C47-(E47+F47)-G47-H47</f>
        <v>25</v>
      </c>
      <c r="E47" s="19" t="n">
        <v>5</v>
      </c>
      <c r="F47" s="19" t="n">
        <v>0</v>
      </c>
      <c r="G47" s="19" t="n">
        <v>0</v>
      </c>
      <c r="H47" s="20" t="n">
        <v>0</v>
      </c>
      <c r="I47" s="19" t="n">
        <f aca="false">D47+E47+F47</f>
        <v>30</v>
      </c>
      <c r="K47" s="4" t="n">
        <v>105</v>
      </c>
      <c r="L47" s="19" t="str">
        <f aca="false">VLOOKUP(K47,'Staff Details'!$B$1:$C$7,2,0)</f>
        <v>Sheldon Cooper</v>
      </c>
      <c r="M47" s="19" t="n">
        <v>30</v>
      </c>
      <c r="N47" s="19" t="n">
        <f aca="false">M47-(O47+P47)-Q47-R47</f>
        <v>25</v>
      </c>
      <c r="O47" s="19" t="n">
        <v>5</v>
      </c>
      <c r="P47" s="19" t="n">
        <v>0</v>
      </c>
      <c r="Q47" s="19" t="n">
        <v>0</v>
      </c>
      <c r="R47" s="20" t="n">
        <v>0</v>
      </c>
      <c r="S47" s="19" t="n">
        <f aca="false">N47+O47+P47</f>
        <v>30</v>
      </c>
    </row>
    <row r="48" customFormat="false" ht="15.75" hidden="false" customHeight="true" outlineLevel="0" collapsed="false">
      <c r="A48" s="22" t="n">
        <v>106</v>
      </c>
      <c r="B48" s="23" t="str">
        <f aca="false">VLOOKUP(A48,'Staff Details'!$B$1:$C$7,2,0)</f>
        <v>Euler</v>
      </c>
      <c r="C48" s="19" t="n">
        <v>30</v>
      </c>
      <c r="D48" s="23" t="n">
        <f aca="false">C48-(E48+F48)-G48-H48</f>
        <v>25</v>
      </c>
      <c r="E48" s="23" t="n">
        <v>5</v>
      </c>
      <c r="F48" s="23" t="n">
        <v>0</v>
      </c>
      <c r="G48" s="23" t="n">
        <v>0</v>
      </c>
      <c r="H48" s="24" t="n">
        <v>0</v>
      </c>
      <c r="I48" s="23" t="n">
        <f aca="false">D48+E48+F48</f>
        <v>30</v>
      </c>
      <c r="K48" s="22" t="n">
        <v>106</v>
      </c>
      <c r="L48" s="23" t="str">
        <f aca="false">VLOOKUP(K48,'Staff Details'!$B$1:$C$7,2,0)</f>
        <v>Euler</v>
      </c>
      <c r="M48" s="19" t="n">
        <v>30</v>
      </c>
      <c r="N48" s="23" t="n">
        <f aca="false">M48-(O48+P48)-Q48-R48</f>
        <v>25</v>
      </c>
      <c r="O48" s="23" t="n">
        <v>5</v>
      </c>
      <c r="P48" s="23" t="n">
        <v>0</v>
      </c>
      <c r="Q48" s="23" t="n">
        <v>0</v>
      </c>
      <c r="R48" s="24" t="n">
        <v>0</v>
      </c>
      <c r="S48" s="23" t="n">
        <f aca="false">N48+O48+P48</f>
        <v>30</v>
      </c>
    </row>
    <row r="49" customFormat="false" ht="15.75" hidden="false" customHeight="true" outlineLevel="0" collapsed="false">
      <c r="A49" s="25" t="s">
        <v>42</v>
      </c>
      <c r="B49" s="25"/>
      <c r="C49" s="25"/>
      <c r="D49" s="25"/>
      <c r="E49" s="25"/>
      <c r="F49" s="25"/>
      <c r="G49" s="25"/>
      <c r="H49" s="25"/>
      <c r="I49" s="25"/>
      <c r="K49" s="25" t="s">
        <v>43</v>
      </c>
      <c r="L49" s="25"/>
      <c r="M49" s="25"/>
      <c r="N49" s="25"/>
      <c r="O49" s="25"/>
      <c r="P49" s="25"/>
      <c r="Q49" s="25"/>
      <c r="R49" s="25"/>
      <c r="S49" s="25"/>
    </row>
    <row r="50" customFormat="false" ht="15.75" hidden="false" customHeight="true" outlineLevel="0" collapsed="false"/>
    <row r="51" customFormat="false" ht="15.75" hidden="false" customHeight="true" outlineLevel="0" collapsed="false">
      <c r="A51" s="10" t="s">
        <v>20</v>
      </c>
      <c r="B51" s="11" t="s">
        <v>21</v>
      </c>
      <c r="C51" s="11" t="s">
        <v>22</v>
      </c>
      <c r="D51" s="12" t="s">
        <v>23</v>
      </c>
      <c r="E51" s="12" t="s">
        <v>24</v>
      </c>
      <c r="F51" s="12" t="s">
        <v>25</v>
      </c>
      <c r="G51" s="12" t="s">
        <v>26</v>
      </c>
      <c r="H51" s="13" t="s">
        <v>27</v>
      </c>
      <c r="I51" s="14" t="s">
        <v>28</v>
      </c>
      <c r="K51" s="10" t="s">
        <v>20</v>
      </c>
      <c r="L51" s="11" t="s">
        <v>21</v>
      </c>
      <c r="M51" s="11" t="s">
        <v>22</v>
      </c>
      <c r="N51" s="12" t="s">
        <v>23</v>
      </c>
      <c r="O51" s="12" t="s">
        <v>24</v>
      </c>
      <c r="P51" s="12" t="s">
        <v>25</v>
      </c>
      <c r="Q51" s="12" t="s">
        <v>26</v>
      </c>
      <c r="R51" s="13" t="s">
        <v>27</v>
      </c>
      <c r="S51" s="14" t="s">
        <v>28</v>
      </c>
    </row>
    <row r="52" customFormat="false" ht="15.75" hidden="false" customHeight="true" outlineLevel="0" collapsed="false">
      <c r="A52" s="10"/>
      <c r="B52" s="11"/>
      <c r="C52" s="11"/>
      <c r="D52" s="16" t="s">
        <v>29</v>
      </c>
      <c r="E52" s="16" t="s">
        <v>30</v>
      </c>
      <c r="F52" s="16" t="s">
        <v>31</v>
      </c>
      <c r="G52" s="16" t="s">
        <v>32</v>
      </c>
      <c r="H52" s="17" t="s">
        <v>33</v>
      </c>
      <c r="I52" s="14"/>
      <c r="K52" s="10"/>
      <c r="L52" s="11"/>
      <c r="M52" s="11"/>
      <c r="N52" s="16" t="s">
        <v>29</v>
      </c>
      <c r="O52" s="16" t="s">
        <v>30</v>
      </c>
      <c r="P52" s="16" t="s">
        <v>31</v>
      </c>
      <c r="Q52" s="16" t="s">
        <v>32</v>
      </c>
      <c r="R52" s="17" t="s">
        <v>33</v>
      </c>
      <c r="S52" s="14"/>
    </row>
    <row r="53" customFormat="false" ht="15.75" hidden="false" customHeight="true" outlineLevel="0" collapsed="false">
      <c r="A53" s="4" t="n">
        <v>101</v>
      </c>
      <c r="B53" s="19" t="str">
        <f aca="false">VLOOKUP(A53,'Staff Details'!$B$1:$C$7,2,0)</f>
        <v>Dwight K Schrute</v>
      </c>
      <c r="C53" s="19" t="n">
        <v>30</v>
      </c>
      <c r="D53" s="19" t="n">
        <f aca="false">C53-(E53+F53)-G53-H53</f>
        <v>21</v>
      </c>
      <c r="E53" s="19" t="n">
        <v>5</v>
      </c>
      <c r="F53" s="19" t="n">
        <v>0</v>
      </c>
      <c r="G53" s="19" t="n">
        <v>4</v>
      </c>
      <c r="H53" s="20" t="n">
        <v>0</v>
      </c>
      <c r="I53" s="19" t="n">
        <f aca="false">D53+E53+F53</f>
        <v>26</v>
      </c>
      <c r="K53" s="4" t="n">
        <v>101</v>
      </c>
      <c r="L53" s="19" t="str">
        <f aca="false">VLOOKUP(K53,'Staff Details'!$B$1:$C$7,2,0)</f>
        <v>Dwight K Schrute</v>
      </c>
      <c r="M53" s="19" t="n">
        <v>30</v>
      </c>
      <c r="N53" s="19" t="n">
        <f aca="false">M53-(O53+P53)-Q53-R53</f>
        <v>25</v>
      </c>
      <c r="O53" s="19" t="n">
        <v>5</v>
      </c>
      <c r="P53" s="19" t="n">
        <v>0</v>
      </c>
      <c r="Q53" s="19" t="n">
        <v>0</v>
      </c>
      <c r="R53" s="20" t="n">
        <v>0</v>
      </c>
      <c r="S53" s="19" t="n">
        <f aca="false">N53+O53+P53</f>
        <v>30</v>
      </c>
    </row>
    <row r="54" customFormat="false" ht="15.75" hidden="false" customHeight="true" outlineLevel="0" collapsed="false">
      <c r="A54" s="4" t="n">
        <v>102</v>
      </c>
      <c r="B54" s="19" t="str">
        <f aca="false">VLOOKUP(A54,'Staff Details'!$B$1:$C$7,2,0)</f>
        <v>Rajesh Koothrapalli</v>
      </c>
      <c r="C54" s="19" t="n">
        <v>30</v>
      </c>
      <c r="D54" s="19" t="n">
        <f aca="false">C54-(E54+F54)-G54-H54</f>
        <v>20.5</v>
      </c>
      <c r="E54" s="19" t="n">
        <v>5</v>
      </c>
      <c r="F54" s="19" t="n">
        <v>0</v>
      </c>
      <c r="G54" s="19" t="n">
        <v>4</v>
      </c>
      <c r="H54" s="20" t="n">
        <v>0.5</v>
      </c>
      <c r="I54" s="19" t="n">
        <f aca="false">D54+E54+F54</f>
        <v>25.5</v>
      </c>
      <c r="K54" s="4" t="n">
        <v>102</v>
      </c>
      <c r="L54" s="19" t="str">
        <f aca="false">VLOOKUP(K54,'Staff Details'!$B$1:$C$7,2,0)</f>
        <v>Rajesh Koothrapalli</v>
      </c>
      <c r="M54" s="19" t="n">
        <v>30</v>
      </c>
      <c r="N54" s="19" t="n">
        <f aca="false">M54-(O54+P54)-Q54-R54</f>
        <v>25</v>
      </c>
      <c r="O54" s="19" t="n">
        <v>5</v>
      </c>
      <c r="P54" s="19" t="n">
        <v>0</v>
      </c>
      <c r="Q54" s="19" t="n">
        <v>0</v>
      </c>
      <c r="R54" s="20" t="n">
        <v>0</v>
      </c>
      <c r="S54" s="19" t="n">
        <f aca="false">N54+O54+P54</f>
        <v>30</v>
      </c>
    </row>
    <row r="55" customFormat="false" ht="15.75" hidden="false" customHeight="true" outlineLevel="0" collapsed="false">
      <c r="A55" s="4" t="n">
        <v>103</v>
      </c>
      <c r="B55" s="19" t="str">
        <f aca="false">VLOOKUP(A55,'Staff Details'!$B$1:$C$7,2,0)</f>
        <v>Leonard Hoffstader</v>
      </c>
      <c r="C55" s="19" t="n">
        <v>30</v>
      </c>
      <c r="D55" s="19" t="n">
        <f aca="false">C55-(E55+F55)-G55-H55</f>
        <v>22</v>
      </c>
      <c r="E55" s="19" t="n">
        <v>5</v>
      </c>
      <c r="F55" s="19" t="n">
        <v>0</v>
      </c>
      <c r="G55" s="19" t="n">
        <v>3</v>
      </c>
      <c r="H55" s="20" t="n">
        <v>0</v>
      </c>
      <c r="I55" s="19" t="n">
        <f aca="false">D55+E55+F55</f>
        <v>27</v>
      </c>
      <c r="K55" s="4" t="n">
        <v>103</v>
      </c>
      <c r="L55" s="19" t="str">
        <f aca="false">VLOOKUP(K55,'Staff Details'!$B$1:$C$7,2,0)</f>
        <v>Leonard Hoffstader</v>
      </c>
      <c r="M55" s="19" t="n">
        <v>30</v>
      </c>
      <c r="N55" s="19" t="n">
        <f aca="false">M55-(O55+P55)-Q55-R55</f>
        <v>25</v>
      </c>
      <c r="O55" s="19" t="n">
        <v>5</v>
      </c>
      <c r="P55" s="19" t="n">
        <v>0</v>
      </c>
      <c r="Q55" s="19" t="n">
        <v>0</v>
      </c>
      <c r="R55" s="20" t="n">
        <v>0</v>
      </c>
      <c r="S55" s="19" t="n">
        <f aca="false">N55+O55+P55</f>
        <v>30</v>
      </c>
    </row>
    <row r="56" customFormat="false" ht="15.75" hidden="false" customHeight="true" outlineLevel="0" collapsed="false">
      <c r="A56" s="4" t="n">
        <v>104</v>
      </c>
      <c r="B56" s="19" t="str">
        <f aca="false">VLOOKUP(A56,'Staff Details'!$B$1:$C$7,2,0)</f>
        <v>Howard Wolowitz</v>
      </c>
      <c r="C56" s="19" t="n">
        <v>30</v>
      </c>
      <c r="D56" s="19" t="n">
        <f aca="false">C56-(E56+F56)-G56-H56</f>
        <v>25</v>
      </c>
      <c r="E56" s="19" t="n">
        <v>5</v>
      </c>
      <c r="F56" s="19" t="n">
        <v>0</v>
      </c>
      <c r="G56" s="19" t="n">
        <v>0</v>
      </c>
      <c r="H56" s="20" t="n">
        <v>0</v>
      </c>
      <c r="I56" s="19" t="n">
        <f aca="false">D56+E56+F56</f>
        <v>30</v>
      </c>
      <c r="K56" s="4" t="n">
        <v>104</v>
      </c>
      <c r="L56" s="19" t="str">
        <f aca="false">VLOOKUP(K56,'Staff Details'!$B$1:$C$7,2,0)</f>
        <v>Howard Wolowitz</v>
      </c>
      <c r="M56" s="19" t="n">
        <v>30</v>
      </c>
      <c r="N56" s="19" t="n">
        <f aca="false">M56-(O56+P56)-Q56-R56</f>
        <v>19</v>
      </c>
      <c r="O56" s="19" t="n">
        <v>5</v>
      </c>
      <c r="P56" s="19" t="n">
        <v>0</v>
      </c>
      <c r="Q56" s="19" t="n">
        <v>6</v>
      </c>
      <c r="R56" s="20" t="n">
        <v>0</v>
      </c>
      <c r="S56" s="19" t="n">
        <f aca="false">N56+O56+P56</f>
        <v>24</v>
      </c>
    </row>
    <row r="57" customFormat="false" ht="15.75" hidden="false" customHeight="true" outlineLevel="0" collapsed="false">
      <c r="A57" s="4" t="n">
        <v>105</v>
      </c>
      <c r="B57" s="19" t="str">
        <f aca="false">VLOOKUP(A57,'Staff Details'!$B$1:$C$7,2,0)</f>
        <v>Sheldon Cooper</v>
      </c>
      <c r="C57" s="19" t="n">
        <v>30</v>
      </c>
      <c r="D57" s="19" t="n">
        <f aca="false">C57-(E57+F57)-G57-H57</f>
        <v>21</v>
      </c>
      <c r="E57" s="19" t="n">
        <v>5</v>
      </c>
      <c r="F57" s="19" t="n">
        <v>0</v>
      </c>
      <c r="G57" s="19" t="n">
        <v>4</v>
      </c>
      <c r="H57" s="20" t="n">
        <v>0</v>
      </c>
      <c r="I57" s="19" t="n">
        <f aca="false">D57+E57+F57</f>
        <v>26</v>
      </c>
      <c r="K57" s="4" t="n">
        <v>105</v>
      </c>
      <c r="L57" s="19" t="str">
        <f aca="false">VLOOKUP(K57,'Staff Details'!$B$1:$C$7,2,0)</f>
        <v>Sheldon Cooper</v>
      </c>
      <c r="M57" s="19" t="n">
        <v>30</v>
      </c>
      <c r="N57" s="19" t="n">
        <f aca="false">M57-(O57+P57)-Q57-R57</f>
        <v>25</v>
      </c>
      <c r="O57" s="19" t="n">
        <v>5</v>
      </c>
      <c r="P57" s="19" t="n">
        <v>0</v>
      </c>
      <c r="Q57" s="19" t="n">
        <v>0</v>
      </c>
      <c r="R57" s="20" t="n">
        <v>0</v>
      </c>
      <c r="S57" s="19" t="n">
        <f aca="false">N57+O57+P57</f>
        <v>30</v>
      </c>
    </row>
    <row r="58" customFormat="false" ht="15.75" hidden="false" customHeight="true" outlineLevel="0" collapsed="false">
      <c r="A58" s="22" t="n">
        <v>106</v>
      </c>
      <c r="B58" s="23" t="str">
        <f aca="false">VLOOKUP(A58,'Staff Details'!$B$1:$C$7,2,0)</f>
        <v>Euler</v>
      </c>
      <c r="C58" s="19" t="n">
        <v>30</v>
      </c>
      <c r="D58" s="23" t="n">
        <f aca="false">C58-(E58+F58)-G58-H58</f>
        <v>25</v>
      </c>
      <c r="E58" s="23" t="n">
        <v>5</v>
      </c>
      <c r="F58" s="23" t="n">
        <v>0</v>
      </c>
      <c r="G58" s="23" t="n">
        <v>0</v>
      </c>
      <c r="H58" s="24" t="n">
        <v>0</v>
      </c>
      <c r="I58" s="23" t="n">
        <f aca="false">D58+E58+F58</f>
        <v>30</v>
      </c>
      <c r="K58" s="22" t="n">
        <v>106</v>
      </c>
      <c r="L58" s="23" t="str">
        <f aca="false">VLOOKUP(K58,'Staff Details'!$B$1:$C$7,2,0)</f>
        <v>Euler</v>
      </c>
      <c r="M58" s="19" t="n">
        <v>30</v>
      </c>
      <c r="N58" s="23" t="n">
        <f aca="false">M58-(O58+P58)-Q58-R58</f>
        <v>25</v>
      </c>
      <c r="O58" s="23" t="n">
        <v>5</v>
      </c>
      <c r="P58" s="23" t="n">
        <v>0</v>
      </c>
      <c r="Q58" s="23" t="n">
        <v>0</v>
      </c>
      <c r="R58" s="24" t="n">
        <v>0</v>
      </c>
      <c r="S58" s="23" t="n">
        <f aca="false">N58+O58+P58</f>
        <v>30</v>
      </c>
    </row>
    <row r="59" customFormat="false" ht="15.75" hidden="false" customHeight="true" outlineLevel="0" collapsed="false">
      <c r="A59" s="25" t="s">
        <v>44</v>
      </c>
      <c r="B59" s="25"/>
      <c r="C59" s="25"/>
      <c r="D59" s="25"/>
      <c r="E59" s="25"/>
      <c r="F59" s="25"/>
      <c r="G59" s="25"/>
      <c r="H59" s="25"/>
      <c r="I59" s="25"/>
      <c r="K59" s="25" t="s">
        <v>45</v>
      </c>
      <c r="L59" s="25"/>
      <c r="M59" s="25"/>
      <c r="N59" s="25"/>
      <c r="O59" s="25"/>
      <c r="P59" s="25"/>
      <c r="Q59" s="25"/>
      <c r="R59" s="25"/>
      <c r="S59" s="2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0">
    <mergeCell ref="A1:A2"/>
    <mergeCell ref="B1:B2"/>
    <mergeCell ref="C1:C2"/>
    <mergeCell ref="I1:I2"/>
    <mergeCell ref="K1:K2"/>
    <mergeCell ref="L1:L2"/>
    <mergeCell ref="M1:M2"/>
    <mergeCell ref="S1:S2"/>
    <mergeCell ref="A9:I9"/>
    <mergeCell ref="K9:S9"/>
    <mergeCell ref="A11:A12"/>
    <mergeCell ref="B11:B12"/>
    <mergeCell ref="C11:C12"/>
    <mergeCell ref="I11:I12"/>
    <mergeCell ref="K11:K12"/>
    <mergeCell ref="L11:L12"/>
    <mergeCell ref="M11:M12"/>
    <mergeCell ref="S11:S12"/>
    <mergeCell ref="A19:I19"/>
    <mergeCell ref="K19:S19"/>
    <mergeCell ref="A21:A22"/>
    <mergeCell ref="B21:B22"/>
    <mergeCell ref="C21:C22"/>
    <mergeCell ref="I21:I22"/>
    <mergeCell ref="K21:K22"/>
    <mergeCell ref="L21:L22"/>
    <mergeCell ref="M21:M22"/>
    <mergeCell ref="S21:S22"/>
    <mergeCell ref="A29:I29"/>
    <mergeCell ref="K29:S29"/>
    <mergeCell ref="A31:A32"/>
    <mergeCell ref="B31:B32"/>
    <mergeCell ref="C31:C32"/>
    <mergeCell ref="I31:I32"/>
    <mergeCell ref="K31:K32"/>
    <mergeCell ref="L31:L32"/>
    <mergeCell ref="M31:M32"/>
    <mergeCell ref="S31:S32"/>
    <mergeCell ref="A39:I39"/>
    <mergeCell ref="K39:S39"/>
    <mergeCell ref="A41:A42"/>
    <mergeCell ref="B41:B42"/>
    <mergeCell ref="C41:C42"/>
    <mergeCell ref="I41:I42"/>
    <mergeCell ref="K41:K42"/>
    <mergeCell ref="L41:L42"/>
    <mergeCell ref="M41:M42"/>
    <mergeCell ref="S41:S42"/>
    <mergeCell ref="A49:I49"/>
    <mergeCell ref="K49:S49"/>
    <mergeCell ref="A51:A52"/>
    <mergeCell ref="B51:B52"/>
    <mergeCell ref="C51:C52"/>
    <mergeCell ref="I51:I52"/>
    <mergeCell ref="K51:K52"/>
    <mergeCell ref="L51:L52"/>
    <mergeCell ref="M51:M52"/>
    <mergeCell ref="S51:S52"/>
    <mergeCell ref="A59:I59"/>
    <mergeCell ref="K59:S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I13" activeCellId="0" sqref="I13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3.62"/>
    <col collapsed="false" customWidth="true" hidden="false" outlineLevel="0" max="2" min="2" style="0" width="14.38"/>
    <col collapsed="false" customWidth="true" hidden="false" outlineLevel="0" max="3" min="3" style="0" width="17.66"/>
    <col collapsed="false" customWidth="true" hidden="false" outlineLevel="0" max="4" min="4" style="0" width="14"/>
    <col collapsed="false" customWidth="true" hidden="false" outlineLevel="0" max="5" min="5" style="0" width="17.13"/>
    <col collapsed="false" customWidth="true" hidden="false" outlineLevel="0" max="6" min="6" style="0" width="16.75"/>
    <col collapsed="false" customWidth="true" hidden="false" outlineLevel="0" max="7" min="7" style="0" width="12"/>
    <col collapsed="false" customWidth="true" hidden="false" outlineLevel="0" max="9" min="8" style="0" width="12.12"/>
    <col collapsed="false" customWidth="true" hidden="false" outlineLevel="0" max="10" min="10" style="0" width="17.13"/>
    <col collapsed="false" customWidth="true" hidden="false" outlineLevel="0" max="11" min="11" style="0" width="12.12"/>
    <col collapsed="false" customWidth="true" hidden="false" outlineLevel="0" max="12" min="12" style="0" width="14"/>
    <col collapsed="false" customWidth="true" hidden="false" outlineLevel="0" max="26" min="13" style="0" width="8.63"/>
  </cols>
  <sheetData>
    <row r="1" customFormat="false" ht="15.75" hidden="false" customHeight="true" outlineLevel="0" collapsed="false">
      <c r="A1" s="26" t="s">
        <v>46</v>
      </c>
      <c r="B1" s="27" t="s">
        <v>20</v>
      </c>
      <c r="C1" s="27" t="s">
        <v>47</v>
      </c>
      <c r="D1" s="27" t="s">
        <v>48</v>
      </c>
      <c r="E1" s="27" t="s">
        <v>49</v>
      </c>
      <c r="F1" s="27"/>
      <c r="G1" s="27" t="s">
        <v>50</v>
      </c>
      <c r="H1" s="27" t="s">
        <v>51</v>
      </c>
      <c r="I1" s="27"/>
      <c r="J1" s="27" t="s">
        <v>52</v>
      </c>
      <c r="K1" s="27" t="s">
        <v>53</v>
      </c>
      <c r="L1" s="28" t="s">
        <v>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n">
        <f aca="false">ROW()-1</f>
        <v>1</v>
      </c>
      <c r="B2" s="19" t="n">
        <v>101</v>
      </c>
      <c r="C2" s="19" t="s">
        <v>55</v>
      </c>
      <c r="D2" s="19" t="s">
        <v>56</v>
      </c>
      <c r="E2" s="19" t="s">
        <v>57</v>
      </c>
      <c r="F2" s="19"/>
      <c r="G2" s="19" t="s">
        <v>6</v>
      </c>
      <c r="H2" s="29" t="n">
        <v>10000</v>
      </c>
      <c r="I2" s="29"/>
      <c r="J2" s="29" t="n">
        <f aca="false">H2*0.6</f>
        <v>6000</v>
      </c>
      <c r="K2" s="29" t="n">
        <f aca="false">H2-J2</f>
        <v>4000</v>
      </c>
      <c r="L2" s="30" t="n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4" t="n">
        <f aca="false">ROW()-1</f>
        <v>2</v>
      </c>
      <c r="B3" s="19" t="n">
        <v>102</v>
      </c>
      <c r="C3" s="19" t="s">
        <v>58</v>
      </c>
      <c r="D3" s="19" t="s">
        <v>56</v>
      </c>
      <c r="E3" s="19" t="s">
        <v>59</v>
      </c>
      <c r="F3" s="19"/>
      <c r="G3" s="19" t="s">
        <v>6</v>
      </c>
      <c r="H3" s="29" t="n">
        <v>0</v>
      </c>
      <c r="I3" s="29"/>
      <c r="J3" s="29" t="n">
        <f aca="false">H3*0.6</f>
        <v>0</v>
      </c>
      <c r="K3" s="29" t="n">
        <f aca="false">H3-J3</f>
        <v>0</v>
      </c>
      <c r="L3" s="30" t="n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4" t="n">
        <f aca="false">ROW()-1</f>
        <v>3</v>
      </c>
      <c r="B4" s="19" t="n">
        <v>103</v>
      </c>
      <c r="C4" s="19" t="s">
        <v>60</v>
      </c>
      <c r="D4" s="19" t="s">
        <v>56</v>
      </c>
      <c r="E4" s="19" t="s">
        <v>59</v>
      </c>
      <c r="F4" s="19"/>
      <c r="G4" s="19" t="s">
        <v>6</v>
      </c>
      <c r="H4" s="29" t="n">
        <v>0</v>
      </c>
      <c r="I4" s="29"/>
      <c r="J4" s="29" t="n">
        <f aca="false">H4*0.6</f>
        <v>0</v>
      </c>
      <c r="K4" s="29" t="n">
        <f aca="false">H4-J4</f>
        <v>0</v>
      </c>
      <c r="L4" s="30" t="n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4" t="n">
        <f aca="false">ROW()-1</f>
        <v>4</v>
      </c>
      <c r="B5" s="19" t="n">
        <v>104</v>
      </c>
      <c r="C5" s="19" t="s">
        <v>61</v>
      </c>
      <c r="D5" s="19" t="s">
        <v>62</v>
      </c>
      <c r="E5" s="19" t="s">
        <v>59</v>
      </c>
      <c r="F5" s="19"/>
      <c r="G5" s="19" t="s">
        <v>6</v>
      </c>
      <c r="H5" s="29" t="n">
        <v>0</v>
      </c>
      <c r="I5" s="29"/>
      <c r="J5" s="29" t="n">
        <f aca="false">H5*0.6</f>
        <v>0</v>
      </c>
      <c r="K5" s="29" t="n">
        <f aca="false">H5-J5</f>
        <v>0</v>
      </c>
      <c r="L5" s="30" t="n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4" t="n">
        <f aca="false">ROW()-1</f>
        <v>5</v>
      </c>
      <c r="B6" s="19" t="n">
        <v>105</v>
      </c>
      <c r="C6" s="19" t="s">
        <v>63</v>
      </c>
      <c r="D6" s="19" t="s">
        <v>62</v>
      </c>
      <c r="E6" s="19" t="s">
        <v>57</v>
      </c>
      <c r="F6" s="19"/>
      <c r="G6" s="19" t="s">
        <v>6</v>
      </c>
      <c r="H6" s="29" t="n">
        <v>0</v>
      </c>
      <c r="I6" s="29"/>
      <c r="J6" s="29" t="n">
        <f aca="false">H6*0.6</f>
        <v>0</v>
      </c>
      <c r="K6" s="29" t="n">
        <f aca="false">H6-J6</f>
        <v>0</v>
      </c>
      <c r="L6" s="30" t="n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4" t="n">
        <f aca="false">ROW()-1</f>
        <v>6</v>
      </c>
      <c r="B7" s="19" t="n">
        <v>106</v>
      </c>
      <c r="C7" s="19" t="s">
        <v>64</v>
      </c>
      <c r="D7" s="19" t="s">
        <v>62</v>
      </c>
      <c r="E7" s="19" t="s">
        <v>57</v>
      </c>
      <c r="F7" s="19"/>
      <c r="G7" s="19" t="s">
        <v>6</v>
      </c>
      <c r="H7" s="29" t="n">
        <v>12000</v>
      </c>
      <c r="I7" s="29"/>
      <c r="J7" s="29" t="n">
        <f aca="false">H7*0.6</f>
        <v>7200</v>
      </c>
      <c r="K7" s="29" t="n">
        <f aca="false">H7-J7</f>
        <v>4800</v>
      </c>
      <c r="L7" s="30" t="n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1" t="s">
        <v>65</v>
      </c>
      <c r="B8" s="31"/>
      <c r="C8" s="31"/>
      <c r="D8" s="31"/>
      <c r="E8" s="31"/>
      <c r="F8" s="31"/>
      <c r="G8" s="31"/>
      <c r="H8" s="32" t="n">
        <f aca="false">SUM(H2:H7)</f>
        <v>22000</v>
      </c>
      <c r="I8" s="32"/>
      <c r="J8" s="32" t="n">
        <f aca="false">SUM(J2:J7)</f>
        <v>13200</v>
      </c>
      <c r="K8" s="32" t="n">
        <f aca="false">SUM(K2:K7)</f>
        <v>8800</v>
      </c>
      <c r="L8" s="3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D12" s="1"/>
    </row>
    <row r="13" customFormat="false" ht="15.75" hidden="false" customHeight="true" outlineLevel="0" collapsed="false"/>
    <row r="14" customFormat="false" ht="15.75" hidden="false" customHeight="true" outlineLevel="0" collapsed="false">
      <c r="B14" s="3" t="s">
        <v>66</v>
      </c>
      <c r="C14" s="3"/>
      <c r="D14" s="3"/>
      <c r="E14" s="3"/>
      <c r="F14" s="34"/>
    </row>
    <row r="15" customFormat="false" ht="15.75" hidden="false" customHeight="true" outlineLevel="0" collapsed="false">
      <c r="B15" s="35" t="s">
        <v>20</v>
      </c>
      <c r="C15" s="36" t="s">
        <v>51</v>
      </c>
      <c r="D15" s="36" t="s">
        <v>67</v>
      </c>
      <c r="E15" s="37" t="s">
        <v>52</v>
      </c>
    </row>
    <row r="16" customFormat="false" ht="15.75" hidden="false" customHeight="true" outlineLevel="0" collapsed="false">
      <c r="B16" s="4" t="n">
        <v>101</v>
      </c>
      <c r="C16" s="29" t="e">
        <f aca="false">_xludf.xlookup(B16,$B$1:$B$7,$H$1:$H$7)</f>
        <v>#NAME?</v>
      </c>
      <c r="D16" s="29"/>
      <c r="E16" s="5"/>
      <c r="F16" s="2"/>
    </row>
    <row r="17" customFormat="false" ht="15.75" hidden="false" customHeight="true" outlineLevel="0" collapsed="false">
      <c r="B17" s="4" t="n">
        <v>102</v>
      </c>
      <c r="C17" s="29" t="e">
        <f aca="false">_xludf.xlookup(B17,$B$1:$B$7,$H$1:$H$7)</f>
        <v>#NAME?</v>
      </c>
      <c r="D17" s="29"/>
      <c r="E17" s="5"/>
      <c r="F17" s="2"/>
    </row>
    <row r="18" customFormat="false" ht="15.75" hidden="false" customHeight="true" outlineLevel="0" collapsed="false">
      <c r="B18" s="4" t="n">
        <v>103</v>
      </c>
      <c r="C18" s="29" t="e">
        <f aca="false">_xludf.xlookup(B18,$B$1:$B$7,$H$1:$H$7)</f>
        <v>#NAME?</v>
      </c>
      <c r="D18" s="29"/>
      <c r="E18" s="5"/>
      <c r="F18" s="2"/>
    </row>
    <row r="19" customFormat="false" ht="15.75" hidden="false" customHeight="true" outlineLevel="0" collapsed="false">
      <c r="B19" s="4" t="n">
        <v>104</v>
      </c>
      <c r="C19" s="29" t="e">
        <f aca="false">_xludf.xlookup(B19,$B$1:$B$7,$H$1:$H$7)</f>
        <v>#NAME?</v>
      </c>
      <c r="D19" s="29"/>
      <c r="E19" s="5"/>
      <c r="F19" s="2"/>
    </row>
    <row r="20" customFormat="false" ht="15.75" hidden="false" customHeight="true" outlineLevel="0" collapsed="false">
      <c r="B20" s="4" t="n">
        <v>105</v>
      </c>
      <c r="C20" s="29" t="e">
        <f aca="false">_xludf.xlookup(B20,$B$1:$B$7,$H$1:$H$7)</f>
        <v>#NAME?</v>
      </c>
      <c r="D20" s="29"/>
      <c r="E20" s="5"/>
      <c r="F20" s="2"/>
    </row>
    <row r="21" customFormat="false" ht="15.75" hidden="false" customHeight="true" outlineLevel="0" collapsed="false">
      <c r="B21" s="38" t="n">
        <v>106</v>
      </c>
      <c r="C21" s="29" t="e">
        <f aca="false">_xludf.xlookup(B21,$B$1:$B$7,$H$1:$H$7)</f>
        <v>#NAME?</v>
      </c>
      <c r="D21" s="29"/>
      <c r="E21" s="33"/>
      <c r="F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8:G8"/>
    <mergeCell ref="B14:E14"/>
  </mergeCells>
  <dataValidations count="3">
    <dataValidation allowBlank="true" errorStyle="stop" operator="between" showDropDown="false" showErrorMessage="true" showInputMessage="false" sqref="D2:D7" type="list">
      <formula1>"Male,Female"</formula1>
      <formula2>0</formula2>
    </dataValidation>
    <dataValidation allowBlank="true" errorStyle="stop" operator="between" showDropDown="false" showErrorMessage="true" showInputMessage="false" sqref="E2:F7" type="list">
      <formula1>"Married,Unmarried"</formula1>
      <formula2>0</formula2>
    </dataValidation>
    <dataValidation allowBlank="true" errorStyle="stop" operator="between" showDropDown="false" showErrorMessage="true" showInputMessage="false" sqref="G2:G7" type="list">
      <formula1>"Single,Couple Opted"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G7" activeCellId="0" sqref="G7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4.88"/>
    <col collapsed="false" customWidth="true" hidden="false" outlineLevel="0" max="3" min="3" style="0" width="16.37"/>
    <col collapsed="false" customWidth="true" hidden="false" outlineLevel="0" max="6" min="4" style="0" width="11.63"/>
    <col collapsed="false" customWidth="true" hidden="false" outlineLevel="0" max="7" min="7" style="0" width="19.37"/>
    <col collapsed="false" customWidth="true" hidden="false" outlineLevel="0" max="16" min="8" style="0" width="11.63"/>
    <col collapsed="false" customWidth="true" hidden="false" outlineLevel="0" max="26" min="17" style="0" width="8.63"/>
  </cols>
  <sheetData>
    <row r="1" customFormat="false" ht="15.75" hidden="false" customHeight="true" outlineLevel="0" collapsed="false">
      <c r="A1" s="26" t="s">
        <v>20</v>
      </c>
      <c r="B1" s="27" t="s">
        <v>47</v>
      </c>
      <c r="C1" s="27" t="s">
        <v>68</v>
      </c>
      <c r="D1" s="27" t="s">
        <v>69</v>
      </c>
      <c r="E1" s="27" t="s">
        <v>35</v>
      </c>
      <c r="F1" s="27" t="s">
        <v>36</v>
      </c>
      <c r="G1" s="27" t="s">
        <v>70</v>
      </c>
      <c r="H1" s="27" t="s">
        <v>71</v>
      </c>
      <c r="I1" s="27" t="s">
        <v>38</v>
      </c>
      <c r="J1" s="27" t="s">
        <v>39</v>
      </c>
      <c r="K1" s="27" t="s">
        <v>40</v>
      </c>
      <c r="L1" s="27" t="s">
        <v>41</v>
      </c>
      <c r="M1" s="27" t="s">
        <v>42</v>
      </c>
      <c r="N1" s="27" t="s">
        <v>72</v>
      </c>
      <c r="O1" s="27" t="s">
        <v>73</v>
      </c>
      <c r="P1" s="28" t="s">
        <v>74</v>
      </c>
    </row>
    <row r="2" customFormat="false" ht="15.75" hidden="false" customHeight="true" outlineLevel="0" collapsed="false">
      <c r="A2" s="4" t="n">
        <v>101</v>
      </c>
      <c r="B2" s="19" t="str">
        <f aca="false">VLOOKUP(A2,'Staff Details'!$B$1:$K$7,2,0)</f>
        <v>Dwight K Schrute</v>
      </c>
      <c r="C2" s="39" t="n">
        <f aca="false">SUM(D2:P2)-G2</f>
        <v>68632.2580645161</v>
      </c>
      <c r="D2" s="29" t="n">
        <f aca="false">VLOOKUP($A2,'Staff Details'!$B$1:$K$7,9,0)/VLOOKUP($A2,'Attendance shrawan'!$A$1:$I$8,3,0)*VLOOKUP($A2,'Attendance shrawan'!$A$1:$I$8,9,0)</f>
        <v>6000</v>
      </c>
      <c r="E2" s="29" t="n">
        <f aca="false">VLOOKUP($A2,'Staff Details'!$B$1:$K$7,9,0)/VLOOKUP($A2,'Attendance shrawan'!K1:S8,3,0)*VLOOKUP($A2,'Attendance shrawan'!K1:S8,9,0)</f>
        <v>5800</v>
      </c>
      <c r="F2" s="29" t="n">
        <f aca="false">VLOOKUP($A2,'Staff Details'!$B$1:$K$7,9,0)/VLOOKUP($A2,'Attendance shrawan'!A11:I18,3,0)*VLOOKUP($A2,'Attendance shrawan'!A11:I18,9,0)</f>
        <v>5200</v>
      </c>
      <c r="G2" s="29" t="n">
        <f aca="false">VLOOKUP($A2,'Staff Details'!$B$1:$K$7,9,0)</f>
        <v>6000</v>
      </c>
      <c r="H2" s="29" t="n">
        <f aca="false">VLOOKUP($A2,'Staff Details'!$B$1:$K$7,9,0)/VLOOKUP($A2,'Attendance shrawan'!K11:S18,3,0)*VLOOKUP($A2,'Attendance shrawan'!K11:S18,9,0)</f>
        <v>5400</v>
      </c>
      <c r="I2" s="29" t="n">
        <f aca="false">VLOOKUP($A2,'Staff Details'!$B$1:$K$7,9,0)/VLOOKUP($A2,'Attendance shrawan'!A21:I28,3,0)*VLOOKUP($A2,'Attendance shrawan'!A21:I28,9,0)</f>
        <v>5032.25806451613</v>
      </c>
      <c r="J2" s="29" t="n">
        <f aca="false">VLOOKUP($A2,'Staff Details'!$B$1:$K$7,9,0)/VLOOKUP($A2,'Attendance shrawan'!K21:S28,3,0)*VLOOKUP($A2,'Attendance shrawan'!K21:S28,3,0)</f>
        <v>6000</v>
      </c>
      <c r="K2" s="29" t="n">
        <f aca="false">VLOOKUP($A2,'Staff Details'!$B$1:$K$7,9,0)/VLOOKUP($A2,'Attendance shrawan'!A31:I38,3,0)*VLOOKUP($A2,'Attendance shrawan'!A31:I38,9,0)</f>
        <v>6000</v>
      </c>
      <c r="L2" s="29" t="n">
        <f aca="false">VLOOKUP($A2,'Staff Details'!$B$1:$K$7,9,0)/VLOOKUP($A2,'Attendance shrawan'!K31:S38,3,0)*VLOOKUP($A2,'Attendance shrawan'!K31:S38,9,0)</f>
        <v>6000</v>
      </c>
      <c r="M2" s="29" t="n">
        <f aca="false">VLOOKUP($A2,'Staff Details'!$B$1:$K$7,9,0)/VLOOKUP($A2,'Attendance shrawan'!A41:I48,3,0)*VLOOKUP($A2,'Attendance shrawan'!A41:I48,3,0)</f>
        <v>6000</v>
      </c>
      <c r="N2" s="29" t="n">
        <f aca="false">VLOOKUP($A2,'Staff Details'!$B$1:$K$7,9,0)/VLOOKUP($A2,'Attendance shrawan'!K41:S48,3,0)*VLOOKUP($A2,'Attendance shrawan'!K41:S48,9,0)</f>
        <v>6000</v>
      </c>
      <c r="O2" s="29" t="n">
        <f aca="false">VLOOKUP($A2,'Staff Details'!$B$1:$K$7,9,0)/VLOOKUP($A2,'Attendance shrawan'!A51:I58,3,0)*VLOOKUP($A2,'Attendance shrawan'!A51:I58,9,0)</f>
        <v>5200</v>
      </c>
      <c r="P2" s="30" t="n">
        <f aca="false">VLOOKUP($A2,'Staff Details'!$B$1:$K$7,9,0)/VLOOKUP($A2,'Attendance shrawan'!K51:S58,3,0)*VLOOKUP($A2,'Attendance shrawan'!K51:S58,9,0)</f>
        <v>6000</v>
      </c>
    </row>
    <row r="3" customFormat="false" ht="15.75" hidden="false" customHeight="true" outlineLevel="0" collapsed="false">
      <c r="A3" s="4" t="n">
        <v>102</v>
      </c>
      <c r="B3" s="19" t="str">
        <f aca="false">VLOOKUP(A3,'Staff Details'!$B$1:$K$7,2,0)</f>
        <v>Rajesh Koothrapalli</v>
      </c>
      <c r="C3" s="39" t="n">
        <f aca="false">SUM(D3:P3)-G3</f>
        <v>0</v>
      </c>
      <c r="D3" s="29" t="n">
        <f aca="false">VLOOKUP($A3,'Staff Details'!$B$1:$K$7,9,0)/VLOOKUP($A3,'Attendance shrawan'!$A$1:$I$8,3,0)*VLOOKUP($A3,'Attendance shrawan'!$A$1:$I$8,9,0)</f>
        <v>0</v>
      </c>
      <c r="E3" s="29" t="n">
        <f aca="false">VLOOKUP($A3,'Staff Details'!$B$1:$K$7,9,0)/VLOOKUP($A3,'Attendance shrawan'!K2:S9,3,0)*VLOOKUP($A3,'Attendance shrawan'!K2:S9,9,0)</f>
        <v>0</v>
      </c>
      <c r="F3" s="29" t="n">
        <f aca="false">VLOOKUP($A3,'Staff Details'!$B$1:$K$7,9,0)/VLOOKUP($A3,'Attendance shrawan'!A12:I19,3,0)*VLOOKUP($A3,'Attendance shrawan'!A12:I19,9,0)</f>
        <v>0</v>
      </c>
      <c r="G3" s="29" t="n">
        <f aca="false">VLOOKUP($A3,'Staff Details'!$B$1:$K$7,9,0)</f>
        <v>0</v>
      </c>
      <c r="H3" s="29" t="n">
        <f aca="false">VLOOKUP($A3,'Staff Details'!$B$1:$K$7,9,0)/VLOOKUP($A3,'Attendance shrawan'!K12:S19,3,0)*VLOOKUP($A3,'Attendance shrawan'!K12:S19,9,0)</f>
        <v>0</v>
      </c>
      <c r="I3" s="29" t="n">
        <f aca="false">VLOOKUP($A3,'Staff Details'!$B$1:$K$7,9,0)/VLOOKUP($A3,'Attendance shrawan'!A22:I29,3,0)*VLOOKUP($A3,'Attendance shrawan'!A22:I29,9,0)</f>
        <v>0</v>
      </c>
      <c r="J3" s="29" t="n">
        <f aca="false">VLOOKUP($A3,'Staff Details'!$B$1:$K$7,9,0)/VLOOKUP($A3,'Attendance shrawan'!K22:S29,3,0)*VLOOKUP($A3,'Attendance shrawan'!K22:S29,3,0)</f>
        <v>0</v>
      </c>
      <c r="K3" s="29" t="n">
        <f aca="false">VLOOKUP($A3,'Staff Details'!$B$1:$K$7,9,0)/VLOOKUP($A3,'Attendance shrawan'!A32:I39,3,0)*VLOOKUP($A3,'Attendance shrawan'!A32:I39,9,0)</f>
        <v>0</v>
      </c>
      <c r="L3" s="29" t="n">
        <f aca="false">VLOOKUP($A3,'Staff Details'!$B$1:$K$7,9,0)/VLOOKUP($A3,'Attendance shrawan'!K32:S39,3,0)*VLOOKUP($A3,'Attendance shrawan'!K32:S39,9,0)</f>
        <v>0</v>
      </c>
      <c r="M3" s="29" t="n">
        <f aca="false">VLOOKUP($A3,'Staff Details'!$B$1:$K$7,9,0)/VLOOKUP($A3,'Attendance shrawan'!A42:I49,3,0)*VLOOKUP($A3,'Attendance shrawan'!A42:I49,3,0)</f>
        <v>0</v>
      </c>
      <c r="N3" s="29" t="n">
        <f aca="false">VLOOKUP($A3,'Staff Details'!$B$1:$K$7,9,0)/VLOOKUP($A3,'Attendance shrawan'!K42:S49,3,0)*VLOOKUP($A3,'Attendance shrawan'!K42:S49,9,0)</f>
        <v>0</v>
      </c>
      <c r="O3" s="29" t="n">
        <f aca="false">VLOOKUP($A3,'Staff Details'!$B$1:$K$7,9,0)/VLOOKUP($A3,'Attendance shrawan'!A52:I59,3,0)*VLOOKUP($A3,'Attendance shrawan'!A52:I59,9,0)</f>
        <v>0</v>
      </c>
      <c r="P3" s="30" t="n">
        <f aca="false">VLOOKUP($A3,'Staff Details'!$B$1:$K$7,9,0)/VLOOKUP($A3,'Attendance shrawan'!K52:S59,3,0)*VLOOKUP($A3,'Attendance shrawan'!K52:S59,9,0)</f>
        <v>0</v>
      </c>
    </row>
    <row r="4" customFormat="false" ht="15.75" hidden="false" customHeight="true" outlineLevel="0" collapsed="false">
      <c r="A4" s="4" t="n">
        <v>103</v>
      </c>
      <c r="B4" s="19" t="str">
        <f aca="false">VLOOKUP(A4,'Staff Details'!$B$1:$K$7,2,0)</f>
        <v>Leonard Hoffstader</v>
      </c>
      <c r="C4" s="39" t="n">
        <f aca="false">SUM(D4:P4)-G4</f>
        <v>0</v>
      </c>
      <c r="D4" s="29" t="n">
        <f aca="false">VLOOKUP($A4,'Staff Details'!$B$1:$K$7,9,0)/VLOOKUP($A4,'Attendance shrawan'!$A$1:$I$8,3,0)*VLOOKUP($A4,'Attendance shrawan'!$A$1:$I$8,9,0)</f>
        <v>0</v>
      </c>
      <c r="E4" s="29" t="n">
        <f aca="false">VLOOKUP($A4,'Staff Details'!$B$1:$K$7,9,0)/VLOOKUP($A4,'Attendance shrawan'!K3:S10,3,0)*VLOOKUP($A4,'Attendance shrawan'!K3:S10,9,0)</f>
        <v>0</v>
      </c>
      <c r="F4" s="29" t="n">
        <f aca="false">VLOOKUP($A4,'Staff Details'!$B$1:$K$7,9,0)/VLOOKUP($A4,'Attendance shrawan'!A13:I20,3,0)*VLOOKUP($A4,'Attendance shrawan'!A13:I20,9,0)</f>
        <v>0</v>
      </c>
      <c r="G4" s="29" t="n">
        <f aca="false">VLOOKUP($A4,'Staff Details'!$B$1:$K$7,9,0)</f>
        <v>0</v>
      </c>
      <c r="H4" s="29" t="n">
        <f aca="false">VLOOKUP($A4,'Staff Details'!$B$1:$K$7,9,0)/VLOOKUP($A4,'Attendance shrawan'!K13:S20,3,0)*VLOOKUP($A4,'Attendance shrawan'!K13:S20,9,0)</f>
        <v>0</v>
      </c>
      <c r="I4" s="29" t="n">
        <f aca="false">VLOOKUP($A4,'Staff Details'!$B$1:$K$7,9,0)/VLOOKUP($A4,'Attendance shrawan'!A23:I30,3,0)*VLOOKUP($A4,'Attendance shrawan'!A23:I30,9,0)</f>
        <v>0</v>
      </c>
      <c r="J4" s="29" t="n">
        <f aca="false">VLOOKUP($A4,'Staff Details'!$B$1:$K$7,9,0)/VLOOKUP($A4,'Attendance shrawan'!K23:S30,3,0)*VLOOKUP($A4,'Attendance shrawan'!K23:S30,3,0)</f>
        <v>0</v>
      </c>
      <c r="K4" s="29" t="n">
        <f aca="false">VLOOKUP($A4,'Staff Details'!$B$1:$K$7,9,0)/VLOOKUP($A4,'Attendance shrawan'!A33:I40,3,0)*VLOOKUP($A4,'Attendance shrawan'!A33:I40,9,0)</f>
        <v>0</v>
      </c>
      <c r="L4" s="29" t="n">
        <f aca="false">VLOOKUP($A4,'Staff Details'!$B$1:$K$7,9,0)/VLOOKUP($A4,'Attendance shrawan'!K33:S40,3,0)*VLOOKUP($A4,'Attendance shrawan'!K33:S40,9,0)</f>
        <v>0</v>
      </c>
      <c r="M4" s="29" t="n">
        <f aca="false">VLOOKUP($A4,'Staff Details'!$B$1:$K$7,9,0)/VLOOKUP($A4,'Attendance shrawan'!A43:I50,3,0)*VLOOKUP($A4,'Attendance shrawan'!A43:I50,3,0)</f>
        <v>0</v>
      </c>
      <c r="N4" s="29" t="n">
        <f aca="false">VLOOKUP($A4,'Staff Details'!$B$1:$K$7,9,0)/VLOOKUP($A4,'Attendance shrawan'!K43:S50,3,0)*VLOOKUP($A4,'Attendance shrawan'!K43:S50,9,0)</f>
        <v>0</v>
      </c>
      <c r="O4" s="29" t="n">
        <f aca="false">VLOOKUP($A4,'Staff Details'!$B$1:$K$7,9,0)/VLOOKUP($A4,'Attendance shrawan'!A53:I60,3,0)*VLOOKUP($A4,'Attendance shrawan'!A53:I60,9,0)</f>
        <v>0</v>
      </c>
      <c r="P4" s="30" t="n">
        <f aca="false">VLOOKUP($A4,'Staff Details'!$B$1:$K$7,9,0)/VLOOKUP($A4,'Attendance shrawan'!K53:S60,3,0)*VLOOKUP($A4,'Attendance shrawan'!K53:S60,9,0)</f>
        <v>0</v>
      </c>
    </row>
    <row r="5" customFormat="false" ht="15.75" hidden="false" customHeight="true" outlineLevel="0" collapsed="false">
      <c r="A5" s="4" t="n">
        <v>104</v>
      </c>
      <c r="B5" s="19" t="str">
        <f aca="false">VLOOKUP(A5,'Staff Details'!$B$1:$K$7,2,0)</f>
        <v>Howard Wolowitz</v>
      </c>
      <c r="C5" s="39" t="n">
        <f aca="false">SUM(D5:P5)-G5</f>
        <v>0</v>
      </c>
      <c r="D5" s="29" t="n">
        <f aca="false">VLOOKUP($A5,'Staff Details'!$B$1:$K$7,9,0)/VLOOKUP($A5,'Attendance shrawan'!$A$1:$I$8,3,0)*VLOOKUP($A5,'Attendance shrawan'!$A$1:$I$8,9,0)</f>
        <v>0</v>
      </c>
      <c r="E5" s="29" t="n">
        <f aca="false">VLOOKUP($A5,'Staff Details'!$B$1:$K$7,9,0)/VLOOKUP($A5,'Attendance shrawan'!K4:S11,3,0)*VLOOKUP($A5,'Attendance shrawan'!K4:S11,9,0)</f>
        <v>0</v>
      </c>
      <c r="F5" s="29" t="n">
        <f aca="false">VLOOKUP($A5,'Staff Details'!$B$1:$K$7,9,0)/VLOOKUP($A5,'Attendance shrawan'!A14:I21,3,0)*VLOOKUP($A5,'Attendance shrawan'!A14:I21,9,0)</f>
        <v>0</v>
      </c>
      <c r="G5" s="29" t="n">
        <f aca="false">VLOOKUP($A5,'Staff Details'!$B$1:$K$7,9,0)</f>
        <v>0</v>
      </c>
      <c r="H5" s="29" t="n">
        <f aca="false">VLOOKUP($A5,'Staff Details'!$B$1:$K$7,9,0)/VLOOKUP($A5,'Attendance shrawan'!K14:S21,3,0)*VLOOKUP($A5,'Attendance shrawan'!K14:S21,9,0)</f>
        <v>0</v>
      </c>
      <c r="I5" s="29" t="n">
        <f aca="false">VLOOKUP($A5,'Staff Details'!$B$1:$K$7,9,0)/VLOOKUP($A5,'Attendance shrawan'!A24:I31,3,0)*VLOOKUP($A5,'Attendance shrawan'!A24:I31,9,0)</f>
        <v>0</v>
      </c>
      <c r="J5" s="29" t="n">
        <f aca="false">VLOOKUP($A5,'Staff Details'!$B$1:$K$7,9,0)/VLOOKUP($A5,'Attendance shrawan'!K24:S31,3,0)*VLOOKUP($A5,'Attendance shrawan'!K24:S31,3,0)</f>
        <v>0</v>
      </c>
      <c r="K5" s="29" t="n">
        <f aca="false">VLOOKUP($A5,'Staff Details'!$B$1:$K$7,9,0)/VLOOKUP($A5,'Attendance shrawan'!A34:I41,3,0)*VLOOKUP($A5,'Attendance shrawan'!A34:I41,9,0)</f>
        <v>0</v>
      </c>
      <c r="L5" s="29" t="n">
        <f aca="false">VLOOKUP($A5,'Staff Details'!$B$1:$K$7,9,0)/VLOOKUP($A5,'Attendance shrawan'!K34:S41,3,0)*VLOOKUP($A5,'Attendance shrawan'!K34:S41,9,0)</f>
        <v>0</v>
      </c>
      <c r="M5" s="29" t="n">
        <f aca="false">VLOOKUP($A5,'Staff Details'!$B$1:$K$7,9,0)/VLOOKUP($A5,'Attendance shrawan'!A44:I51,3,0)*VLOOKUP($A5,'Attendance shrawan'!A44:I51,3,0)</f>
        <v>0</v>
      </c>
      <c r="N5" s="29" t="n">
        <f aca="false">VLOOKUP($A5,'Staff Details'!$B$1:$K$7,9,0)/VLOOKUP($A5,'Attendance shrawan'!K44:S51,3,0)*VLOOKUP($A5,'Attendance shrawan'!K44:S51,9,0)</f>
        <v>0</v>
      </c>
      <c r="O5" s="29" t="n">
        <f aca="false">VLOOKUP($A5,'Staff Details'!$B$1:$K$7,9,0)/VLOOKUP($A5,'Attendance shrawan'!A54:I61,3,0)*VLOOKUP($A5,'Attendance shrawan'!A54:I61,9,0)</f>
        <v>0</v>
      </c>
      <c r="P5" s="30" t="n">
        <f aca="false">VLOOKUP($A5,'Staff Details'!$B$1:$K$7,9,0)/VLOOKUP($A5,'Attendance shrawan'!K54:S61,3,0)*VLOOKUP($A5,'Attendance shrawan'!K54:S61,9,0)</f>
        <v>0</v>
      </c>
    </row>
    <row r="6" customFormat="false" ht="15.75" hidden="false" customHeight="true" outlineLevel="0" collapsed="false">
      <c r="A6" s="4" t="n">
        <v>105</v>
      </c>
      <c r="B6" s="19" t="str">
        <f aca="false">VLOOKUP(A6,'Staff Details'!$B$1:$K$7,2,0)</f>
        <v>Sheldon Cooper</v>
      </c>
      <c r="C6" s="39" t="n">
        <f aca="false">SUM(D6:P6)-G6</f>
        <v>0</v>
      </c>
      <c r="D6" s="29" t="n">
        <f aca="false">VLOOKUP($A6,'Staff Details'!$B$1:$K$7,9,0)/VLOOKUP($A6,'Attendance shrawan'!$A$1:$I$8,3,0)*VLOOKUP($A6,'Attendance shrawan'!$A$1:$I$8,9,0)</f>
        <v>0</v>
      </c>
      <c r="E6" s="29" t="n">
        <f aca="false">VLOOKUP($A6,'Staff Details'!$B$1:$K$7,9,0)/VLOOKUP($A6,'Attendance shrawan'!K5:S12,3,0)*VLOOKUP($A6,'Attendance shrawan'!K5:S12,9,0)</f>
        <v>0</v>
      </c>
      <c r="F6" s="29" t="n">
        <f aca="false">VLOOKUP($A6,'Staff Details'!$B$1:$K$7,9,0)/VLOOKUP($A6,'Attendance shrawan'!A15:I22,3,0)*VLOOKUP($A6,'Attendance shrawan'!A15:I22,9,0)</f>
        <v>0</v>
      </c>
      <c r="G6" s="29" t="n">
        <f aca="false">VLOOKUP($A6,'Staff Details'!$B$1:$K$7,9,0)</f>
        <v>0</v>
      </c>
      <c r="H6" s="29" t="n">
        <f aca="false">VLOOKUP($A6,'Staff Details'!$B$1:$K$7,9,0)/VLOOKUP($A6,'Attendance shrawan'!K15:S22,3,0)*VLOOKUP($A6,'Attendance shrawan'!K15:S22,9,0)</f>
        <v>0</v>
      </c>
      <c r="I6" s="29" t="n">
        <f aca="false">VLOOKUP($A6,'Staff Details'!$B$1:$K$7,9,0)/VLOOKUP($A6,'Attendance shrawan'!A25:I32,3,0)*VLOOKUP($A6,'Attendance shrawan'!A25:I32,9,0)</f>
        <v>0</v>
      </c>
      <c r="J6" s="29" t="n">
        <f aca="false">VLOOKUP($A6,'Staff Details'!$B$1:$K$7,9,0)/VLOOKUP($A6,'Attendance shrawan'!K25:S32,3,0)*VLOOKUP($A6,'Attendance shrawan'!K25:S32,3,0)</f>
        <v>0</v>
      </c>
      <c r="K6" s="29" t="n">
        <f aca="false">VLOOKUP($A6,'Staff Details'!$B$1:$K$7,9,0)/VLOOKUP($A6,'Attendance shrawan'!A35:I42,3,0)*VLOOKUP($A6,'Attendance shrawan'!A35:I42,9,0)</f>
        <v>0</v>
      </c>
      <c r="L6" s="29" t="n">
        <f aca="false">VLOOKUP($A6,'Staff Details'!$B$1:$K$7,9,0)/VLOOKUP($A6,'Attendance shrawan'!K35:S42,3,0)*VLOOKUP($A6,'Attendance shrawan'!K35:S42,9,0)</f>
        <v>0</v>
      </c>
      <c r="M6" s="29" t="n">
        <f aca="false">VLOOKUP($A6,'Staff Details'!$B$1:$K$7,9,0)/VLOOKUP($A6,'Attendance shrawan'!A45:I52,3,0)*VLOOKUP($A6,'Attendance shrawan'!A45:I52,3,0)</f>
        <v>0</v>
      </c>
      <c r="N6" s="29" t="n">
        <f aca="false">VLOOKUP($A6,'Staff Details'!$B$1:$K$7,9,0)/VLOOKUP($A6,'Attendance shrawan'!K45:S52,3,0)*VLOOKUP($A6,'Attendance shrawan'!K45:S52,9,0)</f>
        <v>0</v>
      </c>
      <c r="O6" s="29" t="n">
        <f aca="false">VLOOKUP($A6,'Staff Details'!$B$1:$K$7,9,0)/VLOOKUP($A6,'Attendance shrawan'!A55:I62,3,0)*VLOOKUP($A6,'Attendance shrawan'!A55:I62,9,0)</f>
        <v>0</v>
      </c>
      <c r="P6" s="30" t="n">
        <f aca="false">VLOOKUP($A6,'Staff Details'!$B$1:$K$7,9,0)/VLOOKUP($A6,'Attendance shrawan'!K55:S62,3,0)*VLOOKUP($A6,'Attendance shrawan'!K55:S62,9,0)</f>
        <v>0</v>
      </c>
    </row>
    <row r="7" customFormat="false" ht="15.75" hidden="false" customHeight="true" outlineLevel="0" collapsed="false">
      <c r="A7" s="4" t="n">
        <v>106</v>
      </c>
      <c r="B7" s="19" t="str">
        <f aca="false">VLOOKUP(A7,'Staff Details'!$B$1:$K$7,2,0)</f>
        <v>Euler</v>
      </c>
      <c r="C7" s="39" t="n">
        <f aca="false">SUM(D7:P7)-G7</f>
        <v>85920</v>
      </c>
      <c r="D7" s="29" t="n">
        <f aca="false">VLOOKUP($A7,'Staff Details'!$B$1:$K$7,9,0)/VLOOKUP($A7,'Attendance shrawan'!$A$1:$I$8,3,0)*VLOOKUP($A7,'Attendance shrawan'!$A$1:$I$8,9,0)</f>
        <v>7200</v>
      </c>
      <c r="E7" s="29" t="n">
        <f aca="false">VLOOKUP($A7,'Staff Details'!$B$1:$K$7,9,0)/VLOOKUP($A7,'Attendance shrawan'!K6:S13,3,0)*VLOOKUP($A7,'Attendance shrawan'!K6:S13,9,0)</f>
        <v>6720</v>
      </c>
      <c r="F7" s="29" t="n">
        <f aca="false">VLOOKUP($A7,'Staff Details'!$B$1:$K$7,9,0)/VLOOKUP($A7,'Attendance shrawan'!A16:I23,3,0)*VLOOKUP($A7,'Attendance shrawan'!A16:I23,9,0)</f>
        <v>7200</v>
      </c>
      <c r="G7" s="29" t="n">
        <f aca="false">VLOOKUP($A7,'Staff Details'!$B$1:$K$7,9,0)</f>
        <v>7200</v>
      </c>
      <c r="H7" s="29" t="n">
        <f aca="false">VLOOKUP($A7,'Staff Details'!$B$1:$K$7,9,0)/VLOOKUP($A7,'Attendance shrawan'!K16:S23,3,0)*VLOOKUP($A7,'Attendance shrawan'!K16:S23,9,0)</f>
        <v>7200</v>
      </c>
      <c r="I7" s="29" t="n">
        <f aca="false">VLOOKUP($A7,'Staff Details'!$B$1:$K$7,9,0)/VLOOKUP($A7,'Attendance shrawan'!A26:I33,3,0)*VLOOKUP($A7,'Attendance shrawan'!A26:I33,9,0)</f>
        <v>7200</v>
      </c>
      <c r="J7" s="29" t="n">
        <f aca="false">VLOOKUP($A7,'Staff Details'!$B$1:$K$7,9,0)/VLOOKUP($A7,'Attendance shrawan'!K26:S33,3,0)*VLOOKUP($A7,'Attendance shrawan'!K26:S33,3,0)</f>
        <v>7200</v>
      </c>
      <c r="K7" s="29" t="n">
        <f aca="false">VLOOKUP($A7,'Staff Details'!$B$1:$K$7,9,0)/VLOOKUP($A7,'Attendance shrawan'!A36:I43,3,0)*VLOOKUP($A7,'Attendance shrawan'!A36:I43,9,0)</f>
        <v>7200</v>
      </c>
      <c r="L7" s="29" t="n">
        <f aca="false">VLOOKUP($A7,'Staff Details'!$B$1:$K$7,9,0)/VLOOKUP($A7,'Attendance shrawan'!K36:S43,3,0)*VLOOKUP($A7,'Attendance shrawan'!K36:S43,9,0)</f>
        <v>7200</v>
      </c>
      <c r="M7" s="29" t="n">
        <f aca="false">VLOOKUP($A7,'Staff Details'!$B$1:$K$7,9,0)/VLOOKUP($A7,'Attendance shrawan'!A46:I53,3,0)*VLOOKUP($A7,'Attendance shrawan'!A46:I53,3,0)</f>
        <v>7200</v>
      </c>
      <c r="N7" s="29" t="n">
        <f aca="false">VLOOKUP($A7,'Staff Details'!$B$1:$K$7,9,0)/VLOOKUP($A7,'Attendance shrawan'!K46:S53,3,0)*VLOOKUP($A7,'Attendance shrawan'!K46:S53,9,0)</f>
        <v>7200</v>
      </c>
      <c r="O7" s="29" t="n">
        <f aca="false">VLOOKUP($A7,'Staff Details'!$B$1:$K$7,9,0)/VLOOKUP($A7,'Attendance shrawan'!A56:I63,3,0)*VLOOKUP($A7,'Attendance shrawan'!A56:I63,9,0)</f>
        <v>7200</v>
      </c>
      <c r="P7" s="30" t="n">
        <f aca="false">VLOOKUP($A7,'Staff Details'!$B$1:$K$7,9,0)/VLOOKUP($A7,'Attendance shrawan'!K56:S63,3,0)*VLOOKUP($A7,'Attendance shrawan'!K56:S63,9,0)</f>
        <v>7200</v>
      </c>
    </row>
    <row r="8" customFormat="false" ht="15.75" hidden="false" customHeight="true" outlineLevel="0" collapsed="false">
      <c r="A8" s="40" t="s">
        <v>65</v>
      </c>
      <c r="B8" s="40"/>
      <c r="C8" s="41" t="n">
        <f aca="false">SUM(C2:C7)</f>
        <v>154552.258064516</v>
      </c>
      <c r="D8" s="42" t="n">
        <f aca="false">SUM(D2:D7)</f>
        <v>13200</v>
      </c>
      <c r="E8" s="42" t="n">
        <f aca="false">SUM(E2:E7)</f>
        <v>12520</v>
      </c>
      <c r="F8" s="42" t="n">
        <f aca="false">SUM(F2:F7)</f>
        <v>12400</v>
      </c>
      <c r="G8" s="42" t="n">
        <f aca="false">SUM(G2:G7)</f>
        <v>13200</v>
      </c>
      <c r="H8" s="42" t="n">
        <f aca="false">SUM(H2:H7)</f>
        <v>12600</v>
      </c>
      <c r="I8" s="42" t="n">
        <f aca="false">SUM(I2:I7)</f>
        <v>12232.2580645161</v>
      </c>
      <c r="J8" s="42" t="n">
        <f aca="false">SUM(J2:J7)</f>
        <v>13200</v>
      </c>
      <c r="K8" s="42" t="n">
        <f aca="false">SUM(K2:K7)</f>
        <v>13200</v>
      </c>
      <c r="L8" s="42" t="n">
        <f aca="false">SUM(L2:L7)</f>
        <v>13200</v>
      </c>
      <c r="M8" s="42" t="n">
        <f aca="false">SUM(M2:M7)</f>
        <v>13200</v>
      </c>
      <c r="N8" s="42" t="n">
        <f aca="false">SUM(N2:N7)</f>
        <v>13200</v>
      </c>
      <c r="O8" s="42" t="n">
        <f aca="false">SUM(O2:O7)</f>
        <v>12400</v>
      </c>
      <c r="P8" s="43" t="n">
        <f aca="false">SUM(P2:P7)</f>
        <v>13200</v>
      </c>
    </row>
    <row r="9" customFormat="false" ht="15.75" hidden="false" customHeight="true" outlineLevel="0" collapsed="false"/>
    <row r="10" customFormat="false" ht="15.75" hidden="false" customHeight="true" outlineLevel="0" collapsed="false">
      <c r="C10" s="44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C1" colorId="64" zoomScale="78" zoomScaleNormal="78" zoomScalePageLayoutView="100" workbookViewId="0">
      <selection pane="topLeft" activeCell="O2" activeCellId="0" sqref="O2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14.88"/>
    <col collapsed="false" customWidth="true" hidden="false" outlineLevel="0" max="3" min="3" style="0" width="16.37"/>
    <col collapsed="false" customWidth="true" hidden="false" outlineLevel="0" max="15" min="4" style="0" width="11.63"/>
    <col collapsed="false" customWidth="true" hidden="false" outlineLevel="0" max="26" min="16" style="0" width="8.63"/>
  </cols>
  <sheetData>
    <row r="1" customFormat="false" ht="15.75" hidden="false" customHeight="true" outlineLevel="0" collapsed="false">
      <c r="A1" s="26" t="s">
        <v>20</v>
      </c>
      <c r="B1" s="27" t="s">
        <v>47</v>
      </c>
      <c r="C1" s="27" t="s">
        <v>75</v>
      </c>
      <c r="D1" s="27" t="s">
        <v>69</v>
      </c>
      <c r="E1" s="27" t="s">
        <v>35</v>
      </c>
      <c r="F1" s="27" t="s">
        <v>36</v>
      </c>
      <c r="G1" s="27" t="s">
        <v>71</v>
      </c>
      <c r="H1" s="27" t="s">
        <v>38</v>
      </c>
      <c r="I1" s="27" t="s">
        <v>39</v>
      </c>
      <c r="J1" s="27" t="s">
        <v>40</v>
      </c>
      <c r="K1" s="27" t="s">
        <v>41</v>
      </c>
      <c r="L1" s="27" t="s">
        <v>42</v>
      </c>
      <c r="M1" s="27" t="s">
        <v>72</v>
      </c>
      <c r="N1" s="27" t="s">
        <v>44</v>
      </c>
      <c r="O1" s="28" t="s">
        <v>74</v>
      </c>
    </row>
    <row r="2" customFormat="false" ht="15.75" hidden="false" customHeight="true" outlineLevel="0" collapsed="false">
      <c r="A2" s="4" t="n">
        <v>101</v>
      </c>
      <c r="B2" s="19" t="str">
        <f aca="false">VLOOKUP(A2,'Staff Details'!$B$1:$K$7,2,0)</f>
        <v>Dwight K Schrute</v>
      </c>
      <c r="C2" s="39" t="n">
        <f aca="false">SUM(D2:O2)</f>
        <v>45754.8387096774</v>
      </c>
      <c r="D2" s="29" t="n">
        <f aca="false">VLOOKUP($A2,'Staff Details'!$B$1:$K$7,10,0)/VLOOKUP($A2,'Attendance shrawan'!$A$1:$I$8,3,0)*VLOOKUP($A2,'Attendance shrawan'!$A$1:$I$8,9,0)</f>
        <v>4000</v>
      </c>
      <c r="E2" s="29" t="n">
        <f aca="false">VLOOKUP($A2,'Staff Details'!$B$1:$K$7,10,0)/VLOOKUP($A2,'Attendance shrawan'!K1:S8,3,0)*VLOOKUP($A2,'Attendance shrawan'!K1:S8,9,0)</f>
        <v>3866.66666666667</v>
      </c>
      <c r="F2" s="29" t="n">
        <f aca="false">VLOOKUP($A2,'Staff Details'!$B$1:$K$7,10,0)/VLOOKUP($A2,'Attendance shrawan'!A11:I18,3,0)*VLOOKUP($A2,'Attendance shrawan'!A11:I18,9,0)</f>
        <v>3466.66666666667</v>
      </c>
      <c r="G2" s="29" t="n">
        <f aca="false">VLOOKUP($A2,'Staff Details'!$B$1:$K$7,10,0)/VLOOKUP($A2,'Attendance shrawan'!K11:S18,3,0)*VLOOKUP($A2,'Attendance shrawan'!K11:S18,9,0)</f>
        <v>3600</v>
      </c>
      <c r="H2" s="29" t="n">
        <f aca="false">VLOOKUP($A2,'Staff Details'!$B$1:$K$7,10,0)/VLOOKUP($A2,'Attendance shrawan'!A21:I28,3,0)*VLOOKUP($A2,'Attendance shrawan'!A21:I28,9,0)</f>
        <v>3354.83870967742</v>
      </c>
      <c r="I2" s="29" t="n">
        <f aca="false">VLOOKUP($A2,'Staff Details'!$B$1:$K$7,10,0)/VLOOKUP($A2,'Attendance shrawan'!K21:S28,3,0)*VLOOKUP($A2,'Attendance shrawan'!K21:S28,3,0)</f>
        <v>4000</v>
      </c>
      <c r="J2" s="29" t="n">
        <f aca="false">VLOOKUP($A2,'Staff Details'!$B$1:$K$7,10,0)/VLOOKUP($A2,'Attendance shrawan'!A31:I38,3,0)*VLOOKUP($A2,'Attendance shrawan'!A31:I38,9,0)</f>
        <v>4000</v>
      </c>
      <c r="K2" s="29" t="n">
        <f aca="false">VLOOKUP($A2,'Staff Details'!$B$1:$K$7,10,0)/VLOOKUP($A2,'Attendance shrawan'!K31:S38,3,0)*VLOOKUP($A2,'Attendance shrawan'!K31:S38,9,0)</f>
        <v>4000</v>
      </c>
      <c r="L2" s="29" t="n">
        <f aca="false">VLOOKUP($A2,'Staff Details'!$B$1:$K$7,10,0)/VLOOKUP($A2,'Attendance shrawan'!A41:I48,3,0)*VLOOKUP($A2,'Attendance shrawan'!A41:I48,3,0)</f>
        <v>4000</v>
      </c>
      <c r="M2" s="29" t="n">
        <f aca="false">VLOOKUP($A2,'Staff Details'!$B$1:$K$7,10,0)/VLOOKUP($A2,'Attendance shrawan'!K41:S48,3,0)*VLOOKUP($A2,'Attendance shrawan'!K41:S48,9,0)</f>
        <v>4000</v>
      </c>
      <c r="N2" s="29" t="n">
        <f aca="false">VLOOKUP($A2,'Staff Details'!$B$1:$K$7,10,0)/VLOOKUP($A2,'Attendance shrawan'!A51:I58,3,0)*VLOOKUP($A2,'Attendance shrawan'!A51:I58,9,0)</f>
        <v>3466.66666666667</v>
      </c>
      <c r="O2" s="29" t="n">
        <f aca="false">VLOOKUP($A2,'Staff Details'!$B$1:$K$7,10,0)/VLOOKUP($A2,'Attendance shrawan'!K51:S58,3,0)*VLOOKUP($A2,'Attendance shrawan'!K51:S58,9,0)</f>
        <v>4000</v>
      </c>
    </row>
    <row r="3" customFormat="false" ht="15.75" hidden="false" customHeight="true" outlineLevel="0" collapsed="false">
      <c r="A3" s="4" t="n">
        <v>102</v>
      </c>
      <c r="B3" s="19" t="str">
        <f aca="false">VLOOKUP(A3,'Staff Details'!$B$1:$K$7,2,0)</f>
        <v>Rajesh Koothrapalli</v>
      </c>
      <c r="C3" s="39" t="n">
        <f aca="false">SUM(D3:O3)</f>
        <v>0</v>
      </c>
      <c r="D3" s="29" t="n">
        <f aca="false">VLOOKUP($A3,'Staff Details'!$B$1:$K$7,10,0)/VLOOKUP($A3,'Attendance shrawan'!$A$1:$I$8,3,0)*VLOOKUP($A3,'Attendance shrawan'!$A$1:$I$8,9,0)</f>
        <v>0</v>
      </c>
      <c r="E3" s="29" t="n">
        <f aca="false">VLOOKUP($A3,'Staff Details'!$B$1:$K$7,10,0)/VLOOKUP($A3,'Attendance shrawan'!K2:S9,3,0)*VLOOKUP($A3,'Attendance shrawan'!K2:S9,9,0)</f>
        <v>0</v>
      </c>
      <c r="F3" s="29" t="n">
        <f aca="false">VLOOKUP($A3,'Staff Details'!$B$1:$K$7,10,0)/VLOOKUP($A3,'Attendance shrawan'!A12:I19,3,0)*VLOOKUP($A3,'Attendance shrawan'!A12:I19,9,0)</f>
        <v>0</v>
      </c>
      <c r="G3" s="29" t="n">
        <f aca="false">VLOOKUP($A3,'Staff Details'!$B$1:$K$7,10,0)/VLOOKUP($A3,'Attendance shrawan'!K12:S19,3,0)*VLOOKUP($A3,'Attendance shrawan'!K12:S19,9,0)</f>
        <v>0</v>
      </c>
      <c r="H3" s="29" t="n">
        <f aca="false">VLOOKUP($A3,'Staff Details'!$B$1:$K$7,10,0)/VLOOKUP($A3,'Attendance shrawan'!A22:I29,3,0)*VLOOKUP($A3,'Attendance shrawan'!A22:I29,9,0)</f>
        <v>0</v>
      </c>
      <c r="I3" s="29" t="n">
        <f aca="false">VLOOKUP($A3,'Staff Details'!$B$1:$K$7,10,0)/VLOOKUP($A3,'Attendance shrawan'!K22:S29,3,0)*VLOOKUP($A3,'Attendance shrawan'!K22:S29,3,0)</f>
        <v>0</v>
      </c>
      <c r="J3" s="29" t="n">
        <f aca="false">VLOOKUP($A3,'Staff Details'!$B$1:$K$7,10,0)/VLOOKUP($A3,'Attendance shrawan'!A32:I39,3,0)*VLOOKUP($A3,'Attendance shrawan'!A32:I39,9,0)</f>
        <v>0</v>
      </c>
      <c r="K3" s="29" t="n">
        <f aca="false">VLOOKUP($A3,'Staff Details'!$B$1:$K$7,10,0)/VLOOKUP($A3,'Attendance shrawan'!K32:S39,3,0)*VLOOKUP($A3,'Attendance shrawan'!K32:S39,9,0)</f>
        <v>0</v>
      </c>
      <c r="L3" s="29" t="n">
        <f aca="false">VLOOKUP($A3,'Staff Details'!$B$1:$K$7,10,0)/VLOOKUP($A3,'Attendance shrawan'!A42:I49,3,0)*VLOOKUP($A3,'Attendance shrawan'!A42:I49,3,0)</f>
        <v>0</v>
      </c>
      <c r="M3" s="29" t="n">
        <f aca="false">VLOOKUP($A3,'Staff Details'!$B$1:$K$7,10,0)/VLOOKUP($A3,'Attendance shrawan'!K42:S49,3,0)*VLOOKUP($A3,'Attendance shrawan'!K42:S49,9,0)</f>
        <v>0</v>
      </c>
      <c r="N3" s="29" t="n">
        <f aca="false">VLOOKUP($A3,'Staff Details'!$B$1:$K$7,10,0)/VLOOKUP($A3,'Attendance shrawan'!A52:I59,3,0)*VLOOKUP($A3,'Attendance shrawan'!A52:I59,9,0)</f>
        <v>0</v>
      </c>
      <c r="O3" s="29" t="n">
        <f aca="false">VLOOKUP($A3,'Staff Details'!$B$1:$K$7,10,0)/VLOOKUP($A3,'Attendance shrawan'!K52:S59,3,0)*VLOOKUP($A3,'Attendance shrawan'!K52:S59,9,0)</f>
        <v>0</v>
      </c>
    </row>
    <row r="4" customFormat="false" ht="15.75" hidden="false" customHeight="true" outlineLevel="0" collapsed="false">
      <c r="A4" s="4" t="n">
        <v>103</v>
      </c>
      <c r="B4" s="19" t="str">
        <f aca="false">VLOOKUP(A4,'Staff Details'!$B$1:$K$7,2,0)</f>
        <v>Leonard Hoffstader</v>
      </c>
      <c r="C4" s="39" t="n">
        <f aca="false">SUM(D4:O4)</f>
        <v>0</v>
      </c>
      <c r="D4" s="29" t="n">
        <f aca="false">VLOOKUP($A4,'Staff Details'!$B$1:$K$7,10,0)/VLOOKUP($A4,'Attendance shrawan'!$A$1:$I$8,3,0)*VLOOKUP($A4,'Attendance shrawan'!$A$1:$I$8,9,0)</f>
        <v>0</v>
      </c>
      <c r="E4" s="29" t="n">
        <f aca="false">VLOOKUP($A4,'Staff Details'!$B$1:$K$7,10,0)/VLOOKUP($A4,'Attendance shrawan'!K3:S10,3,0)*VLOOKUP($A4,'Attendance shrawan'!K3:S10,9,0)</f>
        <v>0</v>
      </c>
      <c r="F4" s="29" t="n">
        <f aca="false">VLOOKUP($A4,'Staff Details'!$B$1:$K$7,10,0)/VLOOKUP($A4,'Attendance shrawan'!A13:I20,3,0)*VLOOKUP($A4,'Attendance shrawan'!A13:I20,9,0)</f>
        <v>0</v>
      </c>
      <c r="G4" s="29" t="n">
        <f aca="false">VLOOKUP($A4,'Staff Details'!$B$1:$K$7,10,0)/VLOOKUP($A4,'Attendance shrawan'!K13:S20,3,0)*VLOOKUP($A4,'Attendance shrawan'!K13:S20,9,0)</f>
        <v>0</v>
      </c>
      <c r="H4" s="29" t="n">
        <f aca="false">VLOOKUP($A4,'Staff Details'!$B$1:$K$7,10,0)/VLOOKUP($A4,'Attendance shrawan'!A23:I30,3,0)*VLOOKUP($A4,'Attendance shrawan'!A23:I30,9,0)</f>
        <v>0</v>
      </c>
      <c r="I4" s="29" t="n">
        <f aca="false">VLOOKUP($A4,'Staff Details'!$B$1:$K$7,10,0)/VLOOKUP($A4,'Attendance shrawan'!K23:S30,3,0)*VLOOKUP($A4,'Attendance shrawan'!K23:S30,3,0)</f>
        <v>0</v>
      </c>
      <c r="J4" s="29" t="n">
        <f aca="false">VLOOKUP($A4,'Staff Details'!$B$1:$K$7,10,0)/VLOOKUP($A4,'Attendance shrawan'!A33:I40,3,0)*VLOOKUP($A4,'Attendance shrawan'!A33:I40,9,0)</f>
        <v>0</v>
      </c>
      <c r="K4" s="29" t="n">
        <f aca="false">VLOOKUP($A4,'Staff Details'!$B$1:$K$7,10,0)/VLOOKUP($A4,'Attendance shrawan'!K33:S40,3,0)*VLOOKUP($A4,'Attendance shrawan'!K33:S40,9,0)</f>
        <v>0</v>
      </c>
      <c r="L4" s="29" t="n">
        <f aca="false">VLOOKUP($A4,'Staff Details'!$B$1:$K$7,10,0)/VLOOKUP($A4,'Attendance shrawan'!A43:I50,3,0)*VLOOKUP($A4,'Attendance shrawan'!A43:I50,3,0)</f>
        <v>0</v>
      </c>
      <c r="M4" s="29" t="n">
        <f aca="false">VLOOKUP($A4,'Staff Details'!$B$1:$K$7,10,0)/VLOOKUP($A4,'Attendance shrawan'!K43:S50,3,0)*VLOOKUP($A4,'Attendance shrawan'!K43:S50,9,0)</f>
        <v>0</v>
      </c>
      <c r="N4" s="29" t="n">
        <f aca="false">VLOOKUP($A4,'Staff Details'!$B$1:$K$7,10,0)/VLOOKUP($A4,'Attendance shrawan'!A53:I60,3,0)*VLOOKUP($A4,'Attendance shrawan'!A53:I60,9,0)</f>
        <v>0</v>
      </c>
      <c r="O4" s="29" t="n">
        <f aca="false">VLOOKUP($A4,'Staff Details'!$B$1:$K$7,10,0)/VLOOKUP($A4,'Attendance shrawan'!K53:S60,3,0)*VLOOKUP($A4,'Attendance shrawan'!K53:S60,9,0)</f>
        <v>0</v>
      </c>
    </row>
    <row r="5" customFormat="false" ht="15.75" hidden="false" customHeight="true" outlineLevel="0" collapsed="false">
      <c r="A5" s="4" t="n">
        <v>104</v>
      </c>
      <c r="B5" s="19" t="str">
        <f aca="false">VLOOKUP(A5,'Staff Details'!$B$1:$K$7,2,0)</f>
        <v>Howard Wolowitz</v>
      </c>
      <c r="C5" s="39" t="n">
        <f aca="false">SUM(D5:O5)</f>
        <v>0</v>
      </c>
      <c r="D5" s="29" t="n">
        <f aca="false">VLOOKUP($A5,'Staff Details'!$B$1:$K$7,10,0)/VLOOKUP($A5,'Attendance shrawan'!$A$1:$I$8,3,0)*VLOOKUP($A5,'Attendance shrawan'!$A$1:$I$8,9,0)</f>
        <v>0</v>
      </c>
      <c r="E5" s="29" t="n">
        <f aca="false">VLOOKUP($A5,'Staff Details'!$B$1:$K$7,10,0)/VLOOKUP($A5,'Attendance shrawan'!K4:S11,3,0)*VLOOKUP($A5,'Attendance shrawan'!K4:S11,9,0)</f>
        <v>0</v>
      </c>
      <c r="F5" s="29" t="n">
        <f aca="false">VLOOKUP($A5,'Staff Details'!$B$1:$K$7,10,0)/VLOOKUP($A5,'Attendance shrawan'!A14:I21,3,0)*VLOOKUP($A5,'Attendance shrawan'!A14:I21,9,0)</f>
        <v>0</v>
      </c>
      <c r="G5" s="29" t="n">
        <f aca="false">VLOOKUP($A5,'Staff Details'!$B$1:$K$7,10,0)/VLOOKUP($A5,'Attendance shrawan'!K14:S21,3,0)*VLOOKUP($A5,'Attendance shrawan'!K14:S21,9,0)</f>
        <v>0</v>
      </c>
      <c r="H5" s="29" t="n">
        <f aca="false">VLOOKUP($A5,'Staff Details'!$B$1:$K$7,10,0)/VLOOKUP($A5,'Attendance shrawan'!A24:I31,3,0)*VLOOKUP($A5,'Attendance shrawan'!A24:I31,9,0)</f>
        <v>0</v>
      </c>
      <c r="I5" s="29" t="n">
        <f aca="false">VLOOKUP($A5,'Staff Details'!$B$1:$K$7,10,0)/VLOOKUP($A5,'Attendance shrawan'!K24:S31,3,0)*VLOOKUP($A5,'Attendance shrawan'!K24:S31,3,0)</f>
        <v>0</v>
      </c>
      <c r="J5" s="29" t="n">
        <f aca="false">VLOOKUP($A5,'Staff Details'!$B$1:$K$7,10,0)/VLOOKUP($A5,'Attendance shrawan'!A34:I41,3,0)*VLOOKUP($A5,'Attendance shrawan'!A34:I41,9,0)</f>
        <v>0</v>
      </c>
      <c r="K5" s="29" t="n">
        <f aca="false">VLOOKUP($A5,'Staff Details'!$B$1:$K$7,10,0)/VLOOKUP($A5,'Attendance shrawan'!K34:S41,3,0)*VLOOKUP($A5,'Attendance shrawan'!K34:S41,9,0)</f>
        <v>0</v>
      </c>
      <c r="L5" s="29" t="n">
        <f aca="false">VLOOKUP($A5,'Staff Details'!$B$1:$K$7,10,0)/VLOOKUP($A5,'Attendance shrawan'!A44:I51,3,0)*VLOOKUP($A5,'Attendance shrawan'!A44:I51,3,0)</f>
        <v>0</v>
      </c>
      <c r="M5" s="29" t="n">
        <f aca="false">VLOOKUP($A5,'Staff Details'!$B$1:$K$7,10,0)/VLOOKUP($A5,'Attendance shrawan'!K44:S51,3,0)*VLOOKUP($A5,'Attendance shrawan'!K44:S51,9,0)</f>
        <v>0</v>
      </c>
      <c r="N5" s="29" t="n">
        <f aca="false">VLOOKUP($A5,'Staff Details'!$B$1:$K$7,10,0)/VLOOKUP($A5,'Attendance shrawan'!A54:I61,3,0)*VLOOKUP($A5,'Attendance shrawan'!A54:I61,9,0)</f>
        <v>0</v>
      </c>
      <c r="O5" s="29" t="n">
        <f aca="false">VLOOKUP($A5,'Staff Details'!$B$1:$K$7,10,0)/VLOOKUP($A5,'Attendance shrawan'!K54:S61,3,0)*VLOOKUP($A5,'Attendance shrawan'!K54:S61,9,0)</f>
        <v>0</v>
      </c>
    </row>
    <row r="6" customFormat="false" ht="15.75" hidden="false" customHeight="true" outlineLevel="0" collapsed="false">
      <c r="A6" s="4" t="n">
        <v>105</v>
      </c>
      <c r="B6" s="19" t="str">
        <f aca="false">VLOOKUP(A6,'Staff Details'!$B$1:$K$7,2,0)</f>
        <v>Sheldon Cooper</v>
      </c>
      <c r="C6" s="39" t="n">
        <f aca="false">SUM(D6:O6)</f>
        <v>0</v>
      </c>
      <c r="D6" s="29" t="n">
        <f aca="false">VLOOKUP($A6,'Staff Details'!$B$1:$K$7,10,0)/VLOOKUP($A6,'Attendance shrawan'!$A$1:$I$8,3,0)*VLOOKUP($A6,'Attendance shrawan'!$A$1:$I$8,9,0)</f>
        <v>0</v>
      </c>
      <c r="E6" s="29" t="n">
        <f aca="false">VLOOKUP($A6,'Staff Details'!$B$1:$K$7,10,0)/VLOOKUP($A6,'Attendance shrawan'!K5:S12,3,0)*VLOOKUP($A6,'Attendance shrawan'!K5:S12,9,0)</f>
        <v>0</v>
      </c>
      <c r="F6" s="29" t="n">
        <f aca="false">VLOOKUP($A6,'Staff Details'!$B$1:$K$7,10,0)/VLOOKUP($A6,'Attendance shrawan'!A15:I22,3,0)*VLOOKUP($A6,'Attendance shrawan'!A15:I22,9,0)</f>
        <v>0</v>
      </c>
      <c r="G6" s="29" t="n">
        <f aca="false">VLOOKUP($A6,'Staff Details'!$B$1:$K$7,10,0)/VLOOKUP($A6,'Attendance shrawan'!K15:S22,3,0)*VLOOKUP($A6,'Attendance shrawan'!K15:S22,9,0)</f>
        <v>0</v>
      </c>
      <c r="H6" s="29" t="n">
        <f aca="false">VLOOKUP($A6,'Staff Details'!$B$1:$K$7,10,0)/VLOOKUP($A6,'Attendance shrawan'!A25:I32,3,0)*VLOOKUP($A6,'Attendance shrawan'!A25:I32,9,0)</f>
        <v>0</v>
      </c>
      <c r="I6" s="29" t="n">
        <f aca="false">VLOOKUP($A6,'Staff Details'!$B$1:$K$7,10,0)/VLOOKUP($A6,'Attendance shrawan'!K25:S32,3,0)*VLOOKUP($A6,'Attendance shrawan'!K25:S32,3,0)</f>
        <v>0</v>
      </c>
      <c r="J6" s="29" t="n">
        <f aca="false">VLOOKUP($A6,'Staff Details'!$B$1:$K$7,10,0)/VLOOKUP($A6,'Attendance shrawan'!A35:I42,3,0)*VLOOKUP($A6,'Attendance shrawan'!A35:I42,9,0)</f>
        <v>0</v>
      </c>
      <c r="K6" s="29" t="n">
        <f aca="false">VLOOKUP($A6,'Staff Details'!$B$1:$K$7,10,0)/VLOOKUP($A6,'Attendance shrawan'!K35:S42,3,0)*VLOOKUP($A6,'Attendance shrawan'!K35:S42,9,0)</f>
        <v>0</v>
      </c>
      <c r="L6" s="29" t="n">
        <f aca="false">VLOOKUP($A6,'Staff Details'!$B$1:$K$7,10,0)/VLOOKUP($A6,'Attendance shrawan'!A45:I52,3,0)*VLOOKUP($A6,'Attendance shrawan'!A45:I52,3,0)</f>
        <v>0</v>
      </c>
      <c r="M6" s="29" t="n">
        <f aca="false">VLOOKUP($A6,'Staff Details'!$B$1:$K$7,10,0)/VLOOKUP($A6,'Attendance shrawan'!K45:S52,3,0)*VLOOKUP($A6,'Attendance shrawan'!K45:S52,9,0)</f>
        <v>0</v>
      </c>
      <c r="N6" s="29" t="n">
        <f aca="false">VLOOKUP($A6,'Staff Details'!$B$1:$K$7,10,0)/VLOOKUP($A6,'Attendance shrawan'!A55:I62,3,0)*VLOOKUP($A6,'Attendance shrawan'!A55:I62,9,0)</f>
        <v>0</v>
      </c>
      <c r="O6" s="29" t="n">
        <f aca="false">VLOOKUP($A6,'Staff Details'!$B$1:$K$7,10,0)/VLOOKUP($A6,'Attendance shrawan'!K55:S62,3,0)*VLOOKUP($A6,'Attendance shrawan'!K55:S62,9,0)</f>
        <v>0</v>
      </c>
    </row>
    <row r="7" customFormat="false" ht="15.75" hidden="false" customHeight="true" outlineLevel="0" collapsed="false">
      <c r="A7" s="4" t="n">
        <v>106</v>
      </c>
      <c r="B7" s="19" t="str">
        <f aca="false">VLOOKUP(A7,'Staff Details'!$B$1:$K$7,2,0)</f>
        <v>Euler</v>
      </c>
      <c r="C7" s="39" t="n">
        <f aca="false">SUM(D7:O7)</f>
        <v>57280</v>
      </c>
      <c r="D7" s="29" t="n">
        <f aca="false">VLOOKUP($A7,'Staff Details'!$B$1:$K$7,10,0)/VLOOKUP($A7,'Attendance shrawan'!$A$1:$I$8,3,0)*VLOOKUP($A7,'Attendance shrawan'!$A$1:$I$8,9,0)</f>
        <v>4800</v>
      </c>
      <c r="E7" s="29" t="n">
        <f aca="false">VLOOKUP($A7,'Staff Details'!$B$1:$K$7,10,0)/VLOOKUP($A7,'Attendance shrawan'!K6:S13,3,0)*VLOOKUP($A7,'Attendance shrawan'!K6:S13,9,0)</f>
        <v>4480</v>
      </c>
      <c r="F7" s="29" t="n">
        <f aca="false">VLOOKUP($A7,'Staff Details'!$B$1:$K$7,10,0)/VLOOKUP($A7,'Attendance shrawan'!A16:I23,3,0)*VLOOKUP($A7,'Attendance shrawan'!A16:I23,9,0)</f>
        <v>4800</v>
      </c>
      <c r="G7" s="29" t="n">
        <f aca="false">VLOOKUP($A7,'Staff Details'!$B$1:$K$7,10,0)/VLOOKUP($A7,'Attendance shrawan'!K16:S23,3,0)*VLOOKUP($A7,'Attendance shrawan'!K16:S23,9,0)</f>
        <v>4800</v>
      </c>
      <c r="H7" s="29" t="n">
        <f aca="false">VLOOKUP($A7,'Staff Details'!$B$1:$K$7,10,0)/VLOOKUP($A7,'Attendance shrawan'!A26:I33,3,0)*VLOOKUP($A7,'Attendance shrawan'!A26:I33,9,0)</f>
        <v>4800</v>
      </c>
      <c r="I7" s="29" t="n">
        <f aca="false">VLOOKUP($A7,'Staff Details'!$B$1:$K$7,10,0)/VLOOKUP($A7,'Attendance shrawan'!K26:S33,3,0)*VLOOKUP($A7,'Attendance shrawan'!K26:S33,3,0)</f>
        <v>4800</v>
      </c>
      <c r="J7" s="29" t="n">
        <f aca="false">VLOOKUP($A7,'Staff Details'!$B$1:$K$7,10,0)/VLOOKUP($A7,'Attendance shrawan'!A36:I43,3,0)*VLOOKUP($A7,'Attendance shrawan'!A36:I43,9,0)</f>
        <v>4800</v>
      </c>
      <c r="K7" s="29" t="n">
        <f aca="false">VLOOKUP($A7,'Staff Details'!$B$1:$K$7,10,0)/VLOOKUP($A7,'Attendance shrawan'!K36:S43,3,0)*VLOOKUP($A7,'Attendance shrawan'!K36:S43,9,0)</f>
        <v>4800</v>
      </c>
      <c r="L7" s="29" t="n">
        <f aca="false">VLOOKUP($A7,'Staff Details'!$B$1:$K$7,10,0)/VLOOKUP($A7,'Attendance shrawan'!A46:I53,3,0)*VLOOKUP($A7,'Attendance shrawan'!A46:I53,3,0)</f>
        <v>4800</v>
      </c>
      <c r="M7" s="29" t="n">
        <f aca="false">VLOOKUP($A7,'Staff Details'!$B$1:$K$7,10,0)/VLOOKUP($A7,'Attendance shrawan'!K46:S53,3,0)*VLOOKUP($A7,'Attendance shrawan'!K46:S53,9,0)</f>
        <v>4800</v>
      </c>
      <c r="N7" s="29" t="n">
        <f aca="false">VLOOKUP($A7,'Staff Details'!$B$1:$K$7,10,0)/VLOOKUP($A7,'Attendance shrawan'!A56:I63,3,0)*VLOOKUP($A7,'Attendance shrawan'!A56:I63,9,0)</f>
        <v>4800</v>
      </c>
      <c r="O7" s="29" t="n">
        <f aca="false">VLOOKUP($A7,'Staff Details'!$B$1:$K$7,10,0)/VLOOKUP($A7,'Attendance shrawan'!K56:S63,3,0)*VLOOKUP($A7,'Attendance shrawan'!K56:S63,9,0)</f>
        <v>4800</v>
      </c>
    </row>
    <row r="8" customFormat="false" ht="15.75" hidden="false" customHeight="true" outlineLevel="0" collapsed="false">
      <c r="A8" s="40" t="s">
        <v>65</v>
      </c>
      <c r="B8" s="40"/>
      <c r="C8" s="41" t="n">
        <f aca="false">SUM(C2:C7)</f>
        <v>103034.838709677</v>
      </c>
      <c r="D8" s="41" t="n">
        <f aca="false">SUM(D2:D7)</f>
        <v>8800</v>
      </c>
      <c r="E8" s="42" t="n">
        <f aca="false">SUM(E2:E7)</f>
        <v>8346.66666666667</v>
      </c>
      <c r="F8" s="42" t="n">
        <f aca="false">SUM(F2:F7)</f>
        <v>8266.66666666667</v>
      </c>
      <c r="G8" s="42" t="n">
        <f aca="false">SUM(G2:G7)</f>
        <v>8400</v>
      </c>
      <c r="H8" s="42" t="n">
        <f aca="false">SUM(H2:H7)</f>
        <v>8154.83870967742</v>
      </c>
      <c r="I8" s="42" t="n">
        <f aca="false">SUM(I2:I7)</f>
        <v>8800</v>
      </c>
      <c r="J8" s="42" t="n">
        <f aca="false">SUM(J2:J7)</f>
        <v>8800</v>
      </c>
      <c r="K8" s="42" t="n">
        <f aca="false">SUM(K2:K7)</f>
        <v>8800</v>
      </c>
      <c r="L8" s="42" t="n">
        <f aca="false">SUM(L2:L7)</f>
        <v>8800</v>
      </c>
      <c r="M8" s="42" t="n">
        <f aca="false">SUM(M2:M7)</f>
        <v>8800</v>
      </c>
      <c r="N8" s="42" t="n">
        <f aca="false">SUM(N2:N7)</f>
        <v>8266.66666666667</v>
      </c>
      <c r="O8" s="43" t="n">
        <f aca="false">SUM(O2:O7)</f>
        <v>8800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pane xSplit="1" ySplit="0" topLeftCell="B1" activePane="topRight" state="frozen"/>
      <selection pane="topLeft" activeCell="A1" activeCellId="0" sqref="A1"/>
      <selection pane="topRight" activeCell="F11" activeCellId="0" sqref="F11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9.62"/>
    <col collapsed="false" customWidth="true" hidden="false" outlineLevel="0" max="2" min="2" style="0" width="17.11"/>
    <col collapsed="false" customWidth="true" hidden="false" outlineLevel="0" max="3" min="3" style="0" width="14.75"/>
    <col collapsed="false" customWidth="true" hidden="false" outlineLevel="0" max="4" min="4" style="0" width="12.62"/>
    <col collapsed="false" customWidth="true" hidden="false" outlineLevel="0" max="5" min="5" style="0" width="15"/>
    <col collapsed="false" customWidth="true" hidden="false" outlineLevel="0" max="6" min="6" style="0" width="16.37"/>
    <col collapsed="false" customWidth="true" hidden="false" outlineLevel="0" max="7" min="7" style="0" width="16.25"/>
    <col collapsed="false" customWidth="true" hidden="false" outlineLevel="0" max="9" min="8" style="0" width="14.88"/>
    <col collapsed="false" customWidth="true" hidden="false" outlineLevel="0" max="10" min="10" style="0" width="15"/>
    <col collapsed="false" customWidth="true" hidden="false" outlineLevel="0" max="11" min="11" style="0" width="13.25"/>
    <col collapsed="false" customWidth="true" hidden="false" outlineLevel="0" max="12" min="12" style="0" width="13.37"/>
    <col collapsed="false" customWidth="true" hidden="false" outlineLevel="0" max="13" min="13" style="0" width="15.12"/>
    <col collapsed="false" customWidth="true" hidden="false" outlineLevel="0" max="14" min="14" style="0" width="13.25"/>
    <col collapsed="false" customWidth="true" hidden="false" outlineLevel="0" max="15" min="15" style="0" width="10.5"/>
    <col collapsed="false" customWidth="true" hidden="false" outlineLevel="0" max="17" min="16" style="0" width="12.12"/>
    <col collapsed="false" customWidth="true" hidden="false" outlineLevel="0" max="18" min="18" style="0" width="13.25"/>
    <col collapsed="false" customWidth="true" hidden="false" outlineLevel="0" max="20" min="19" style="0" width="10.5"/>
    <col collapsed="false" customWidth="true" hidden="false" outlineLevel="0" max="21" min="21" style="0" width="13.25"/>
    <col collapsed="false" customWidth="true" hidden="false" outlineLevel="0" max="22" min="22" style="0" width="11.38"/>
    <col collapsed="false" customWidth="true" hidden="false" outlineLevel="0" max="23" min="23" style="0" width="13.12"/>
    <col collapsed="false" customWidth="true" hidden="false" outlineLevel="0" max="24" min="24" style="0" width="10.5"/>
    <col collapsed="false" customWidth="true" hidden="false" outlineLevel="0" max="25" min="25" style="0" width="13.25"/>
    <col collapsed="false" customWidth="true" hidden="false" outlineLevel="0" max="26" min="26" style="0" width="12.37"/>
    <col collapsed="false" customWidth="true" hidden="false" outlineLevel="0" max="27" min="27" style="0" width="13.12"/>
  </cols>
  <sheetData>
    <row r="1" customFormat="false" ht="15.75" hidden="false" customHeight="true" outlineLevel="0" collapsed="false">
      <c r="A1" s="45" t="s">
        <v>20</v>
      </c>
      <c r="B1" s="46" t="s">
        <v>76</v>
      </c>
      <c r="C1" s="46" t="s">
        <v>48</v>
      </c>
      <c r="D1" s="46" t="s">
        <v>49</v>
      </c>
      <c r="E1" s="46" t="s">
        <v>50</v>
      </c>
      <c r="F1" s="46" t="s">
        <v>68</v>
      </c>
      <c r="G1" s="46" t="s">
        <v>75</v>
      </c>
      <c r="H1" s="46" t="s">
        <v>77</v>
      </c>
      <c r="I1" s="46" t="s">
        <v>78</v>
      </c>
      <c r="J1" s="46" t="s">
        <v>79</v>
      </c>
      <c r="K1" s="46" t="s">
        <v>80</v>
      </c>
      <c r="L1" s="46" t="s">
        <v>81</v>
      </c>
      <c r="M1" s="46" t="s">
        <v>82</v>
      </c>
      <c r="N1" s="46" t="s">
        <v>83</v>
      </c>
      <c r="O1" s="46" t="s">
        <v>84</v>
      </c>
      <c r="P1" s="47" t="n">
        <v>0.1</v>
      </c>
      <c r="Q1" s="47" t="n">
        <v>0.2</v>
      </c>
      <c r="R1" s="47" t="n">
        <v>0.3</v>
      </c>
      <c r="S1" s="48" t="s">
        <v>85</v>
      </c>
      <c r="T1" s="48" t="s">
        <v>86</v>
      </c>
      <c r="U1" s="48" t="s">
        <v>87</v>
      </c>
      <c r="V1" s="48" t="s">
        <v>88</v>
      </c>
      <c r="W1" s="48" t="s">
        <v>89</v>
      </c>
      <c r="X1" s="48" t="s">
        <v>90</v>
      </c>
      <c r="Y1" s="48" t="s">
        <v>91</v>
      </c>
      <c r="Z1" s="48" t="s">
        <v>92</v>
      </c>
      <c r="AA1" s="49" t="s">
        <v>93</v>
      </c>
    </row>
    <row r="2" customFormat="false" ht="15.75" hidden="false" customHeight="true" outlineLevel="0" collapsed="false">
      <c r="A2" s="4" t="n">
        <v>101</v>
      </c>
      <c r="B2" s="19" t="str">
        <f aca="false">VLOOKUP(A2,'Staff Details'!$B$1:$K$7,2,0)</f>
        <v>Dwight K Schrute</v>
      </c>
      <c r="C2" s="19" t="str">
        <f aca="false">VLOOKUP(A2,'Staff Details'!$B$1:$K$7,3,0)</f>
        <v>Female</v>
      </c>
      <c r="D2" s="19" t="str">
        <f aca="false">VLOOKUP(A2,'Staff Details'!$B$1:$K$7,4,0)</f>
        <v>Married</v>
      </c>
      <c r="E2" s="19" t="n">
        <f aca="false">VLOOKUP(A2,'Staff Details'!$B$1:$K$7,5,0)</f>
        <v>0</v>
      </c>
      <c r="F2" s="29" t="n">
        <f aca="false">VLOOKUP(A2,'Basic Salary'!$A$1:$C$7,3,0)</f>
        <v>68632.2580645161</v>
      </c>
      <c r="G2" s="29" t="n">
        <f aca="false">VLOOKUP(A2,Allowances!$A$1:$C$7,3,0)</f>
        <v>45754.8387096774</v>
      </c>
      <c r="H2" s="29" t="n">
        <f aca="false">VLOOKUP(A2,'Basic Salary'!$A$1:$G$7,7,0)</f>
        <v>6000</v>
      </c>
      <c r="I2" s="29" t="n">
        <f aca="false">F2*0.1</f>
        <v>6863.22580645161</v>
      </c>
      <c r="J2" s="29" t="n">
        <f aca="false">SUM(F2:I2)</f>
        <v>127250.322580645</v>
      </c>
      <c r="K2" s="29" t="n">
        <f aca="false">MIN(300000,J2/3,I2*2)</f>
        <v>13726.4516129032</v>
      </c>
      <c r="L2" s="29" t="n">
        <v>0</v>
      </c>
      <c r="M2" s="29" t="n">
        <f aca="false">J2-K2-L2</f>
        <v>113523.870967742</v>
      </c>
      <c r="N2" s="29" t="n">
        <f aca="false">IF(E2="Single",500000,600000)</f>
        <v>600000</v>
      </c>
      <c r="O2" s="29" t="n">
        <f aca="false">IF(M2&gt;N2,N2*0.01,M2*0.01)</f>
        <v>1135.23870967742</v>
      </c>
      <c r="P2" s="29" t="n">
        <f aca="false">IF(M2&lt;N2,0,IF(M2&gt;(N2+200000),200000*0.1,(M2-N2)*0.1))</f>
        <v>0</v>
      </c>
      <c r="Q2" s="29" t="n">
        <f aca="false">IF(M2&lt;(N2+200000),0,IF(M2&gt;(N2+500000),300000*0.2,(M2-N2-200000)*0.2))</f>
        <v>0</v>
      </c>
      <c r="R2" s="29" t="n">
        <f aca="false">IF(M2&gt;(N2+500000),(M2-N2-500000)*0.3,0)</f>
        <v>0</v>
      </c>
      <c r="S2" s="29" t="n">
        <f aca="false">IF(M2&gt;2000000,(M2-2000000)*0.06,0)</f>
        <v>0</v>
      </c>
      <c r="T2" s="29" t="n">
        <f aca="false">O2</f>
        <v>1135.23870967742</v>
      </c>
      <c r="U2" s="29" t="n">
        <f aca="false">SUM(P2:S2)</f>
        <v>0</v>
      </c>
      <c r="V2" s="29" t="n">
        <f aca="false">IF(AND($C2="Female",$D2="Unmarried"),T2*0.1,0)</f>
        <v>0</v>
      </c>
      <c r="W2" s="29" t="n">
        <f aca="false">IF(AND($C2="Female",$D2="Unmarried"),U2*0.1,0)</f>
        <v>0</v>
      </c>
      <c r="X2" s="29" t="n">
        <f aca="false">T2-V2</f>
        <v>1135.23870967742</v>
      </c>
      <c r="Y2" s="29" t="n">
        <f aca="false">U2-W2</f>
        <v>0</v>
      </c>
      <c r="Z2" s="29" t="n">
        <f aca="false">X2/12</f>
        <v>94.6032258064516</v>
      </c>
      <c r="AA2" s="30" t="n">
        <f aca="false">Y2/12</f>
        <v>0</v>
      </c>
    </row>
    <row r="3" customFormat="false" ht="15.75" hidden="false" customHeight="true" outlineLevel="0" collapsed="false">
      <c r="A3" s="4" t="n">
        <v>102</v>
      </c>
      <c r="B3" s="19" t="str">
        <f aca="false">VLOOKUP(A3,'Staff Details'!$B$1:$K$7,2,0)</f>
        <v>Rajesh Koothrapalli</v>
      </c>
      <c r="C3" s="19" t="str">
        <f aca="false">VLOOKUP(A3,'Staff Details'!$B$1:$K$7,3,0)</f>
        <v>Female</v>
      </c>
      <c r="D3" s="19" t="str">
        <f aca="false">VLOOKUP(A3,'Staff Details'!$B$1:$K$7,4,0)</f>
        <v>Unmarried</v>
      </c>
      <c r="E3" s="19" t="n">
        <f aca="false">VLOOKUP(A3,'Staff Details'!$B$1:$K$7,5,0)</f>
        <v>0</v>
      </c>
      <c r="F3" s="29" t="n">
        <f aca="false">VLOOKUP(A3,'Basic Salary'!$A$1:$C$7,3,0)</f>
        <v>0</v>
      </c>
      <c r="G3" s="29" t="n">
        <f aca="false">VLOOKUP(A3,Allowances!$A$1:$C$7,3,0)</f>
        <v>0</v>
      </c>
      <c r="H3" s="29" t="n">
        <f aca="false">VLOOKUP(A3,'Basic Salary'!$A$1:$G$7,7,0)</f>
        <v>0</v>
      </c>
      <c r="I3" s="29" t="n">
        <f aca="false">F3*0.1</f>
        <v>0</v>
      </c>
      <c r="J3" s="29" t="n">
        <f aca="false">SUM(F3:I3)</f>
        <v>0</v>
      </c>
      <c r="K3" s="29" t="n">
        <f aca="false">MIN(300000,J3/3,I3*2)</f>
        <v>0</v>
      </c>
      <c r="L3" s="29" t="n">
        <v>0</v>
      </c>
      <c r="M3" s="29" t="n">
        <f aca="false">J3-K3-L3</f>
        <v>0</v>
      </c>
      <c r="N3" s="29" t="n">
        <f aca="false">IF(E3="Single",500000,600000)</f>
        <v>600000</v>
      </c>
      <c r="O3" s="29" t="n">
        <f aca="false">IF(M3&gt;N3,N3*0.01,M3*0.01)</f>
        <v>0</v>
      </c>
      <c r="P3" s="29" t="n">
        <f aca="false">IF(M3&lt;N3,0,IF(M3&gt;(N3+200000),200000*0.1,(M3-N3)*0.1))</f>
        <v>0</v>
      </c>
      <c r="Q3" s="29" t="n">
        <f aca="false">IF(M3&lt;(N3+200000),0,IF(M3&gt;(N3+500000),300000*0.2,(M3-N3-200000)*0.2))</f>
        <v>0</v>
      </c>
      <c r="R3" s="29" t="n">
        <f aca="false">IF(M3&gt;(N3+500000),(M3-N3-500000)*0.3,0)</f>
        <v>0</v>
      </c>
      <c r="S3" s="29" t="n">
        <f aca="false">IF(M3&gt;2000000,(M3-2000000)*0.06,0)</f>
        <v>0</v>
      </c>
      <c r="T3" s="29" t="n">
        <f aca="false">O3</f>
        <v>0</v>
      </c>
      <c r="U3" s="29" t="n">
        <f aca="false">SUM(P3:S3)</f>
        <v>0</v>
      </c>
      <c r="V3" s="29" t="n">
        <f aca="false">IF(AND($C3="Female",$D3="Unmarried"),T3*0.1,0)</f>
        <v>0</v>
      </c>
      <c r="W3" s="29" t="n">
        <f aca="false">IF(AND($C3="Female",$D3="Unmarried"),U3*0.1,0)</f>
        <v>0</v>
      </c>
      <c r="X3" s="29" t="n">
        <f aca="false">T3-V3</f>
        <v>0</v>
      </c>
      <c r="Y3" s="29" t="n">
        <f aca="false">U3-W3</f>
        <v>0</v>
      </c>
      <c r="Z3" s="29" t="n">
        <f aca="false">X3/12</f>
        <v>0</v>
      </c>
      <c r="AA3" s="30" t="n">
        <f aca="false">Y3/12</f>
        <v>0</v>
      </c>
    </row>
    <row r="4" customFormat="false" ht="15.75" hidden="false" customHeight="true" outlineLevel="0" collapsed="false">
      <c r="A4" s="4" t="n">
        <v>103</v>
      </c>
      <c r="B4" s="19" t="str">
        <f aca="false">VLOOKUP(A4,'Staff Details'!$B$1:$K$7,2,0)</f>
        <v>Leonard Hoffstader</v>
      </c>
      <c r="C4" s="19" t="str">
        <f aca="false">VLOOKUP(A4,'Staff Details'!$B$1:$K$7,3,0)</f>
        <v>Female</v>
      </c>
      <c r="D4" s="19" t="str">
        <f aca="false">VLOOKUP(A4,'Staff Details'!$B$1:$K$7,4,0)</f>
        <v>Unmarried</v>
      </c>
      <c r="E4" s="19" t="n">
        <f aca="false">VLOOKUP(A4,'Staff Details'!$B$1:$K$7,5,0)</f>
        <v>0</v>
      </c>
      <c r="F4" s="29" t="n">
        <f aca="false">VLOOKUP(A4,'Basic Salary'!$A$1:$C$7,3,0)</f>
        <v>0</v>
      </c>
      <c r="G4" s="29" t="n">
        <f aca="false">VLOOKUP(A4,Allowances!$A$1:$C$7,3,0)</f>
        <v>0</v>
      </c>
      <c r="H4" s="29" t="n">
        <f aca="false">VLOOKUP(A4,'Basic Salary'!$A$1:$G$7,7,0)</f>
        <v>0</v>
      </c>
      <c r="I4" s="29" t="n">
        <f aca="false">F4*0.1</f>
        <v>0</v>
      </c>
      <c r="J4" s="29" t="n">
        <f aca="false">SUM(F4:I4)</f>
        <v>0</v>
      </c>
      <c r="K4" s="29" t="n">
        <f aca="false">MIN(300000,J4/3,I4*2)</f>
        <v>0</v>
      </c>
      <c r="L4" s="29" t="n">
        <v>0</v>
      </c>
      <c r="M4" s="29" t="n">
        <f aca="false">J4-K4-L4</f>
        <v>0</v>
      </c>
      <c r="N4" s="29" t="n">
        <f aca="false">IF(E4="Single",500000,600000)</f>
        <v>600000</v>
      </c>
      <c r="O4" s="29" t="n">
        <f aca="false">IF(M4&gt;N4,N4*0.01,M4*0.01)</f>
        <v>0</v>
      </c>
      <c r="P4" s="29" t="n">
        <f aca="false">IF(M4&lt;N4,0,IF(M4&gt;(N4+200000),200000*0.1,(M4-N4)*0.1))</f>
        <v>0</v>
      </c>
      <c r="Q4" s="29" t="n">
        <f aca="false">IF(M4&lt;(N4+200000),0,IF(M4&gt;(N4+500000),300000*0.2,(M4-N4-200000)*0.2))</f>
        <v>0</v>
      </c>
      <c r="R4" s="29" t="n">
        <f aca="false">IF(M4&gt;(N4+500000),(M4-N4-500000)*0.3,0)</f>
        <v>0</v>
      </c>
      <c r="S4" s="29" t="n">
        <f aca="false">IF(M4&gt;2000000,(M4-2000000)*0.06,0)</f>
        <v>0</v>
      </c>
      <c r="T4" s="29" t="n">
        <f aca="false">O4</f>
        <v>0</v>
      </c>
      <c r="U4" s="29" t="n">
        <f aca="false">SUM(P4:S4)</f>
        <v>0</v>
      </c>
      <c r="V4" s="29" t="n">
        <f aca="false">IF(AND($C4="Female",$D4="Unmarried"),T4*0.1,0)</f>
        <v>0</v>
      </c>
      <c r="W4" s="29" t="n">
        <f aca="false">IF(AND($C4="Female",$D4="Unmarried"),U4*0.1,0)</f>
        <v>0</v>
      </c>
      <c r="X4" s="29" t="n">
        <f aca="false">T4-V4</f>
        <v>0</v>
      </c>
      <c r="Y4" s="29" t="n">
        <f aca="false">U4-W4</f>
        <v>0</v>
      </c>
      <c r="Z4" s="29" t="n">
        <f aca="false">X4/12</f>
        <v>0</v>
      </c>
      <c r="AA4" s="30" t="n">
        <f aca="false">Y4/12</f>
        <v>0</v>
      </c>
    </row>
    <row r="5" customFormat="false" ht="15.75" hidden="false" customHeight="true" outlineLevel="0" collapsed="false">
      <c r="A5" s="4" t="n">
        <v>104</v>
      </c>
      <c r="B5" s="19" t="str">
        <f aca="false">VLOOKUP(A5,'Staff Details'!$B$1:$K$7,2,0)</f>
        <v>Howard Wolowitz</v>
      </c>
      <c r="C5" s="19" t="str">
        <f aca="false">VLOOKUP(A5,'Staff Details'!$B$1:$K$7,3,0)</f>
        <v>Male</v>
      </c>
      <c r="D5" s="19" t="str">
        <f aca="false">VLOOKUP(A5,'Staff Details'!$B$1:$K$7,4,0)</f>
        <v>Unmarried</v>
      </c>
      <c r="E5" s="19" t="n">
        <f aca="false">VLOOKUP(A5,'Staff Details'!$B$1:$K$7,5,0)</f>
        <v>0</v>
      </c>
      <c r="F5" s="29" t="n">
        <f aca="false">VLOOKUP(A5,'Basic Salary'!$A$1:$C$7,3,0)</f>
        <v>0</v>
      </c>
      <c r="G5" s="29" t="n">
        <f aca="false">VLOOKUP(A5,Allowances!$A$1:$C$7,3,0)</f>
        <v>0</v>
      </c>
      <c r="H5" s="29" t="n">
        <f aca="false">VLOOKUP(A5,'Basic Salary'!$A$1:$G$7,7,0)</f>
        <v>0</v>
      </c>
      <c r="I5" s="29" t="n">
        <f aca="false">F5*0.1</f>
        <v>0</v>
      </c>
      <c r="J5" s="29" t="n">
        <f aca="false">SUM(F5:I5)</f>
        <v>0</v>
      </c>
      <c r="K5" s="29" t="n">
        <f aca="false">MIN(300000,J5/3,I5*2)</f>
        <v>0</v>
      </c>
      <c r="L5" s="29" t="n">
        <v>0</v>
      </c>
      <c r="M5" s="29" t="n">
        <f aca="false">J5-K5-L5</f>
        <v>0</v>
      </c>
      <c r="N5" s="29" t="n">
        <f aca="false">IF(E5="Single",500000,600000)</f>
        <v>600000</v>
      </c>
      <c r="O5" s="29" t="n">
        <f aca="false">IF(M5&gt;N5,N5*0.01,M5*0.01)</f>
        <v>0</v>
      </c>
      <c r="P5" s="29" t="n">
        <f aca="false">IF(M5&lt;N5,0,IF(M5&gt;(N5+200000),200000*0.1,(M5-N5)*0.1))</f>
        <v>0</v>
      </c>
      <c r="Q5" s="29" t="n">
        <f aca="false">IF(M5&lt;(N5+200000),0,IF(M5&gt;(N5+500000),300000*0.2,(M5-N5-200000)*0.2))</f>
        <v>0</v>
      </c>
      <c r="R5" s="29" t="n">
        <f aca="false">IF(M5&gt;(N5+500000),(M5-N5-500000)*0.3,0)</f>
        <v>0</v>
      </c>
      <c r="S5" s="29" t="n">
        <f aca="false">IF(M5&gt;2000000,(M5-2000000)*0.06,0)</f>
        <v>0</v>
      </c>
      <c r="T5" s="29" t="n">
        <f aca="false">O5</f>
        <v>0</v>
      </c>
      <c r="U5" s="29" t="n">
        <f aca="false">SUM(P5:S5)</f>
        <v>0</v>
      </c>
      <c r="V5" s="29" t="n">
        <f aca="false">IF(AND($C5="Female",$D5="Unmarried"),T5*0.1,0)</f>
        <v>0</v>
      </c>
      <c r="W5" s="29" t="n">
        <f aca="false">IF(AND($C5="Female",$D5="Unmarried"),U5*0.1,0)</f>
        <v>0</v>
      </c>
      <c r="X5" s="29" t="n">
        <f aca="false">T5-V5</f>
        <v>0</v>
      </c>
      <c r="Y5" s="29" t="n">
        <f aca="false">U5-W5</f>
        <v>0</v>
      </c>
      <c r="Z5" s="29" t="n">
        <f aca="false">X5/12</f>
        <v>0</v>
      </c>
      <c r="AA5" s="30" t="n">
        <f aca="false">Y5/12</f>
        <v>0</v>
      </c>
    </row>
    <row r="6" customFormat="false" ht="15.75" hidden="false" customHeight="true" outlineLevel="0" collapsed="false">
      <c r="A6" s="4" t="n">
        <v>105</v>
      </c>
      <c r="B6" s="19" t="str">
        <f aca="false">VLOOKUP(A6,'Staff Details'!$B$1:$K$7,2,0)</f>
        <v>Sheldon Cooper</v>
      </c>
      <c r="C6" s="19" t="str">
        <f aca="false">VLOOKUP(A6,'Staff Details'!$B$1:$K$7,3,0)</f>
        <v>Male</v>
      </c>
      <c r="D6" s="19" t="str">
        <f aca="false">VLOOKUP(A6,'Staff Details'!$B$1:$K$7,4,0)</f>
        <v>Married</v>
      </c>
      <c r="E6" s="19" t="n">
        <f aca="false">VLOOKUP(A6,'Staff Details'!$B$1:$K$7,5,0)</f>
        <v>0</v>
      </c>
      <c r="F6" s="29" t="n">
        <f aca="false">VLOOKUP(A6,'Basic Salary'!$A$1:$C$7,3,0)</f>
        <v>0</v>
      </c>
      <c r="G6" s="29" t="n">
        <f aca="false">VLOOKUP(A6,Allowances!$A$1:$C$7,3,0)</f>
        <v>0</v>
      </c>
      <c r="H6" s="29" t="n">
        <f aca="false">VLOOKUP(A6,'Basic Salary'!$A$1:$G$7,7,0)</f>
        <v>0</v>
      </c>
      <c r="I6" s="29" t="n">
        <f aca="false">F6*0.1</f>
        <v>0</v>
      </c>
      <c r="J6" s="29" t="n">
        <f aca="false">SUM(F6:I6)</f>
        <v>0</v>
      </c>
      <c r="K6" s="29" t="n">
        <f aca="false">MIN(300000,J6/3,I6*2)</f>
        <v>0</v>
      </c>
      <c r="L6" s="29" t="n">
        <v>0</v>
      </c>
      <c r="M6" s="29" t="n">
        <f aca="false">J6-K6-L6</f>
        <v>0</v>
      </c>
      <c r="N6" s="29" t="n">
        <f aca="false">IF(E6="Single",500000,600000)</f>
        <v>600000</v>
      </c>
      <c r="O6" s="29" t="n">
        <f aca="false">IF(M6&gt;N6,N6*0.01,M6*0.01)</f>
        <v>0</v>
      </c>
      <c r="P6" s="29" t="n">
        <f aca="false">IF(M6&lt;N6,0,IF(M6&gt;(N6+200000),200000*0.1,(M6-N6)*0.1))</f>
        <v>0</v>
      </c>
      <c r="Q6" s="29" t="n">
        <f aca="false">IF(M6&lt;(N6+200000),0,IF(M6&gt;(N6+500000),300000*0.2,(M6-N6-200000)*0.2))</f>
        <v>0</v>
      </c>
      <c r="R6" s="29" t="n">
        <f aca="false">IF(M6&gt;(N6+500000),(M6-N6-500000)*0.3,0)</f>
        <v>0</v>
      </c>
      <c r="S6" s="29" t="n">
        <f aca="false">IF(M6&gt;2000000,(M6-2000000)*0.06,0)</f>
        <v>0</v>
      </c>
      <c r="T6" s="29" t="n">
        <f aca="false">O6</f>
        <v>0</v>
      </c>
      <c r="U6" s="29" t="n">
        <f aca="false">SUM(P6:S6)</f>
        <v>0</v>
      </c>
      <c r="V6" s="29" t="n">
        <f aca="false">IF(AND($C6="Female",$D6="Unmarried"),T6*0.1,0)</f>
        <v>0</v>
      </c>
      <c r="W6" s="29" t="n">
        <f aca="false">IF(AND($C6="Female",$D6="Unmarried"),U6*0.1,0)</f>
        <v>0</v>
      </c>
      <c r="X6" s="29" t="n">
        <f aca="false">T6-V6</f>
        <v>0</v>
      </c>
      <c r="Y6" s="29" t="n">
        <f aca="false">U6-W6</f>
        <v>0</v>
      </c>
      <c r="Z6" s="29" t="n">
        <f aca="false">X6/12</f>
        <v>0</v>
      </c>
      <c r="AA6" s="30" t="n">
        <f aca="false">Y6/12</f>
        <v>0</v>
      </c>
    </row>
    <row r="7" customFormat="false" ht="15.75" hidden="false" customHeight="true" outlineLevel="0" collapsed="false">
      <c r="A7" s="4" t="n">
        <v>106</v>
      </c>
      <c r="B7" s="19" t="str">
        <f aca="false">VLOOKUP(A7,'Staff Details'!$B$1:$K$7,2,0)</f>
        <v>Euler</v>
      </c>
      <c r="C7" s="19" t="str">
        <f aca="false">VLOOKUP(A7,'Staff Details'!$B$1:$K$7,3,0)</f>
        <v>Male</v>
      </c>
      <c r="D7" s="19" t="str">
        <f aca="false">VLOOKUP(A7,'Staff Details'!$B$1:$K$7,4,0)</f>
        <v>Married</v>
      </c>
      <c r="E7" s="19" t="n">
        <f aca="false">VLOOKUP(A7,'Staff Details'!$B$1:$K$7,5,0)</f>
        <v>0</v>
      </c>
      <c r="F7" s="29" t="n">
        <f aca="false">VLOOKUP(A7,'Basic Salary'!$A$1:$C$7,3,0)</f>
        <v>85920</v>
      </c>
      <c r="G7" s="29" t="n">
        <f aca="false">VLOOKUP(A7,Allowances!$A$1:$C$7,3,0)</f>
        <v>57280</v>
      </c>
      <c r="H7" s="29" t="n">
        <f aca="false">VLOOKUP(A7,'Basic Salary'!$A$1:$G$7,7,0)</f>
        <v>7200</v>
      </c>
      <c r="I7" s="29" t="n">
        <f aca="false">F7*0.1</f>
        <v>8592</v>
      </c>
      <c r="J7" s="29" t="n">
        <f aca="false">SUM(F7:I7)</f>
        <v>158992</v>
      </c>
      <c r="K7" s="29" t="n">
        <f aca="false">MIN(300000,J7/3,I7*2)</f>
        <v>17184</v>
      </c>
      <c r="L7" s="29" t="n">
        <v>0</v>
      </c>
      <c r="M7" s="29" t="n">
        <f aca="false">J7-K7-L7</f>
        <v>141808</v>
      </c>
      <c r="N7" s="29" t="n">
        <f aca="false">IF(E7="Single",500000,600000)</f>
        <v>600000</v>
      </c>
      <c r="O7" s="29" t="n">
        <f aca="false">IF(M7&gt;N7,N7*0.01,M7*0.01)</f>
        <v>1418.08</v>
      </c>
      <c r="P7" s="29" t="n">
        <f aca="false">IF(M7&lt;N7,0,IF(M7&gt;(N7+200000),200000*0.1,(M7-N7)*0.1))</f>
        <v>0</v>
      </c>
      <c r="Q7" s="29" t="n">
        <f aca="false">IF(M7&lt;(N7+200000),0,IF(M7&gt;(N7+500000),300000*0.2,(M7-N7-200000)*0.2))</f>
        <v>0</v>
      </c>
      <c r="R7" s="29" t="n">
        <f aca="false">IF(M7&gt;(N7+500000),(M7-N7-500000)*0.3,0)</f>
        <v>0</v>
      </c>
      <c r="S7" s="29" t="n">
        <f aca="false">IF(M7&gt;2000000,(M7-2000000)*0.06,0)</f>
        <v>0</v>
      </c>
      <c r="T7" s="29" t="n">
        <f aca="false">O7</f>
        <v>1418.08</v>
      </c>
      <c r="U7" s="29" t="n">
        <f aca="false">SUM(P7:S7)</f>
        <v>0</v>
      </c>
      <c r="V7" s="29" t="n">
        <f aca="false">IF(AND($C7="Female",$D7="Unmarried"),T7*0.1,0)</f>
        <v>0</v>
      </c>
      <c r="W7" s="29" t="n">
        <f aca="false">IF(AND($C7="Female",$D7="Unmarried"),U7*0.1,0)</f>
        <v>0</v>
      </c>
      <c r="X7" s="29" t="n">
        <f aca="false">T7-V7</f>
        <v>1418.08</v>
      </c>
      <c r="Y7" s="29" t="n">
        <f aca="false">U7-W7</f>
        <v>0</v>
      </c>
      <c r="Z7" s="29" t="n">
        <f aca="false">X7/12</f>
        <v>118.173333333333</v>
      </c>
      <c r="AA7" s="30" t="n">
        <f aca="false">Y7/12</f>
        <v>0</v>
      </c>
    </row>
    <row r="8" customFormat="false" ht="15.75" hidden="false" customHeight="true" outlineLevel="0" collapsed="false">
      <c r="A8" s="31" t="s">
        <v>65</v>
      </c>
      <c r="B8" s="31"/>
      <c r="C8" s="31"/>
      <c r="D8" s="31"/>
      <c r="E8" s="31"/>
      <c r="F8" s="32" t="n">
        <f aca="false">SUM(F2:F7)</f>
        <v>154552.258064516</v>
      </c>
      <c r="G8" s="32" t="n">
        <f aca="false">SUM(G2:G7)</f>
        <v>103034.838709677</v>
      </c>
      <c r="H8" s="32" t="n">
        <f aca="false">SUM(H2:H7)</f>
        <v>13200</v>
      </c>
      <c r="I8" s="32" t="n">
        <f aca="false">SUM(I2:I7)</f>
        <v>15455.2258064516</v>
      </c>
      <c r="J8" s="32" t="n">
        <f aca="false">SUM(J2:J7)</f>
        <v>286242.322580645</v>
      </c>
      <c r="K8" s="32" t="n">
        <f aca="false">SUM(K2:K7)</f>
        <v>30910.4516129032</v>
      </c>
      <c r="L8" s="32" t="n">
        <f aca="false">SUM(L2:L7)</f>
        <v>0</v>
      </c>
      <c r="M8" s="32" t="n">
        <f aca="false">SUM(M2:M7)</f>
        <v>255331.870967742</v>
      </c>
      <c r="N8" s="32" t="n">
        <f aca="false">SUM(N2:N7)</f>
        <v>3600000</v>
      </c>
      <c r="O8" s="32" t="n">
        <f aca="false">SUM(O2:O7)</f>
        <v>2553.31870967742</v>
      </c>
      <c r="P8" s="32" t="n">
        <f aca="false">SUM(P2:P7)</f>
        <v>0</v>
      </c>
      <c r="Q8" s="32" t="n">
        <f aca="false">SUM(Q2:Q7)</f>
        <v>0</v>
      </c>
      <c r="R8" s="32" t="n">
        <f aca="false">SUM(R2:R7)</f>
        <v>0</v>
      </c>
      <c r="S8" s="32" t="n">
        <f aca="false">SUM(S2:S7)</f>
        <v>0</v>
      </c>
      <c r="T8" s="32" t="n">
        <f aca="false">SUM(T2:T7)</f>
        <v>2553.31870967742</v>
      </c>
      <c r="U8" s="32" t="n">
        <f aca="false">SUM(U2:U7)</f>
        <v>0</v>
      </c>
      <c r="V8" s="32" t="n">
        <f aca="false">SUM(V2:V7)</f>
        <v>0</v>
      </c>
      <c r="W8" s="32" t="n">
        <f aca="false">SUM(W2:W7)</f>
        <v>0</v>
      </c>
      <c r="X8" s="32" t="n">
        <f aca="false">SUM(X2:X7)</f>
        <v>2553.31870967742</v>
      </c>
      <c r="Y8" s="32" t="n">
        <f aca="false">SUM(Y2:Y7)</f>
        <v>0</v>
      </c>
      <c r="Z8" s="32" t="n">
        <f aca="false">SUM(Z2:Z7)</f>
        <v>212.776559139785</v>
      </c>
      <c r="AA8" s="50" t="n">
        <f aca="false">SUM(AA2:AA7)</f>
        <v>0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8:E8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K13" activeCellId="0" sqref="K13"/>
    </sheetView>
  </sheetViews>
  <sheetFormatPr defaultColWidth="11.25390625" defaultRowHeight="15" zeroHeight="false" outlineLevelRow="0" outlineLevelCol="0"/>
  <cols>
    <col collapsed="false" customWidth="true" hidden="false" outlineLevel="0" max="1" min="1" style="0" width="14.38"/>
    <col collapsed="false" customWidth="true" hidden="false" outlineLevel="0" max="2" min="2" style="0" width="26.75"/>
    <col collapsed="false" customWidth="true" hidden="false" outlineLevel="0" max="3" min="3" style="0" width="12.62"/>
    <col collapsed="false" customWidth="true" hidden="false" outlineLevel="0" max="4" min="4" style="0" width="11.63"/>
    <col collapsed="false" customWidth="true" hidden="false" outlineLevel="0" max="5" min="5" style="0" width="20.38"/>
    <col collapsed="false" customWidth="true" hidden="false" outlineLevel="0" max="6" min="6" style="0" width="9.5"/>
    <col collapsed="false" customWidth="true" hidden="false" outlineLevel="0" max="7" min="7" style="0" width="18.12"/>
    <col collapsed="false" customWidth="true" hidden="false" outlineLevel="0" max="8" min="8" style="0" width="19"/>
    <col collapsed="false" customWidth="true" hidden="false" outlineLevel="0" max="9" min="9" style="0" width="11.63"/>
    <col collapsed="false" customWidth="true" hidden="false" outlineLevel="0" max="26" min="10" style="0" width="8.63"/>
  </cols>
  <sheetData>
    <row r="1" customFormat="false" ht="15.75" hidden="false" customHeight="true" outlineLevel="0" collapsed="false">
      <c r="A1" s="51" t="s">
        <v>20</v>
      </c>
      <c r="B1" s="52" t="s">
        <v>47</v>
      </c>
      <c r="C1" s="52" t="s">
        <v>94</v>
      </c>
      <c r="D1" s="52" t="s">
        <v>53</v>
      </c>
      <c r="E1" s="52" t="s">
        <v>95</v>
      </c>
      <c r="F1" s="52" t="s">
        <v>86</v>
      </c>
      <c r="G1" s="52" t="s">
        <v>87</v>
      </c>
      <c r="H1" s="53" t="s">
        <v>96</v>
      </c>
    </row>
    <row r="2" customFormat="false" ht="15.75" hidden="false" customHeight="true" outlineLevel="0" collapsed="false">
      <c r="A2" s="54" t="n">
        <v>101</v>
      </c>
      <c r="B2" s="24" t="str">
        <f aca="false">VLOOKUP(A2,'Staff Details'!$B$1:$C$7,2,0)</f>
        <v>Dwight K Schrute</v>
      </c>
      <c r="C2" s="55" t="n">
        <f aca="false">VLOOKUP(A2,'Basic Salary'!$A$1:$D$7,4,0)</f>
        <v>6000</v>
      </c>
      <c r="D2" s="55" t="n">
        <f aca="false">VLOOKUP(A2,Allowances!$A$1:$D$7,4,0)</f>
        <v>4000</v>
      </c>
      <c r="E2" s="55" t="n">
        <f aca="false">C2+D2</f>
        <v>10000</v>
      </c>
      <c r="F2" s="55" t="n">
        <f aca="false">VLOOKUP(A2,'Tax Calculation'!$A$1:$AA$7,26,0)</f>
        <v>94.6032258064516</v>
      </c>
      <c r="G2" s="55" t="n">
        <f aca="false">VLOOKUP(A2,'Tax Calculation'!$A$1:$AA$7,27,0)</f>
        <v>0</v>
      </c>
      <c r="H2" s="56" t="n">
        <f aca="false">E2-F2-G2</f>
        <v>9905.39677419355</v>
      </c>
    </row>
    <row r="3" customFormat="false" ht="15.75" hidden="false" customHeight="true" outlineLevel="0" collapsed="false">
      <c r="A3" s="54" t="n">
        <v>102</v>
      </c>
      <c r="B3" s="24" t="str">
        <f aca="false">VLOOKUP(A3,'Staff Details'!$B$1:$C$7,2,0)</f>
        <v>Rajesh Koothrapalli</v>
      </c>
      <c r="C3" s="55" t="n">
        <f aca="false">VLOOKUP(A3,'Basic Salary'!$A$1:$D$7,4,0)</f>
        <v>0</v>
      </c>
      <c r="D3" s="55" t="n">
        <f aca="false">VLOOKUP(A3,Allowances!$A$1:$D$7,4,0)</f>
        <v>0</v>
      </c>
      <c r="E3" s="55" t="n">
        <f aca="false">C3+D3</f>
        <v>0</v>
      </c>
      <c r="F3" s="55" t="n">
        <f aca="false">VLOOKUP(A3,'Tax Calculation'!$A$1:$AA$7,26,0)</f>
        <v>0</v>
      </c>
      <c r="G3" s="55" t="n">
        <f aca="false">VLOOKUP(A3,'Tax Calculation'!$A$1:$AA$7,27,0)</f>
        <v>0</v>
      </c>
      <c r="H3" s="56" t="n">
        <f aca="false">E3-F3-G3</f>
        <v>0</v>
      </c>
    </row>
    <row r="4" customFormat="false" ht="15.75" hidden="false" customHeight="true" outlineLevel="0" collapsed="false">
      <c r="A4" s="54" t="n">
        <v>103</v>
      </c>
      <c r="B4" s="24" t="str">
        <f aca="false">VLOOKUP(A4,'Staff Details'!$B$1:$C$7,2,0)</f>
        <v>Leonard Hoffstader</v>
      </c>
      <c r="C4" s="55" t="n">
        <f aca="false">VLOOKUP(A4,'Basic Salary'!$A$1:$D$7,4,0)</f>
        <v>0</v>
      </c>
      <c r="D4" s="55" t="n">
        <f aca="false">VLOOKUP(A4,Allowances!$A$1:$D$7,4,0)</f>
        <v>0</v>
      </c>
      <c r="E4" s="55" t="n">
        <f aca="false">C4+D4</f>
        <v>0</v>
      </c>
      <c r="F4" s="55" t="n">
        <f aca="false">VLOOKUP(A4,'Tax Calculation'!$A$1:$AA$7,26,0)</f>
        <v>0</v>
      </c>
      <c r="G4" s="55" t="n">
        <f aca="false">VLOOKUP(A4,'Tax Calculation'!$A$1:$AA$7,27,0)</f>
        <v>0</v>
      </c>
      <c r="H4" s="56" t="n">
        <f aca="false">E4-F4-G4</f>
        <v>0</v>
      </c>
    </row>
    <row r="5" customFormat="false" ht="15.75" hidden="false" customHeight="true" outlineLevel="0" collapsed="false">
      <c r="A5" s="54" t="n">
        <v>104</v>
      </c>
      <c r="B5" s="24" t="str">
        <f aca="false">VLOOKUP(A5,'Staff Details'!$B$1:$C$7,2,0)</f>
        <v>Howard Wolowitz</v>
      </c>
      <c r="C5" s="55" t="n">
        <f aca="false">VLOOKUP(A5,'Basic Salary'!$A$1:$D$7,4,0)</f>
        <v>0</v>
      </c>
      <c r="D5" s="55" t="n">
        <f aca="false">VLOOKUP(A5,Allowances!$A$1:$D$7,4,0)</f>
        <v>0</v>
      </c>
      <c r="E5" s="55" t="n">
        <f aca="false">C5+D5</f>
        <v>0</v>
      </c>
      <c r="F5" s="55" t="n">
        <f aca="false">VLOOKUP(A5,'Tax Calculation'!$A$1:$AA$7,26,0)</f>
        <v>0</v>
      </c>
      <c r="G5" s="55" t="n">
        <f aca="false">VLOOKUP(A5,'Tax Calculation'!$A$1:$AA$7,27,0)</f>
        <v>0</v>
      </c>
      <c r="H5" s="56" t="n">
        <f aca="false">E5-F5-G5</f>
        <v>0</v>
      </c>
    </row>
    <row r="6" customFormat="false" ht="15.75" hidden="false" customHeight="true" outlineLevel="0" collapsed="false">
      <c r="A6" s="54" t="n">
        <v>105</v>
      </c>
      <c r="B6" s="24" t="str">
        <f aca="false">VLOOKUP(A6,'Staff Details'!$B$1:$C$7,2,0)</f>
        <v>Sheldon Cooper</v>
      </c>
      <c r="C6" s="55" t="n">
        <f aca="false">VLOOKUP(A6,'Basic Salary'!$A$1:$D$7,4,0)</f>
        <v>0</v>
      </c>
      <c r="D6" s="55" t="n">
        <f aca="false">VLOOKUP(A6,Allowances!$A$1:$D$7,4,0)</f>
        <v>0</v>
      </c>
      <c r="E6" s="55" t="n">
        <f aca="false">C6+D6</f>
        <v>0</v>
      </c>
      <c r="F6" s="55" t="n">
        <f aca="false">VLOOKUP(A6,'Tax Calculation'!$A$1:$AA$7,26,0)</f>
        <v>0</v>
      </c>
      <c r="G6" s="55" t="n">
        <f aca="false">VLOOKUP(A6,'Tax Calculation'!$A$1:$AA$7,27,0)</f>
        <v>0</v>
      </c>
      <c r="H6" s="56" t="n">
        <f aca="false">E6-F6-G6</f>
        <v>0</v>
      </c>
      <c r="I6" s="44"/>
    </row>
    <row r="7" customFormat="false" ht="15.75" hidden="false" customHeight="true" outlineLevel="0" collapsed="false">
      <c r="A7" s="54" t="n">
        <v>106</v>
      </c>
      <c r="B7" s="24" t="str">
        <f aca="false">VLOOKUP(A7,'Staff Details'!$B$1:$C$7,2,0)</f>
        <v>Euler</v>
      </c>
      <c r="C7" s="55" t="n">
        <f aca="false">VLOOKUP(A7,'Basic Salary'!$A$1:$D$7,4,0)</f>
        <v>7200</v>
      </c>
      <c r="D7" s="55" t="n">
        <f aca="false">VLOOKUP(A7,Allowances!$A$1:$D$7,4,0)</f>
        <v>4800</v>
      </c>
      <c r="E7" s="55" t="n">
        <f aca="false">C7+D7</f>
        <v>12000</v>
      </c>
      <c r="F7" s="55" t="n">
        <f aca="false">VLOOKUP(A7,'Tax Calculation'!$A$1:$AA$7,26,0)</f>
        <v>118.173333333333</v>
      </c>
      <c r="G7" s="55" t="n">
        <f aca="false">VLOOKUP(A7,'Tax Calculation'!$A$1:$AA$7,27,0)</f>
        <v>0</v>
      </c>
      <c r="H7" s="56" t="n">
        <f aca="false">E7-F7-G7</f>
        <v>11881.8266666667</v>
      </c>
    </row>
    <row r="8" customFormat="false" ht="15.75" hidden="false" customHeight="true" outlineLevel="0" collapsed="false">
      <c r="A8" s="57" t="s">
        <v>65</v>
      </c>
      <c r="B8" s="57"/>
      <c r="C8" s="58" t="n">
        <f aca="false">SUM(C2:C7)</f>
        <v>13200</v>
      </c>
      <c r="D8" s="58" t="n">
        <f aca="false">SUM(D2:D7)</f>
        <v>8800</v>
      </c>
      <c r="E8" s="58" t="n">
        <f aca="false">SUM(E2:E7)</f>
        <v>22000</v>
      </c>
      <c r="F8" s="58" t="n">
        <f aca="false">SUM(F2:F7)</f>
        <v>212.776559139785</v>
      </c>
      <c r="G8" s="58" t="n">
        <f aca="false">SUM(G2:G7)</f>
        <v>0</v>
      </c>
      <c r="H8" s="59" t="n">
        <f aca="false">SUM(H2:H7)</f>
        <v>21787.2234408602</v>
      </c>
    </row>
    <row r="9" customFormat="false" ht="15.75" hidden="false" customHeight="true" outlineLevel="0" collapsed="false">
      <c r="A9" s="60" t="s">
        <v>97</v>
      </c>
      <c r="B9" s="60"/>
      <c r="C9" s="60"/>
      <c r="D9" s="60"/>
      <c r="E9" s="60"/>
      <c r="F9" s="60"/>
      <c r="G9" s="60"/>
      <c r="H9" s="60"/>
    </row>
    <row r="10" customFormat="false" ht="15.75" hidden="false" customHeight="true" outlineLevel="0" collapsed="false"/>
    <row r="11" customFormat="false" ht="15.75" hidden="false" customHeight="true" outlineLevel="0" collapsed="false">
      <c r="A11" s="51" t="s">
        <v>20</v>
      </c>
      <c r="B11" s="52" t="s">
        <v>47</v>
      </c>
      <c r="C11" s="52" t="s">
        <v>94</v>
      </c>
      <c r="D11" s="52" t="s">
        <v>53</v>
      </c>
      <c r="E11" s="52" t="s">
        <v>95</v>
      </c>
      <c r="F11" s="52" t="s">
        <v>86</v>
      </c>
      <c r="G11" s="52" t="s">
        <v>87</v>
      </c>
      <c r="H11" s="53" t="s">
        <v>96</v>
      </c>
    </row>
    <row r="12" customFormat="false" ht="15.75" hidden="false" customHeight="true" outlineLevel="0" collapsed="false">
      <c r="A12" s="54" t="n">
        <v>101</v>
      </c>
      <c r="B12" s="24" t="str">
        <f aca="false">VLOOKUP(A12,'Staff Details'!$B$1:$C$7,2,0)</f>
        <v>Dwight K Schrute</v>
      </c>
      <c r="C12" s="55" t="n">
        <f aca="false">VLOOKUP(A12,'Basic Salary'!A1:P8,5,0)</f>
        <v>5800</v>
      </c>
      <c r="D12" s="55" t="n">
        <f aca="false">VLOOKUP(A12,Allowances!A1:O8,5,0)</f>
        <v>3866.66666666667</v>
      </c>
      <c r="E12" s="55" t="n">
        <f aca="false">C12+D12</f>
        <v>9666.66666666667</v>
      </c>
      <c r="F12" s="55" t="n">
        <f aca="false">VLOOKUP(A12,'Tax Calculation'!$A$1:$AA$7,26,0)</f>
        <v>94.6032258064516</v>
      </c>
      <c r="G12" s="55" t="n">
        <f aca="false">VLOOKUP(A12,'Tax Calculation'!$A$1:$AA$7,27,0)</f>
        <v>0</v>
      </c>
      <c r="H12" s="56" t="n">
        <f aca="false">E12-F12-G12</f>
        <v>9572.06344086022</v>
      </c>
    </row>
    <row r="13" customFormat="false" ht="15.75" hidden="false" customHeight="true" outlineLevel="0" collapsed="false">
      <c r="A13" s="54" t="n">
        <v>102</v>
      </c>
      <c r="B13" s="24" t="str">
        <f aca="false">VLOOKUP(A13,'Staff Details'!$B$1:$C$7,2,0)</f>
        <v>Rajesh Koothrapalli</v>
      </c>
      <c r="C13" s="55" t="n">
        <f aca="false">VLOOKUP(A13,'Basic Salary'!A2:P9,5,0)</f>
        <v>0</v>
      </c>
      <c r="D13" s="55" t="n">
        <f aca="false">VLOOKUP(A13,Allowances!A2:O9,5,0)</f>
        <v>0</v>
      </c>
      <c r="E13" s="55" t="n">
        <f aca="false">C13+D13</f>
        <v>0</v>
      </c>
      <c r="F13" s="55" t="n">
        <f aca="false">VLOOKUP(A13,'Tax Calculation'!$A$1:$AA$7,26,0)</f>
        <v>0</v>
      </c>
      <c r="G13" s="55" t="n">
        <f aca="false">VLOOKUP(A13,'Tax Calculation'!$A$1:$AA$7,27,0)</f>
        <v>0</v>
      </c>
      <c r="H13" s="56" t="n">
        <f aca="false">E13-F13-G13</f>
        <v>0</v>
      </c>
    </row>
    <row r="14" customFormat="false" ht="15.75" hidden="false" customHeight="true" outlineLevel="0" collapsed="false">
      <c r="A14" s="54" t="n">
        <v>103</v>
      </c>
      <c r="B14" s="24" t="str">
        <f aca="false">VLOOKUP(A14,'Staff Details'!$B$1:$C$7,2,0)</f>
        <v>Leonard Hoffstader</v>
      </c>
      <c r="C14" s="55" t="n">
        <f aca="false">VLOOKUP(A14,'Basic Salary'!A3:P10,5,0)</f>
        <v>0</v>
      </c>
      <c r="D14" s="55" t="n">
        <f aca="false">VLOOKUP(A14,Allowances!A3:O10,5,0)</f>
        <v>0</v>
      </c>
      <c r="E14" s="55" t="n">
        <f aca="false">C14+D14</f>
        <v>0</v>
      </c>
      <c r="F14" s="55" t="n">
        <f aca="false">VLOOKUP(A14,'Tax Calculation'!$A$1:$AA$7,26,0)</f>
        <v>0</v>
      </c>
      <c r="G14" s="55" t="n">
        <f aca="false">VLOOKUP(A14,'Tax Calculation'!$A$1:$AA$7,27,0)</f>
        <v>0</v>
      </c>
      <c r="H14" s="56" t="n">
        <f aca="false">E14-F14-G14</f>
        <v>0</v>
      </c>
    </row>
    <row r="15" customFormat="false" ht="15.75" hidden="false" customHeight="true" outlineLevel="0" collapsed="false">
      <c r="A15" s="54" t="n">
        <v>104</v>
      </c>
      <c r="B15" s="24" t="str">
        <f aca="false">VLOOKUP(A15,'Staff Details'!$B$1:$C$7,2,0)</f>
        <v>Howard Wolowitz</v>
      </c>
      <c r="C15" s="55" t="n">
        <f aca="false">VLOOKUP(A15,'Basic Salary'!A4:P11,5,0)</f>
        <v>0</v>
      </c>
      <c r="D15" s="55" t="n">
        <f aca="false">VLOOKUP(A15,Allowances!A4:O11,5,0)</f>
        <v>0</v>
      </c>
      <c r="E15" s="55" t="n">
        <f aca="false">C15+D15</f>
        <v>0</v>
      </c>
      <c r="F15" s="55" t="n">
        <f aca="false">VLOOKUP(A15,'Tax Calculation'!$A$1:$AA$7,26,0)</f>
        <v>0</v>
      </c>
      <c r="G15" s="55" t="n">
        <f aca="false">VLOOKUP(A15,'Tax Calculation'!$A$1:$AA$7,27,0)</f>
        <v>0</v>
      </c>
      <c r="H15" s="56" t="n">
        <f aca="false">E15-F15-G15</f>
        <v>0</v>
      </c>
    </row>
    <row r="16" customFormat="false" ht="15.75" hidden="false" customHeight="true" outlineLevel="0" collapsed="false">
      <c r="A16" s="54" t="n">
        <v>105</v>
      </c>
      <c r="B16" s="24" t="str">
        <f aca="false">VLOOKUP(A16,'Staff Details'!$B$1:$C$7,2,0)</f>
        <v>Sheldon Cooper</v>
      </c>
      <c r="C16" s="55" t="n">
        <f aca="false">VLOOKUP(A16,'Basic Salary'!A5:P12,5,0)</f>
        <v>0</v>
      </c>
      <c r="D16" s="55" t="n">
        <f aca="false">VLOOKUP(A16,Allowances!A5:O12,5,0)</f>
        <v>0</v>
      </c>
      <c r="E16" s="55" t="n">
        <f aca="false">C16+D16</f>
        <v>0</v>
      </c>
      <c r="F16" s="55" t="n">
        <f aca="false">VLOOKUP(A16,'Tax Calculation'!$A$1:$AA$7,26,0)</f>
        <v>0</v>
      </c>
      <c r="G16" s="55" t="n">
        <f aca="false">VLOOKUP(A16,'Tax Calculation'!$A$1:$AA$7,27,0)</f>
        <v>0</v>
      </c>
      <c r="H16" s="56" t="n">
        <f aca="false">E16-F16-G16</f>
        <v>0</v>
      </c>
    </row>
    <row r="17" customFormat="false" ht="15.75" hidden="false" customHeight="true" outlineLevel="0" collapsed="false">
      <c r="A17" s="54" t="n">
        <v>106</v>
      </c>
      <c r="B17" s="24" t="str">
        <f aca="false">VLOOKUP(A17,'Staff Details'!$B$1:$C$7,2,0)</f>
        <v>Euler</v>
      </c>
      <c r="C17" s="55" t="n">
        <f aca="false">VLOOKUP(A17,'Basic Salary'!A6:P13,5,0)</f>
        <v>6720</v>
      </c>
      <c r="D17" s="55" t="n">
        <f aca="false">VLOOKUP(A17,Allowances!A6:O13,5,0)</f>
        <v>4480</v>
      </c>
      <c r="E17" s="55" t="n">
        <f aca="false">C17+D17</f>
        <v>11200</v>
      </c>
      <c r="F17" s="55" t="n">
        <f aca="false">VLOOKUP(A17,'Tax Calculation'!$A$1:$AA$7,26,0)</f>
        <v>118.173333333333</v>
      </c>
      <c r="G17" s="55" t="n">
        <f aca="false">VLOOKUP(A17,'Tax Calculation'!$A$1:$AA$7,27,0)</f>
        <v>0</v>
      </c>
      <c r="H17" s="56" t="n">
        <f aca="false">E17-F17-G17</f>
        <v>11081.8266666667</v>
      </c>
    </row>
    <row r="18" customFormat="false" ht="15.75" hidden="false" customHeight="true" outlineLevel="0" collapsed="false">
      <c r="A18" s="57" t="s">
        <v>65</v>
      </c>
      <c r="B18" s="57"/>
      <c r="C18" s="58" t="n">
        <f aca="false">SUM(C12:C17)</f>
        <v>12520</v>
      </c>
      <c r="D18" s="58" t="n">
        <f aca="false">SUM(D12:D17)</f>
        <v>8346.66666666667</v>
      </c>
      <c r="E18" s="58" t="n">
        <f aca="false">SUM(E12:E17)</f>
        <v>20866.6666666667</v>
      </c>
      <c r="F18" s="58" t="n">
        <f aca="false">SUM(F12:F17)</f>
        <v>212.776559139785</v>
      </c>
      <c r="G18" s="58" t="n">
        <f aca="false">SUM(G12:G17)</f>
        <v>0</v>
      </c>
      <c r="H18" s="59" t="n">
        <f aca="false">SUM(H12:H17)</f>
        <v>20653.8901075269</v>
      </c>
    </row>
    <row r="19" customFormat="false" ht="15.75" hidden="false" customHeight="true" outlineLevel="0" collapsed="false">
      <c r="A19" s="60" t="s">
        <v>98</v>
      </c>
      <c r="B19" s="60"/>
      <c r="C19" s="60"/>
      <c r="D19" s="60"/>
      <c r="E19" s="60"/>
      <c r="F19" s="60"/>
      <c r="G19" s="60"/>
      <c r="H19" s="60"/>
    </row>
    <row r="20" customFormat="false" ht="15.75" hidden="false" customHeight="true" outlineLevel="0" collapsed="false"/>
    <row r="21" customFormat="false" ht="15.75" hidden="false" customHeight="true" outlineLevel="0" collapsed="false">
      <c r="A21" s="51" t="s">
        <v>20</v>
      </c>
      <c r="B21" s="52" t="s">
        <v>47</v>
      </c>
      <c r="C21" s="52" t="s">
        <v>94</v>
      </c>
      <c r="D21" s="52" t="s">
        <v>53</v>
      </c>
      <c r="E21" s="52" t="s">
        <v>95</v>
      </c>
      <c r="F21" s="52" t="s">
        <v>86</v>
      </c>
      <c r="G21" s="52" t="s">
        <v>87</v>
      </c>
      <c r="H21" s="53" t="s">
        <v>96</v>
      </c>
    </row>
    <row r="22" customFormat="false" ht="15.75" hidden="false" customHeight="true" outlineLevel="0" collapsed="false">
      <c r="A22" s="54" t="n">
        <v>101</v>
      </c>
      <c r="B22" s="24" t="str">
        <f aca="false">VLOOKUP(A22,'Staff Details'!$B$1:$C$7,2,0)</f>
        <v>Dwight K Schrute</v>
      </c>
      <c r="C22" s="55" t="n">
        <f aca="false">VLOOKUP($A22,'Basic Salary'!$A2:$P9,6,0)</f>
        <v>5200</v>
      </c>
      <c r="D22" s="55" t="n">
        <f aca="false">VLOOKUP(A22,Allowances!A1:O8,6,0)</f>
        <v>3466.66666666667</v>
      </c>
      <c r="E22" s="55" t="n">
        <f aca="false">C22+D22</f>
        <v>8666.66666666667</v>
      </c>
      <c r="F22" s="55" t="n">
        <f aca="false">VLOOKUP(A22,'Tax Calculation'!$A$1:$AA$7,26,0)</f>
        <v>94.6032258064516</v>
      </c>
      <c r="G22" s="55" t="n">
        <f aca="false">VLOOKUP(A22,'Tax Calculation'!$A$1:$AA$7,27,0)</f>
        <v>0</v>
      </c>
      <c r="H22" s="56" t="n">
        <f aca="false">E22-F22-G22</f>
        <v>8572.06344086022</v>
      </c>
    </row>
    <row r="23" customFormat="false" ht="15.75" hidden="false" customHeight="true" outlineLevel="0" collapsed="false">
      <c r="A23" s="54" t="n">
        <v>102</v>
      </c>
      <c r="B23" s="24" t="str">
        <f aca="false">VLOOKUP(A23,'Staff Details'!$B$1:$C$7,2,0)</f>
        <v>Rajesh Koothrapalli</v>
      </c>
      <c r="C23" s="55" t="n">
        <f aca="false">VLOOKUP($A23,'Basic Salary'!$A3:$P10,6,0)</f>
        <v>0</v>
      </c>
      <c r="D23" s="55" t="n">
        <f aca="false">VLOOKUP(A23,Allowances!A2:O9,6,0)</f>
        <v>0</v>
      </c>
      <c r="E23" s="55" t="n">
        <f aca="false">C23+D23</f>
        <v>0</v>
      </c>
      <c r="F23" s="55" t="n">
        <f aca="false">VLOOKUP(A23,'Tax Calculation'!$A$1:$AA$7,26,0)</f>
        <v>0</v>
      </c>
      <c r="G23" s="55" t="n">
        <f aca="false">VLOOKUP(A23,'Tax Calculation'!$A$1:$AA$7,27,0)</f>
        <v>0</v>
      </c>
      <c r="H23" s="56" t="n">
        <f aca="false">E23-F23-G23</f>
        <v>0</v>
      </c>
    </row>
    <row r="24" customFormat="false" ht="15.75" hidden="false" customHeight="true" outlineLevel="0" collapsed="false">
      <c r="A24" s="54" t="n">
        <v>103</v>
      </c>
      <c r="B24" s="24" t="str">
        <f aca="false">VLOOKUP(A24,'Staff Details'!$B$1:$C$7,2,0)</f>
        <v>Leonard Hoffstader</v>
      </c>
      <c r="C24" s="55" t="n">
        <f aca="false">VLOOKUP($A24,'Basic Salary'!$A4:$P11,6,0)</f>
        <v>0</v>
      </c>
      <c r="D24" s="55" t="n">
        <f aca="false">VLOOKUP(A24,Allowances!A3:O10,6,0)</f>
        <v>0</v>
      </c>
      <c r="E24" s="55" t="n">
        <f aca="false">C24+D24</f>
        <v>0</v>
      </c>
      <c r="F24" s="55" t="n">
        <f aca="false">VLOOKUP(A24,'Tax Calculation'!$A$1:$AA$7,26,0)</f>
        <v>0</v>
      </c>
      <c r="G24" s="55" t="n">
        <f aca="false">VLOOKUP(A24,'Tax Calculation'!$A$1:$AA$7,27,0)</f>
        <v>0</v>
      </c>
      <c r="H24" s="56" t="n">
        <f aca="false">E24-F24-G24</f>
        <v>0</v>
      </c>
    </row>
    <row r="25" customFormat="false" ht="15.75" hidden="false" customHeight="true" outlineLevel="0" collapsed="false">
      <c r="A25" s="54" t="n">
        <v>104</v>
      </c>
      <c r="B25" s="24" t="str">
        <f aca="false">VLOOKUP(A25,'Staff Details'!$B$1:$C$7,2,0)</f>
        <v>Howard Wolowitz</v>
      </c>
      <c r="C25" s="55" t="n">
        <f aca="false">VLOOKUP($A25,'Basic Salary'!$A5:$P12,6,0)</f>
        <v>0</v>
      </c>
      <c r="D25" s="55" t="n">
        <f aca="false">VLOOKUP(A25,Allowances!A4:O11,6,0)</f>
        <v>0</v>
      </c>
      <c r="E25" s="55" t="n">
        <f aca="false">C25+D25</f>
        <v>0</v>
      </c>
      <c r="F25" s="55" t="n">
        <f aca="false">VLOOKUP(A25,'Tax Calculation'!$A$1:$AA$7,26,0)</f>
        <v>0</v>
      </c>
      <c r="G25" s="55" t="n">
        <f aca="false">VLOOKUP(A25,'Tax Calculation'!$A$1:$AA$7,27,0)</f>
        <v>0</v>
      </c>
      <c r="H25" s="56" t="n">
        <f aca="false">E25-F25-G25</f>
        <v>0</v>
      </c>
    </row>
    <row r="26" customFormat="false" ht="15.75" hidden="false" customHeight="true" outlineLevel="0" collapsed="false">
      <c r="A26" s="54" t="n">
        <v>105</v>
      </c>
      <c r="B26" s="24" t="str">
        <f aca="false">VLOOKUP(A26,'Staff Details'!$B$1:$C$7,2,0)</f>
        <v>Sheldon Cooper</v>
      </c>
      <c r="C26" s="55" t="n">
        <f aca="false">VLOOKUP($A26,'Basic Salary'!$A6:$P13,6,0)</f>
        <v>0</v>
      </c>
      <c r="D26" s="55" t="n">
        <f aca="false">VLOOKUP(A26,Allowances!A5:O12,6,0)</f>
        <v>0</v>
      </c>
      <c r="E26" s="55" t="n">
        <f aca="false">C26+D26</f>
        <v>0</v>
      </c>
      <c r="F26" s="55" t="n">
        <f aca="false">VLOOKUP(A26,'Tax Calculation'!$A$1:$AA$7,26,0)</f>
        <v>0</v>
      </c>
      <c r="G26" s="55" t="n">
        <f aca="false">VLOOKUP(A26,'Tax Calculation'!$A$1:$AA$7,27,0)</f>
        <v>0</v>
      </c>
      <c r="H26" s="56" t="n">
        <f aca="false">E26-F26-G26</f>
        <v>0</v>
      </c>
    </row>
    <row r="27" customFormat="false" ht="15.75" hidden="false" customHeight="true" outlineLevel="0" collapsed="false">
      <c r="A27" s="54" t="n">
        <v>106</v>
      </c>
      <c r="B27" s="24" t="str">
        <f aca="false">VLOOKUP(A27,'Staff Details'!$B$1:$C$7,2,0)</f>
        <v>Euler</v>
      </c>
      <c r="C27" s="55" t="n">
        <f aca="false">VLOOKUP($A27,'Basic Salary'!$A7:$P14,6,0)</f>
        <v>7200</v>
      </c>
      <c r="D27" s="55" t="n">
        <f aca="false">VLOOKUP(A27,Allowances!A6:O13,6,0)</f>
        <v>4800</v>
      </c>
      <c r="E27" s="55" t="n">
        <f aca="false">C27+D27</f>
        <v>12000</v>
      </c>
      <c r="F27" s="55" t="n">
        <f aca="false">VLOOKUP(A27,'Tax Calculation'!$A$1:$AA$7,26,0)</f>
        <v>118.173333333333</v>
      </c>
      <c r="G27" s="55" t="n">
        <f aca="false">VLOOKUP(A27,'Tax Calculation'!$A$1:$AA$7,27,0)</f>
        <v>0</v>
      </c>
      <c r="H27" s="56" t="n">
        <f aca="false">E27-F27-G27</f>
        <v>11881.8266666667</v>
      </c>
    </row>
    <row r="28" customFormat="false" ht="15.75" hidden="false" customHeight="true" outlineLevel="0" collapsed="false">
      <c r="A28" s="57" t="s">
        <v>65</v>
      </c>
      <c r="B28" s="57"/>
      <c r="C28" s="58" t="n">
        <f aca="false">SUM(C22:C27)</f>
        <v>12400</v>
      </c>
      <c r="D28" s="58" t="n">
        <f aca="false">SUM(D22:D27)</f>
        <v>8266.66666666667</v>
      </c>
      <c r="E28" s="58" t="n">
        <f aca="false">SUM(E22:E27)</f>
        <v>20666.6666666667</v>
      </c>
      <c r="F28" s="58" t="n">
        <f aca="false">SUM(F22:F27)</f>
        <v>212.776559139785</v>
      </c>
      <c r="G28" s="58" t="n">
        <f aca="false">SUM(G22:G27)</f>
        <v>0</v>
      </c>
      <c r="H28" s="59" t="n">
        <f aca="false">SUM(H22:H27)</f>
        <v>20453.8901075269</v>
      </c>
    </row>
    <row r="29" customFormat="false" ht="15.75" hidden="false" customHeight="true" outlineLevel="0" collapsed="false">
      <c r="A29" s="60" t="s">
        <v>99</v>
      </c>
      <c r="B29" s="60"/>
      <c r="C29" s="60"/>
      <c r="D29" s="60"/>
      <c r="E29" s="60"/>
      <c r="F29" s="60"/>
      <c r="G29" s="60"/>
      <c r="H29" s="60"/>
    </row>
    <row r="30" customFormat="false" ht="15.75" hidden="false" customHeight="true" outlineLevel="0" collapsed="false"/>
    <row r="31" customFormat="false" ht="15.75" hidden="false" customHeight="true" outlineLevel="0" collapsed="false">
      <c r="A31" s="51" t="s">
        <v>20</v>
      </c>
      <c r="B31" s="52" t="s">
        <v>47</v>
      </c>
      <c r="C31" s="52" t="s">
        <v>94</v>
      </c>
      <c r="D31" s="52" t="s">
        <v>53</v>
      </c>
      <c r="E31" s="52" t="s">
        <v>95</v>
      </c>
      <c r="F31" s="52" t="s">
        <v>86</v>
      </c>
      <c r="G31" s="52" t="s">
        <v>87</v>
      </c>
      <c r="H31" s="53" t="s">
        <v>96</v>
      </c>
    </row>
    <row r="32" customFormat="false" ht="15.75" hidden="false" customHeight="true" outlineLevel="0" collapsed="false">
      <c r="A32" s="54" t="n">
        <v>101</v>
      </c>
      <c r="B32" s="24" t="str">
        <f aca="false">VLOOKUP(A32,'Staff Details'!$B$1:$C$7,2,0)</f>
        <v>Dwight K Schrute</v>
      </c>
      <c r="C32" s="55" t="n">
        <f aca="false">VLOOKUP(A32,'Basic Salary'!A2:P9,7,0)</f>
        <v>6000</v>
      </c>
      <c r="D32" s="55" t="n">
        <f aca="false">VLOOKUP(A32,Allowances!A1:O8,7,0)</f>
        <v>3600</v>
      </c>
      <c r="E32" s="55" t="n">
        <f aca="false">C32+D32</f>
        <v>9600</v>
      </c>
      <c r="F32" s="55" t="n">
        <f aca="false">VLOOKUP(A32,'Tax Calculation'!$A$1:$AA$7,26,0)</f>
        <v>94.6032258064516</v>
      </c>
      <c r="G32" s="55" t="n">
        <f aca="false">VLOOKUP(A32,'Tax Calculation'!$A$1:$AA$7,27,0)</f>
        <v>0</v>
      </c>
      <c r="H32" s="56" t="n">
        <f aca="false">E32-F32-G32</f>
        <v>9505.39677419355</v>
      </c>
    </row>
    <row r="33" customFormat="false" ht="15.75" hidden="false" customHeight="true" outlineLevel="0" collapsed="false">
      <c r="A33" s="54" t="n">
        <v>102</v>
      </c>
      <c r="B33" s="24" t="str">
        <f aca="false">VLOOKUP(A33,'Staff Details'!$B$1:$C$7,2,0)</f>
        <v>Rajesh Koothrapalli</v>
      </c>
      <c r="C33" s="55" t="n">
        <f aca="false">VLOOKUP(A33,'Basic Salary'!A3:P10,7,0)</f>
        <v>0</v>
      </c>
      <c r="D33" s="55" t="n">
        <f aca="false">VLOOKUP(A33,Allowances!A2:O9,7,0)</f>
        <v>0</v>
      </c>
      <c r="E33" s="55" t="n">
        <f aca="false">C33+D33</f>
        <v>0</v>
      </c>
      <c r="F33" s="55" t="n">
        <f aca="false">VLOOKUP(A33,'Tax Calculation'!$A$1:$AA$7,26,0)</f>
        <v>0</v>
      </c>
      <c r="G33" s="55" t="n">
        <f aca="false">VLOOKUP(A33,'Tax Calculation'!$A$1:$AA$7,27,0)</f>
        <v>0</v>
      </c>
      <c r="H33" s="56" t="n">
        <f aca="false">E33-F33-G33</f>
        <v>0</v>
      </c>
    </row>
    <row r="34" customFormat="false" ht="15.75" hidden="false" customHeight="true" outlineLevel="0" collapsed="false">
      <c r="A34" s="54" t="n">
        <v>103</v>
      </c>
      <c r="B34" s="24" t="str">
        <f aca="false">VLOOKUP(A34,'Staff Details'!$B$1:$C$7,2,0)</f>
        <v>Leonard Hoffstader</v>
      </c>
      <c r="C34" s="55" t="n">
        <f aca="false">VLOOKUP(A34,'Basic Salary'!A4:P11,7,0)</f>
        <v>0</v>
      </c>
      <c r="D34" s="55" t="n">
        <f aca="false">VLOOKUP(A34,Allowances!A3:O10,7,0)</f>
        <v>0</v>
      </c>
      <c r="E34" s="55" t="n">
        <f aca="false">C34+D34</f>
        <v>0</v>
      </c>
      <c r="F34" s="55" t="n">
        <f aca="false">VLOOKUP(A34,'Tax Calculation'!$A$1:$AA$7,26,0)</f>
        <v>0</v>
      </c>
      <c r="G34" s="55" t="n">
        <f aca="false">VLOOKUP(A34,'Tax Calculation'!$A$1:$AA$7,27,0)</f>
        <v>0</v>
      </c>
      <c r="H34" s="56" t="n">
        <f aca="false">E34-F34-G34</f>
        <v>0</v>
      </c>
    </row>
    <row r="35" customFormat="false" ht="15.75" hidden="false" customHeight="true" outlineLevel="0" collapsed="false">
      <c r="A35" s="54" t="n">
        <v>104</v>
      </c>
      <c r="B35" s="24" t="str">
        <f aca="false">VLOOKUP(A35,'Staff Details'!$B$1:$C$7,2,0)</f>
        <v>Howard Wolowitz</v>
      </c>
      <c r="C35" s="55" t="n">
        <f aca="false">VLOOKUP(A35,'Basic Salary'!A5:P12,7,0)</f>
        <v>0</v>
      </c>
      <c r="D35" s="55" t="n">
        <f aca="false">VLOOKUP(A35,Allowances!A4:O11,7,0)</f>
        <v>0</v>
      </c>
      <c r="E35" s="55" t="n">
        <f aca="false">C35+D35</f>
        <v>0</v>
      </c>
      <c r="F35" s="55" t="n">
        <f aca="false">VLOOKUP(A35,'Tax Calculation'!$A$1:$AA$7,26,0)</f>
        <v>0</v>
      </c>
      <c r="G35" s="55" t="n">
        <f aca="false">VLOOKUP(A35,'Tax Calculation'!$A$1:$AA$7,27,0)</f>
        <v>0</v>
      </c>
      <c r="H35" s="56" t="n">
        <f aca="false">E35-F35-G35</f>
        <v>0</v>
      </c>
    </row>
    <row r="36" customFormat="false" ht="15.75" hidden="false" customHeight="true" outlineLevel="0" collapsed="false">
      <c r="A36" s="54" t="n">
        <v>105</v>
      </c>
      <c r="B36" s="24" t="str">
        <f aca="false">VLOOKUP(A36,'Staff Details'!$B$1:$C$7,2,0)</f>
        <v>Sheldon Cooper</v>
      </c>
      <c r="C36" s="55" t="n">
        <f aca="false">VLOOKUP(A36,'Basic Salary'!A6:P13,7,0)</f>
        <v>0</v>
      </c>
      <c r="D36" s="55" t="n">
        <f aca="false">VLOOKUP(A36,Allowances!A5:O12,7,0)</f>
        <v>0</v>
      </c>
      <c r="E36" s="55" t="n">
        <f aca="false">C36+D36</f>
        <v>0</v>
      </c>
      <c r="F36" s="55" t="n">
        <f aca="false">VLOOKUP(A36,'Tax Calculation'!$A$1:$AA$7,26,0)</f>
        <v>0</v>
      </c>
      <c r="G36" s="55" t="n">
        <f aca="false">VLOOKUP(A36,'Tax Calculation'!$A$1:$AA$7,27,0)</f>
        <v>0</v>
      </c>
      <c r="H36" s="56" t="n">
        <f aca="false">E36-F36-G36</f>
        <v>0</v>
      </c>
    </row>
    <row r="37" customFormat="false" ht="15.75" hidden="false" customHeight="true" outlineLevel="0" collapsed="false">
      <c r="A37" s="54" t="n">
        <v>106</v>
      </c>
      <c r="B37" s="24" t="str">
        <f aca="false">VLOOKUP(A37,'Staff Details'!$B$1:$C$7,2,0)</f>
        <v>Euler</v>
      </c>
      <c r="C37" s="55" t="n">
        <f aca="false">VLOOKUP(A37,'Basic Salary'!A7:P14,7,0)</f>
        <v>7200</v>
      </c>
      <c r="D37" s="55" t="n">
        <f aca="false">VLOOKUP(A37,Allowances!A6:O13,7,0)</f>
        <v>4800</v>
      </c>
      <c r="E37" s="55" t="n">
        <f aca="false">C37+D37</f>
        <v>12000</v>
      </c>
      <c r="F37" s="55" t="n">
        <f aca="false">VLOOKUP(A37,'Tax Calculation'!$A$1:$AA$7,26,0)</f>
        <v>118.173333333333</v>
      </c>
      <c r="G37" s="55" t="n">
        <f aca="false">VLOOKUP(A37,'Tax Calculation'!$A$1:$AA$7,27,0)</f>
        <v>0</v>
      </c>
      <c r="H37" s="56" t="n">
        <f aca="false">E37-F37-G37</f>
        <v>11881.8266666667</v>
      </c>
    </row>
    <row r="38" customFormat="false" ht="15.75" hidden="false" customHeight="true" outlineLevel="0" collapsed="false">
      <c r="A38" s="57" t="s">
        <v>65</v>
      </c>
      <c r="B38" s="57"/>
      <c r="C38" s="58" t="n">
        <f aca="false">SUM(C32:C37)</f>
        <v>13200</v>
      </c>
      <c r="D38" s="58" t="n">
        <f aca="false">SUM(D32:D37)</f>
        <v>8400</v>
      </c>
      <c r="E38" s="58" t="n">
        <f aca="false">SUM(E32:E37)</f>
        <v>21600</v>
      </c>
      <c r="F38" s="58" t="n">
        <f aca="false">SUM(F32:F37)</f>
        <v>212.776559139785</v>
      </c>
      <c r="G38" s="58" t="n">
        <f aca="false">SUM(G32:G37)</f>
        <v>0</v>
      </c>
      <c r="H38" s="59" t="n">
        <f aca="false">SUM(H32:H37)</f>
        <v>21387.2234408602</v>
      </c>
    </row>
    <row r="39" customFormat="false" ht="15.75" hidden="false" customHeight="true" outlineLevel="0" collapsed="false">
      <c r="A39" s="60" t="s">
        <v>100</v>
      </c>
      <c r="B39" s="60"/>
      <c r="C39" s="60"/>
      <c r="D39" s="60"/>
      <c r="E39" s="60"/>
      <c r="F39" s="60"/>
      <c r="G39" s="60"/>
      <c r="H39" s="60"/>
    </row>
    <row r="40" customFormat="false" ht="15.75" hidden="false" customHeight="true" outlineLevel="0" collapsed="false"/>
    <row r="41" customFormat="false" ht="15.75" hidden="false" customHeight="true" outlineLevel="0" collapsed="false">
      <c r="A41" s="51" t="s">
        <v>20</v>
      </c>
      <c r="B41" s="52" t="s">
        <v>47</v>
      </c>
      <c r="C41" s="52" t="s">
        <v>94</v>
      </c>
      <c r="D41" s="52" t="s">
        <v>53</v>
      </c>
      <c r="E41" s="52" t="s">
        <v>95</v>
      </c>
      <c r="F41" s="52" t="s">
        <v>86</v>
      </c>
      <c r="G41" s="52" t="s">
        <v>87</v>
      </c>
      <c r="H41" s="53" t="s">
        <v>96</v>
      </c>
    </row>
    <row r="42" customFormat="false" ht="15.75" hidden="false" customHeight="true" outlineLevel="0" collapsed="false">
      <c r="A42" s="54" t="n">
        <v>101</v>
      </c>
      <c r="B42" s="24" t="str">
        <f aca="false">VLOOKUP(A42,'Staff Details'!$B$1:$C$7,2,0)</f>
        <v>Dwight K Schrute</v>
      </c>
      <c r="C42" s="55" t="n">
        <f aca="false">VLOOKUP(A42,'Basic Salary'!A2:P9,8,0)</f>
        <v>5400</v>
      </c>
      <c r="D42" s="55" t="n">
        <f aca="false">VLOOKUP(A42,Allowances!A1:O8,8,0)</f>
        <v>3354.83870967742</v>
      </c>
      <c r="E42" s="55" t="n">
        <f aca="false">C42+D42</f>
        <v>8754.83870967742</v>
      </c>
      <c r="F42" s="55" t="n">
        <f aca="false">VLOOKUP(A42,'Tax Calculation'!$A$1:$AA$7,26,0)</f>
        <v>94.6032258064516</v>
      </c>
      <c r="G42" s="55" t="n">
        <f aca="false">VLOOKUP(A42,'Tax Calculation'!$A$1:$AA$7,27,0)</f>
        <v>0</v>
      </c>
      <c r="H42" s="56" t="n">
        <f aca="false">E42-F42-G42</f>
        <v>8660.23548387097</v>
      </c>
    </row>
    <row r="43" customFormat="false" ht="15.75" hidden="false" customHeight="true" outlineLevel="0" collapsed="false">
      <c r="A43" s="54" t="n">
        <v>102</v>
      </c>
      <c r="B43" s="24" t="str">
        <f aca="false">VLOOKUP(A43,'Staff Details'!$B$1:$C$7,2,0)</f>
        <v>Rajesh Koothrapalli</v>
      </c>
      <c r="C43" s="55" t="n">
        <f aca="false">VLOOKUP(A43,'Basic Salary'!A3:P10,8,0)</f>
        <v>0</v>
      </c>
      <c r="D43" s="55" t="n">
        <f aca="false">VLOOKUP(A43,Allowances!A2:O9,8,0)</f>
        <v>0</v>
      </c>
      <c r="E43" s="55" t="n">
        <f aca="false">C43+D43</f>
        <v>0</v>
      </c>
      <c r="F43" s="55" t="n">
        <f aca="false">VLOOKUP(A43,'Tax Calculation'!$A$1:$AA$7,26,0)</f>
        <v>0</v>
      </c>
      <c r="G43" s="55" t="n">
        <f aca="false">VLOOKUP(A43,'Tax Calculation'!$A$1:$AA$7,27,0)</f>
        <v>0</v>
      </c>
      <c r="H43" s="56" t="n">
        <f aca="false">E43-F43-G43</f>
        <v>0</v>
      </c>
    </row>
    <row r="44" customFormat="false" ht="15.75" hidden="false" customHeight="true" outlineLevel="0" collapsed="false">
      <c r="A44" s="54" t="n">
        <v>103</v>
      </c>
      <c r="B44" s="24" t="str">
        <f aca="false">VLOOKUP(A44,'Staff Details'!$B$1:$C$7,2,0)</f>
        <v>Leonard Hoffstader</v>
      </c>
      <c r="C44" s="55" t="n">
        <f aca="false">VLOOKUP(A44,'Basic Salary'!A4:P11,8,0)</f>
        <v>0</v>
      </c>
      <c r="D44" s="55" t="n">
        <f aca="false">VLOOKUP(A44,Allowances!A3:O10,8,0)</f>
        <v>0</v>
      </c>
      <c r="E44" s="55" t="n">
        <f aca="false">C44+D44</f>
        <v>0</v>
      </c>
      <c r="F44" s="55" t="n">
        <f aca="false">VLOOKUP(A44,'Tax Calculation'!$A$1:$AA$7,26,0)</f>
        <v>0</v>
      </c>
      <c r="G44" s="55" t="n">
        <f aca="false">VLOOKUP(A44,'Tax Calculation'!$A$1:$AA$7,27,0)</f>
        <v>0</v>
      </c>
      <c r="H44" s="56" t="n">
        <f aca="false">E44-F44-G44</f>
        <v>0</v>
      </c>
    </row>
    <row r="45" customFormat="false" ht="15.75" hidden="false" customHeight="true" outlineLevel="0" collapsed="false">
      <c r="A45" s="54" t="n">
        <v>104</v>
      </c>
      <c r="B45" s="24" t="str">
        <f aca="false">VLOOKUP(A45,'Staff Details'!$B$1:$C$7,2,0)</f>
        <v>Howard Wolowitz</v>
      </c>
      <c r="C45" s="55" t="n">
        <f aca="false">VLOOKUP(A45,'Basic Salary'!A5:P12,8,0)</f>
        <v>0</v>
      </c>
      <c r="D45" s="55" t="n">
        <f aca="false">VLOOKUP(A45,Allowances!A4:O11,8,0)</f>
        <v>0</v>
      </c>
      <c r="E45" s="55" t="n">
        <f aca="false">C45+D45</f>
        <v>0</v>
      </c>
      <c r="F45" s="55" t="n">
        <f aca="false">VLOOKUP(A45,'Tax Calculation'!$A$1:$AA$7,26,0)</f>
        <v>0</v>
      </c>
      <c r="G45" s="55" t="n">
        <f aca="false">VLOOKUP(A45,'Tax Calculation'!$A$1:$AA$7,27,0)</f>
        <v>0</v>
      </c>
      <c r="H45" s="56" t="n">
        <f aca="false">E45-F45-G45</f>
        <v>0</v>
      </c>
    </row>
    <row r="46" customFormat="false" ht="15.75" hidden="false" customHeight="true" outlineLevel="0" collapsed="false">
      <c r="A46" s="54" t="n">
        <v>105</v>
      </c>
      <c r="B46" s="24" t="str">
        <f aca="false">VLOOKUP(A46,'Staff Details'!$B$1:$C$7,2,0)</f>
        <v>Sheldon Cooper</v>
      </c>
      <c r="C46" s="55" t="n">
        <f aca="false">VLOOKUP(A46,'Basic Salary'!A6:P13,8,0)</f>
        <v>0</v>
      </c>
      <c r="D46" s="55" t="n">
        <f aca="false">VLOOKUP(A46,Allowances!A5:O12,8,0)</f>
        <v>0</v>
      </c>
      <c r="E46" s="55" t="n">
        <f aca="false">C46+D46</f>
        <v>0</v>
      </c>
      <c r="F46" s="55" t="n">
        <f aca="false">VLOOKUP(A46,'Tax Calculation'!$A$1:$AA$7,26,0)</f>
        <v>0</v>
      </c>
      <c r="G46" s="55" t="n">
        <f aca="false">VLOOKUP(A46,'Tax Calculation'!$A$1:$AA$7,27,0)</f>
        <v>0</v>
      </c>
      <c r="H46" s="56" t="n">
        <f aca="false">E46-F46-G46</f>
        <v>0</v>
      </c>
    </row>
    <row r="47" customFormat="false" ht="15.75" hidden="false" customHeight="true" outlineLevel="0" collapsed="false">
      <c r="A47" s="54" t="n">
        <v>106</v>
      </c>
      <c r="B47" s="24" t="str">
        <f aca="false">VLOOKUP(A47,'Staff Details'!$B$1:$C$7,2,0)</f>
        <v>Euler</v>
      </c>
      <c r="C47" s="55" t="n">
        <f aca="false">VLOOKUP(A47,'Basic Salary'!A7:P14,8,0)</f>
        <v>7200</v>
      </c>
      <c r="D47" s="55" t="n">
        <f aca="false">VLOOKUP(A47,Allowances!A6:O13,8,0)</f>
        <v>4800</v>
      </c>
      <c r="E47" s="55" t="n">
        <f aca="false">C47+D47</f>
        <v>12000</v>
      </c>
      <c r="F47" s="55" t="n">
        <f aca="false">VLOOKUP(A47,'Tax Calculation'!$A$1:$AA$7,26,0)</f>
        <v>118.173333333333</v>
      </c>
      <c r="G47" s="55" t="n">
        <f aca="false">VLOOKUP(A47,'Tax Calculation'!$A$1:$AA$7,27,0)</f>
        <v>0</v>
      </c>
      <c r="H47" s="56" t="n">
        <f aca="false">E47-F47-G47</f>
        <v>11881.8266666667</v>
      </c>
    </row>
    <row r="48" customFormat="false" ht="15.75" hidden="false" customHeight="true" outlineLevel="0" collapsed="false">
      <c r="A48" s="57" t="s">
        <v>65</v>
      </c>
      <c r="B48" s="57"/>
      <c r="C48" s="58" t="n">
        <f aca="false">SUM(C42:C47)</f>
        <v>12600</v>
      </c>
      <c r="D48" s="58" t="n">
        <f aca="false">SUM(D42:D47)</f>
        <v>8154.83870967742</v>
      </c>
      <c r="E48" s="58" t="n">
        <f aca="false">SUM(E42:E47)</f>
        <v>20754.8387096774</v>
      </c>
      <c r="F48" s="58" t="n">
        <f aca="false">SUM(F42:F47)</f>
        <v>212.776559139785</v>
      </c>
      <c r="G48" s="58" t="n">
        <f aca="false">SUM(G42:G47)</f>
        <v>0</v>
      </c>
      <c r="H48" s="59" t="n">
        <f aca="false">SUM(H42:H47)</f>
        <v>20542.0621505376</v>
      </c>
    </row>
    <row r="49" customFormat="false" ht="15.75" hidden="false" customHeight="true" outlineLevel="0" collapsed="false">
      <c r="A49" s="60" t="s">
        <v>101</v>
      </c>
      <c r="B49" s="60"/>
      <c r="C49" s="60"/>
      <c r="D49" s="60"/>
      <c r="E49" s="60"/>
      <c r="F49" s="60"/>
      <c r="G49" s="60"/>
      <c r="H49" s="60"/>
    </row>
    <row r="50" customFormat="false" ht="15.75" hidden="false" customHeight="true" outlineLevel="0" collapsed="false"/>
    <row r="51" customFormat="false" ht="15.75" hidden="false" customHeight="true" outlineLevel="0" collapsed="false">
      <c r="A51" s="51" t="s">
        <v>20</v>
      </c>
      <c r="B51" s="52" t="s">
        <v>47</v>
      </c>
      <c r="C51" s="52" t="s">
        <v>94</v>
      </c>
      <c r="D51" s="52" t="s">
        <v>53</v>
      </c>
      <c r="E51" s="52" t="s">
        <v>95</v>
      </c>
      <c r="F51" s="52" t="s">
        <v>86</v>
      </c>
      <c r="G51" s="52" t="s">
        <v>87</v>
      </c>
      <c r="H51" s="53" t="s">
        <v>96</v>
      </c>
    </row>
    <row r="52" customFormat="false" ht="15.75" hidden="false" customHeight="true" outlineLevel="0" collapsed="false">
      <c r="A52" s="54" t="n">
        <v>101</v>
      </c>
      <c r="B52" s="24" t="str">
        <f aca="false">VLOOKUP(A52,'Staff Details'!$B$1:$C$7,2,0)</f>
        <v>Dwight K Schrute</v>
      </c>
      <c r="C52" s="55" t="n">
        <f aca="false">VLOOKUP(A52,'Basic Salary'!A2:P9,9,0)</f>
        <v>5032.25806451613</v>
      </c>
      <c r="D52" s="55" t="n">
        <f aca="false">VLOOKUP(A52,Allowances!A1:O8,9,0)</f>
        <v>4000</v>
      </c>
      <c r="E52" s="55" t="n">
        <f aca="false">C52+D52</f>
        <v>9032.25806451613</v>
      </c>
      <c r="F52" s="55" t="n">
        <f aca="false">VLOOKUP(A52,'Tax Calculation'!$A$1:$AA$7,26,0)</f>
        <v>94.6032258064516</v>
      </c>
      <c r="G52" s="55" t="n">
        <f aca="false">VLOOKUP(A52,'Tax Calculation'!$A$1:$AA$7,27,0)</f>
        <v>0</v>
      </c>
      <c r="H52" s="56" t="n">
        <f aca="false">E52-F52-G52</f>
        <v>8937.65483870968</v>
      </c>
    </row>
    <row r="53" customFormat="false" ht="15.75" hidden="false" customHeight="true" outlineLevel="0" collapsed="false">
      <c r="A53" s="54" t="n">
        <v>102</v>
      </c>
      <c r="B53" s="24" t="str">
        <f aca="false">VLOOKUP(A53,'Staff Details'!$B$1:$C$7,2,0)</f>
        <v>Rajesh Koothrapalli</v>
      </c>
      <c r="C53" s="55" t="n">
        <f aca="false">VLOOKUP(A53,'Basic Salary'!A3:P10,9,0)</f>
        <v>0</v>
      </c>
      <c r="D53" s="55" t="n">
        <f aca="false">VLOOKUP(A53,Allowances!A2:O9,9,0)</f>
        <v>0</v>
      </c>
      <c r="E53" s="55" t="n">
        <f aca="false">C53+D53</f>
        <v>0</v>
      </c>
      <c r="F53" s="55" t="n">
        <f aca="false">VLOOKUP(A53,'Tax Calculation'!$A$1:$AA$7,26,0)</f>
        <v>0</v>
      </c>
      <c r="G53" s="55" t="n">
        <f aca="false">VLOOKUP(A53,'Tax Calculation'!$A$1:$AA$7,27,0)</f>
        <v>0</v>
      </c>
      <c r="H53" s="56" t="n">
        <f aca="false">E53-F53-G53</f>
        <v>0</v>
      </c>
    </row>
    <row r="54" customFormat="false" ht="15.75" hidden="false" customHeight="true" outlineLevel="0" collapsed="false">
      <c r="A54" s="54" t="n">
        <v>103</v>
      </c>
      <c r="B54" s="24" t="str">
        <f aca="false">VLOOKUP(A54,'Staff Details'!$B$1:$C$7,2,0)</f>
        <v>Leonard Hoffstader</v>
      </c>
      <c r="C54" s="55" t="n">
        <f aca="false">VLOOKUP(A54,'Basic Salary'!A4:P11,9,0)</f>
        <v>0</v>
      </c>
      <c r="D54" s="55" t="n">
        <f aca="false">VLOOKUP(A54,Allowances!A3:O10,9,0)</f>
        <v>0</v>
      </c>
      <c r="E54" s="55" t="n">
        <f aca="false">C54+D54</f>
        <v>0</v>
      </c>
      <c r="F54" s="55" t="n">
        <f aca="false">VLOOKUP(A54,'Tax Calculation'!$A$1:$AA$7,26,0)</f>
        <v>0</v>
      </c>
      <c r="G54" s="55" t="n">
        <f aca="false">VLOOKUP(A54,'Tax Calculation'!$A$1:$AA$7,27,0)</f>
        <v>0</v>
      </c>
      <c r="H54" s="56" t="n">
        <f aca="false">E54-F54-G54</f>
        <v>0</v>
      </c>
    </row>
    <row r="55" customFormat="false" ht="15.75" hidden="false" customHeight="true" outlineLevel="0" collapsed="false">
      <c r="A55" s="54" t="n">
        <v>104</v>
      </c>
      <c r="B55" s="24" t="str">
        <f aca="false">VLOOKUP(A55,'Staff Details'!$B$1:$C$7,2,0)</f>
        <v>Howard Wolowitz</v>
      </c>
      <c r="C55" s="55" t="n">
        <f aca="false">VLOOKUP(A55,'Basic Salary'!A5:P12,9,0)</f>
        <v>0</v>
      </c>
      <c r="D55" s="55" t="n">
        <f aca="false">VLOOKUP(A55,Allowances!A4:O11,9,0)</f>
        <v>0</v>
      </c>
      <c r="E55" s="55" t="n">
        <f aca="false">C55+D55</f>
        <v>0</v>
      </c>
      <c r="F55" s="55" t="n">
        <f aca="false">VLOOKUP(A55,'Tax Calculation'!$A$1:$AA$7,26,0)</f>
        <v>0</v>
      </c>
      <c r="G55" s="55" t="n">
        <f aca="false">VLOOKUP(A55,'Tax Calculation'!$A$1:$AA$7,27,0)</f>
        <v>0</v>
      </c>
      <c r="H55" s="56" t="n">
        <f aca="false">E55-F55-G55</f>
        <v>0</v>
      </c>
    </row>
    <row r="56" customFormat="false" ht="15.75" hidden="false" customHeight="true" outlineLevel="0" collapsed="false">
      <c r="A56" s="54" t="n">
        <v>105</v>
      </c>
      <c r="B56" s="24" t="str">
        <f aca="false">VLOOKUP(A56,'Staff Details'!$B$1:$C$7,2,0)</f>
        <v>Sheldon Cooper</v>
      </c>
      <c r="C56" s="55" t="n">
        <f aca="false">VLOOKUP(A56,'Basic Salary'!A6:P13,9,0)</f>
        <v>0</v>
      </c>
      <c r="D56" s="55" t="n">
        <f aca="false">VLOOKUP(A56,Allowances!A5:O12,9,0)</f>
        <v>0</v>
      </c>
      <c r="E56" s="55" t="n">
        <f aca="false">C56+D56</f>
        <v>0</v>
      </c>
      <c r="F56" s="55" t="n">
        <f aca="false">VLOOKUP(A56,'Tax Calculation'!$A$1:$AA$7,26,0)</f>
        <v>0</v>
      </c>
      <c r="G56" s="55" t="n">
        <f aca="false">VLOOKUP(A56,'Tax Calculation'!$A$1:$AA$7,27,0)</f>
        <v>0</v>
      </c>
      <c r="H56" s="56" t="n">
        <f aca="false">E56-F56-G56</f>
        <v>0</v>
      </c>
    </row>
    <row r="57" customFormat="false" ht="15.75" hidden="false" customHeight="true" outlineLevel="0" collapsed="false">
      <c r="A57" s="54" t="n">
        <v>106</v>
      </c>
      <c r="B57" s="24" t="str">
        <f aca="false">VLOOKUP(A57,'Staff Details'!$B$1:$C$7,2,0)</f>
        <v>Euler</v>
      </c>
      <c r="C57" s="55" t="n">
        <f aca="false">VLOOKUP(A57,'Basic Salary'!A7:P14,9,0)</f>
        <v>7200</v>
      </c>
      <c r="D57" s="55" t="n">
        <f aca="false">VLOOKUP(A57,Allowances!A6:O13,9,0)</f>
        <v>4800</v>
      </c>
      <c r="E57" s="55" t="n">
        <f aca="false">C57+D57</f>
        <v>12000</v>
      </c>
      <c r="F57" s="55" t="n">
        <f aca="false">VLOOKUP(A57,'Tax Calculation'!$A$1:$AA$7,26,0)</f>
        <v>118.173333333333</v>
      </c>
      <c r="G57" s="55" t="n">
        <f aca="false">VLOOKUP(A57,'Tax Calculation'!$A$1:$AA$7,27,0)</f>
        <v>0</v>
      </c>
      <c r="H57" s="56" t="n">
        <f aca="false">E57-F57-G57</f>
        <v>11881.8266666667</v>
      </c>
    </row>
    <row r="58" customFormat="false" ht="15.75" hidden="false" customHeight="true" outlineLevel="0" collapsed="false">
      <c r="A58" s="57" t="s">
        <v>65</v>
      </c>
      <c r="B58" s="57"/>
      <c r="C58" s="58" t="n">
        <f aca="false">SUM(C52:C57)</f>
        <v>12232.2580645161</v>
      </c>
      <c r="D58" s="58" t="n">
        <f aca="false">SUM(D52:D57)</f>
        <v>8800</v>
      </c>
      <c r="E58" s="58" t="n">
        <f aca="false">SUM(E52:E57)</f>
        <v>21032.2580645161</v>
      </c>
      <c r="F58" s="58" t="n">
        <f aca="false">SUM(F52:F57)</f>
        <v>212.776559139785</v>
      </c>
      <c r="G58" s="58" t="n">
        <f aca="false">SUM(G52:G57)</f>
        <v>0</v>
      </c>
      <c r="H58" s="59" t="n">
        <f aca="false">SUM(H52:H57)</f>
        <v>20819.4815053763</v>
      </c>
    </row>
    <row r="59" customFormat="false" ht="15.75" hidden="false" customHeight="true" outlineLevel="0" collapsed="false">
      <c r="A59" s="60" t="s">
        <v>102</v>
      </c>
      <c r="B59" s="60"/>
      <c r="C59" s="60"/>
      <c r="D59" s="60"/>
      <c r="E59" s="60"/>
      <c r="F59" s="60"/>
      <c r="G59" s="60"/>
      <c r="H59" s="60"/>
    </row>
    <row r="60" customFormat="false" ht="15.75" hidden="false" customHeight="true" outlineLevel="0" collapsed="false"/>
    <row r="61" customFormat="false" ht="15.75" hidden="false" customHeight="true" outlineLevel="0" collapsed="false">
      <c r="A61" s="51" t="s">
        <v>20</v>
      </c>
      <c r="B61" s="52" t="s">
        <v>47</v>
      </c>
      <c r="C61" s="52" t="s">
        <v>94</v>
      </c>
      <c r="D61" s="52" t="s">
        <v>53</v>
      </c>
      <c r="E61" s="52" t="s">
        <v>95</v>
      </c>
      <c r="F61" s="52" t="s">
        <v>86</v>
      </c>
      <c r="G61" s="52" t="s">
        <v>87</v>
      </c>
      <c r="H61" s="53" t="s">
        <v>96</v>
      </c>
    </row>
    <row r="62" customFormat="false" ht="15.75" hidden="false" customHeight="true" outlineLevel="0" collapsed="false">
      <c r="A62" s="54" t="n">
        <v>101</v>
      </c>
      <c r="B62" s="24" t="str">
        <f aca="false">VLOOKUP(A62,'Staff Details'!$B$1:$C$7,2,0)</f>
        <v>Dwight K Schrute</v>
      </c>
      <c r="C62" s="55" t="n">
        <f aca="false">VLOOKUP(A62,'Basic Salary'!A2:P9,10,0)</f>
        <v>6000</v>
      </c>
      <c r="D62" s="55" t="n">
        <f aca="false">VLOOKUP(A62,Allowances!A1:O8,10,0)</f>
        <v>4000</v>
      </c>
      <c r="E62" s="55" t="n">
        <f aca="false">C62+D62</f>
        <v>10000</v>
      </c>
      <c r="F62" s="55" t="n">
        <f aca="false">VLOOKUP(A62,'Tax Calculation'!$A$1:$AA$7,26,0)</f>
        <v>94.6032258064516</v>
      </c>
      <c r="G62" s="55" t="n">
        <f aca="false">VLOOKUP(A62,'Tax Calculation'!$A$1:$AA$7,27,0)</f>
        <v>0</v>
      </c>
      <c r="H62" s="56" t="n">
        <f aca="false">E62-F62-G62</f>
        <v>9905.39677419355</v>
      </c>
    </row>
    <row r="63" customFormat="false" ht="15.75" hidden="false" customHeight="true" outlineLevel="0" collapsed="false">
      <c r="A63" s="54" t="n">
        <v>102</v>
      </c>
      <c r="B63" s="24" t="str">
        <f aca="false">VLOOKUP(A63,'Staff Details'!$B$1:$C$7,2,0)</f>
        <v>Rajesh Koothrapalli</v>
      </c>
      <c r="C63" s="55" t="n">
        <f aca="false">VLOOKUP(A63,'Basic Salary'!A3:P10,10,0)</f>
        <v>0</v>
      </c>
      <c r="D63" s="55" t="n">
        <f aca="false">VLOOKUP(A63,Allowances!A2:O9,10,0)</f>
        <v>0</v>
      </c>
      <c r="E63" s="55" t="n">
        <f aca="false">C63+D63</f>
        <v>0</v>
      </c>
      <c r="F63" s="55" t="n">
        <f aca="false">VLOOKUP(A63,'Tax Calculation'!$A$1:$AA$7,26,0)</f>
        <v>0</v>
      </c>
      <c r="G63" s="55" t="n">
        <f aca="false">VLOOKUP(A63,'Tax Calculation'!$A$1:$AA$7,27,0)</f>
        <v>0</v>
      </c>
      <c r="H63" s="56" t="n">
        <f aca="false">E63-F63-G63</f>
        <v>0</v>
      </c>
    </row>
    <row r="64" customFormat="false" ht="15.75" hidden="false" customHeight="true" outlineLevel="0" collapsed="false">
      <c r="A64" s="54" t="n">
        <v>103</v>
      </c>
      <c r="B64" s="24" t="str">
        <f aca="false">VLOOKUP(A64,'Staff Details'!$B$1:$C$7,2,0)</f>
        <v>Leonard Hoffstader</v>
      </c>
      <c r="C64" s="55" t="n">
        <f aca="false">VLOOKUP(A64,'Basic Salary'!A4:P11,10,0)</f>
        <v>0</v>
      </c>
      <c r="D64" s="55" t="n">
        <f aca="false">VLOOKUP(A64,Allowances!A3:O10,10,0)</f>
        <v>0</v>
      </c>
      <c r="E64" s="55" t="n">
        <f aca="false">C64+D64</f>
        <v>0</v>
      </c>
      <c r="F64" s="55" t="n">
        <f aca="false">VLOOKUP(A64,'Tax Calculation'!$A$1:$AA$7,26,0)</f>
        <v>0</v>
      </c>
      <c r="G64" s="55" t="n">
        <f aca="false">VLOOKUP(A64,'Tax Calculation'!$A$1:$AA$7,27,0)</f>
        <v>0</v>
      </c>
      <c r="H64" s="56" t="n">
        <f aca="false">E64-F64-G64</f>
        <v>0</v>
      </c>
    </row>
    <row r="65" customFormat="false" ht="15.75" hidden="false" customHeight="true" outlineLevel="0" collapsed="false">
      <c r="A65" s="54" t="n">
        <v>104</v>
      </c>
      <c r="B65" s="24" t="str">
        <f aca="false">VLOOKUP(A65,'Staff Details'!$B$1:$C$7,2,0)</f>
        <v>Howard Wolowitz</v>
      </c>
      <c r="C65" s="55" t="n">
        <f aca="false">VLOOKUP(A65,'Basic Salary'!A5:P12,10,0)</f>
        <v>0</v>
      </c>
      <c r="D65" s="55" t="n">
        <f aca="false">VLOOKUP(A65,Allowances!A4:O11,10,0)</f>
        <v>0</v>
      </c>
      <c r="E65" s="55" t="n">
        <f aca="false">C65+D65</f>
        <v>0</v>
      </c>
      <c r="F65" s="55" t="n">
        <f aca="false">VLOOKUP(A65,'Tax Calculation'!$A$1:$AA$7,26,0)</f>
        <v>0</v>
      </c>
      <c r="G65" s="55" t="n">
        <f aca="false">VLOOKUP(A65,'Tax Calculation'!$A$1:$AA$7,27,0)</f>
        <v>0</v>
      </c>
      <c r="H65" s="56" t="n">
        <f aca="false">E65-F65-G65</f>
        <v>0</v>
      </c>
    </row>
    <row r="66" customFormat="false" ht="15.75" hidden="false" customHeight="true" outlineLevel="0" collapsed="false">
      <c r="A66" s="54" t="n">
        <v>105</v>
      </c>
      <c r="B66" s="24" t="str">
        <f aca="false">VLOOKUP(A66,'Staff Details'!$B$1:$C$7,2,0)</f>
        <v>Sheldon Cooper</v>
      </c>
      <c r="C66" s="55" t="n">
        <f aca="false">VLOOKUP(A66,'Basic Salary'!A6:P13,10,0)</f>
        <v>0</v>
      </c>
      <c r="D66" s="55" t="n">
        <f aca="false">VLOOKUP(A66,Allowances!A5:O12,10,0)</f>
        <v>0</v>
      </c>
      <c r="E66" s="55" t="n">
        <f aca="false">C66+D66</f>
        <v>0</v>
      </c>
      <c r="F66" s="55" t="n">
        <f aca="false">VLOOKUP(A66,'Tax Calculation'!$A$1:$AA$7,26,0)</f>
        <v>0</v>
      </c>
      <c r="G66" s="55" t="n">
        <f aca="false">VLOOKUP(A66,'Tax Calculation'!$A$1:$AA$7,27,0)</f>
        <v>0</v>
      </c>
      <c r="H66" s="56" t="n">
        <f aca="false">E66-F66-G66</f>
        <v>0</v>
      </c>
    </row>
    <row r="67" customFormat="false" ht="15.75" hidden="false" customHeight="true" outlineLevel="0" collapsed="false">
      <c r="A67" s="54" t="n">
        <v>106</v>
      </c>
      <c r="B67" s="24" t="str">
        <f aca="false">VLOOKUP(A67,'Staff Details'!$B$1:$C$7,2,0)</f>
        <v>Euler</v>
      </c>
      <c r="C67" s="55" t="n">
        <f aca="false">VLOOKUP(A67,'Basic Salary'!A7:P14,10,0)</f>
        <v>7200</v>
      </c>
      <c r="D67" s="55" t="n">
        <f aca="false">VLOOKUP(A67,Allowances!A6:O13,10,0)</f>
        <v>4800</v>
      </c>
      <c r="E67" s="55" t="n">
        <f aca="false">C67+D67</f>
        <v>12000</v>
      </c>
      <c r="F67" s="55" t="n">
        <f aca="false">VLOOKUP(A67,'Tax Calculation'!$A$1:$AA$7,26,0)</f>
        <v>118.173333333333</v>
      </c>
      <c r="G67" s="55" t="n">
        <f aca="false">VLOOKUP(A67,'Tax Calculation'!$A$1:$AA$7,27,0)</f>
        <v>0</v>
      </c>
      <c r="H67" s="56" t="n">
        <f aca="false">E67-F67-G67</f>
        <v>11881.8266666667</v>
      </c>
    </row>
    <row r="68" customFormat="false" ht="15.75" hidden="false" customHeight="true" outlineLevel="0" collapsed="false">
      <c r="A68" s="57" t="s">
        <v>65</v>
      </c>
      <c r="B68" s="57"/>
      <c r="C68" s="58" t="n">
        <f aca="false">SUM(C62:C67)</f>
        <v>13200</v>
      </c>
      <c r="D68" s="58" t="n">
        <f aca="false">SUM(D62:D67)</f>
        <v>8800</v>
      </c>
      <c r="E68" s="58" t="n">
        <f aca="false">SUM(E62:E67)</f>
        <v>22000</v>
      </c>
      <c r="F68" s="58" t="n">
        <f aca="false">SUM(F62:F67)</f>
        <v>212.776559139785</v>
      </c>
      <c r="G68" s="58" t="n">
        <f aca="false">SUM(G62:G67)</f>
        <v>0</v>
      </c>
      <c r="H68" s="59" t="n">
        <f aca="false">SUM(H62:H67)</f>
        <v>21787.2234408602</v>
      </c>
    </row>
    <row r="69" customFormat="false" ht="15.75" hidden="false" customHeight="true" outlineLevel="0" collapsed="false">
      <c r="A69" s="60" t="s">
        <v>103</v>
      </c>
      <c r="B69" s="60"/>
      <c r="C69" s="60"/>
      <c r="D69" s="60"/>
      <c r="E69" s="60"/>
      <c r="F69" s="60"/>
      <c r="G69" s="60"/>
      <c r="H69" s="60"/>
    </row>
    <row r="70" customFormat="false" ht="15.75" hidden="false" customHeight="true" outlineLevel="0" collapsed="false"/>
    <row r="71" customFormat="false" ht="15.75" hidden="false" customHeight="true" outlineLevel="0" collapsed="false">
      <c r="A71" s="51" t="s">
        <v>20</v>
      </c>
      <c r="B71" s="52" t="s">
        <v>47</v>
      </c>
      <c r="C71" s="52" t="s">
        <v>94</v>
      </c>
      <c r="D71" s="52" t="s">
        <v>53</v>
      </c>
      <c r="E71" s="52" t="s">
        <v>95</v>
      </c>
      <c r="F71" s="52" t="s">
        <v>86</v>
      </c>
      <c r="G71" s="52" t="s">
        <v>87</v>
      </c>
      <c r="H71" s="53" t="s">
        <v>96</v>
      </c>
    </row>
    <row r="72" customFormat="false" ht="15.75" hidden="false" customHeight="true" outlineLevel="0" collapsed="false">
      <c r="A72" s="54" t="n">
        <v>101</v>
      </c>
      <c r="B72" s="24" t="str">
        <f aca="false">VLOOKUP(A72,'Staff Details'!$B$1:$C$7,2,0)</f>
        <v>Dwight K Schrute</v>
      </c>
      <c r="C72" s="55" t="n">
        <f aca="false">VLOOKUP(A72,'Basic Salary'!A2:P9,11,0)</f>
        <v>6000</v>
      </c>
      <c r="D72" s="55" t="n">
        <f aca="false">VLOOKUP(A72,Allowances!A1:O8,11,0)</f>
        <v>4000</v>
      </c>
      <c r="E72" s="55" t="n">
        <f aca="false">C72+D72</f>
        <v>10000</v>
      </c>
      <c r="F72" s="55" t="n">
        <f aca="false">VLOOKUP(A72,'Tax Calculation'!$A$1:$AA$7,26,0)</f>
        <v>94.6032258064516</v>
      </c>
      <c r="G72" s="55" t="n">
        <f aca="false">VLOOKUP(A72,'Tax Calculation'!$A$1:$AA$7,27,0)</f>
        <v>0</v>
      </c>
      <c r="H72" s="56" t="n">
        <f aca="false">E72-F72-G72</f>
        <v>9905.39677419355</v>
      </c>
    </row>
    <row r="73" customFormat="false" ht="15.75" hidden="false" customHeight="true" outlineLevel="0" collapsed="false">
      <c r="A73" s="54" t="n">
        <v>102</v>
      </c>
      <c r="B73" s="24" t="str">
        <f aca="false">VLOOKUP(A73,'Staff Details'!$B$1:$C$7,2,0)</f>
        <v>Rajesh Koothrapalli</v>
      </c>
      <c r="C73" s="55" t="n">
        <f aca="false">VLOOKUP(A73,'Basic Salary'!A3:P10,11,0)</f>
        <v>0</v>
      </c>
      <c r="D73" s="55" t="n">
        <f aca="false">VLOOKUP(A73,Allowances!A2:O9,11,0)</f>
        <v>0</v>
      </c>
      <c r="E73" s="55" t="n">
        <f aca="false">C73+D73</f>
        <v>0</v>
      </c>
      <c r="F73" s="55" t="n">
        <f aca="false">VLOOKUP(A73,'Tax Calculation'!$A$1:$AA$7,26,0)</f>
        <v>0</v>
      </c>
      <c r="G73" s="55" t="n">
        <f aca="false">VLOOKUP(A73,'Tax Calculation'!$A$1:$AA$7,27,0)</f>
        <v>0</v>
      </c>
      <c r="H73" s="56" t="n">
        <f aca="false">E73-F73-G73</f>
        <v>0</v>
      </c>
    </row>
    <row r="74" customFormat="false" ht="15.75" hidden="false" customHeight="true" outlineLevel="0" collapsed="false">
      <c r="A74" s="54" t="n">
        <v>103</v>
      </c>
      <c r="B74" s="24" t="str">
        <f aca="false">VLOOKUP(A74,'Staff Details'!$B$1:$C$7,2,0)</f>
        <v>Leonard Hoffstader</v>
      </c>
      <c r="C74" s="55" t="n">
        <f aca="false">VLOOKUP(A74,'Basic Salary'!A4:P11,11,0)</f>
        <v>0</v>
      </c>
      <c r="D74" s="55" t="n">
        <f aca="false">VLOOKUP(A74,Allowances!A3:O10,11,0)</f>
        <v>0</v>
      </c>
      <c r="E74" s="55" t="n">
        <f aca="false">C74+D74</f>
        <v>0</v>
      </c>
      <c r="F74" s="55" t="n">
        <f aca="false">VLOOKUP(A74,'Tax Calculation'!$A$1:$AA$7,26,0)</f>
        <v>0</v>
      </c>
      <c r="G74" s="55" t="n">
        <f aca="false">VLOOKUP(A74,'Tax Calculation'!$A$1:$AA$7,27,0)</f>
        <v>0</v>
      </c>
      <c r="H74" s="56" t="n">
        <f aca="false">E74-F74-G74</f>
        <v>0</v>
      </c>
    </row>
    <row r="75" customFormat="false" ht="15.75" hidden="false" customHeight="true" outlineLevel="0" collapsed="false">
      <c r="A75" s="54" t="n">
        <v>104</v>
      </c>
      <c r="B75" s="24" t="str">
        <f aca="false">VLOOKUP(A75,'Staff Details'!$B$1:$C$7,2,0)</f>
        <v>Howard Wolowitz</v>
      </c>
      <c r="C75" s="55" t="n">
        <f aca="false">VLOOKUP(A75,'Basic Salary'!A5:P12,11,0)</f>
        <v>0</v>
      </c>
      <c r="D75" s="55" t="n">
        <f aca="false">VLOOKUP(A75,Allowances!A4:O11,11,0)</f>
        <v>0</v>
      </c>
      <c r="E75" s="55" t="n">
        <f aca="false">C75+D75</f>
        <v>0</v>
      </c>
      <c r="F75" s="55" t="n">
        <f aca="false">VLOOKUP(A75,'Tax Calculation'!$A$1:$AA$7,26,0)</f>
        <v>0</v>
      </c>
      <c r="G75" s="55" t="n">
        <f aca="false">VLOOKUP(A75,'Tax Calculation'!$A$1:$AA$7,27,0)</f>
        <v>0</v>
      </c>
      <c r="H75" s="56" t="n">
        <f aca="false">E75-F75-G75</f>
        <v>0</v>
      </c>
    </row>
    <row r="76" customFormat="false" ht="15.75" hidden="false" customHeight="true" outlineLevel="0" collapsed="false">
      <c r="A76" s="54" t="n">
        <v>105</v>
      </c>
      <c r="B76" s="24" t="str">
        <f aca="false">VLOOKUP(A76,'Staff Details'!$B$1:$C$7,2,0)</f>
        <v>Sheldon Cooper</v>
      </c>
      <c r="C76" s="55" t="n">
        <f aca="false">VLOOKUP(A76,'Basic Salary'!A6:P13,11,0)</f>
        <v>0</v>
      </c>
      <c r="D76" s="55" t="n">
        <f aca="false">VLOOKUP(A76,Allowances!A5:O12,11,0)</f>
        <v>0</v>
      </c>
      <c r="E76" s="55" t="n">
        <f aca="false">C76+D76</f>
        <v>0</v>
      </c>
      <c r="F76" s="55" t="n">
        <f aca="false">VLOOKUP(A76,'Tax Calculation'!$A$1:$AA$7,26,0)</f>
        <v>0</v>
      </c>
      <c r="G76" s="55" t="n">
        <f aca="false">VLOOKUP(A76,'Tax Calculation'!$A$1:$AA$7,27,0)</f>
        <v>0</v>
      </c>
      <c r="H76" s="56" t="n">
        <f aca="false">E76-F76-G76</f>
        <v>0</v>
      </c>
    </row>
    <row r="77" customFormat="false" ht="15.75" hidden="false" customHeight="true" outlineLevel="0" collapsed="false">
      <c r="A77" s="54" t="n">
        <v>106</v>
      </c>
      <c r="B77" s="24" t="str">
        <f aca="false">VLOOKUP(A77,'Staff Details'!$B$1:$C$7,2,0)</f>
        <v>Euler</v>
      </c>
      <c r="C77" s="55" t="n">
        <f aca="false">VLOOKUP(A77,'Basic Salary'!A7:P14,11,0)</f>
        <v>7200</v>
      </c>
      <c r="D77" s="55" t="n">
        <f aca="false">VLOOKUP(A77,Allowances!A6:O13,11,0)</f>
        <v>4800</v>
      </c>
      <c r="E77" s="55" t="n">
        <f aca="false">C77+D77</f>
        <v>12000</v>
      </c>
      <c r="F77" s="55" t="n">
        <f aca="false">VLOOKUP(A77,'Tax Calculation'!$A$1:$AA$7,26,0)</f>
        <v>118.173333333333</v>
      </c>
      <c r="G77" s="55" t="n">
        <f aca="false">VLOOKUP(A77,'Tax Calculation'!$A$1:$AA$7,27,0)</f>
        <v>0</v>
      </c>
      <c r="H77" s="56" t="n">
        <f aca="false">E77-F77-G77</f>
        <v>11881.8266666667</v>
      </c>
    </row>
    <row r="78" customFormat="false" ht="15.75" hidden="false" customHeight="true" outlineLevel="0" collapsed="false">
      <c r="A78" s="57" t="s">
        <v>65</v>
      </c>
      <c r="B78" s="57"/>
      <c r="C78" s="58" t="n">
        <f aca="false">SUM(C72:C77)</f>
        <v>13200</v>
      </c>
      <c r="D78" s="58" t="n">
        <f aca="false">SUM(D72:D77)</f>
        <v>8800</v>
      </c>
      <c r="E78" s="58" t="n">
        <f aca="false">SUM(E72:E77)</f>
        <v>22000</v>
      </c>
      <c r="F78" s="58" t="n">
        <f aca="false">SUM(F72:F77)</f>
        <v>212.776559139785</v>
      </c>
      <c r="G78" s="58" t="n">
        <f aca="false">SUM(G72:G77)</f>
        <v>0</v>
      </c>
      <c r="H78" s="59" t="n">
        <f aca="false">SUM(H72:H77)</f>
        <v>21787.2234408602</v>
      </c>
    </row>
    <row r="79" customFormat="false" ht="15.75" hidden="false" customHeight="true" outlineLevel="0" collapsed="false">
      <c r="A79" s="60" t="s">
        <v>104</v>
      </c>
      <c r="B79" s="60"/>
      <c r="C79" s="60"/>
      <c r="D79" s="60"/>
      <c r="E79" s="60"/>
      <c r="F79" s="60"/>
      <c r="G79" s="60"/>
      <c r="H79" s="60"/>
    </row>
    <row r="80" customFormat="false" ht="15.75" hidden="false" customHeight="true" outlineLevel="0" collapsed="false"/>
    <row r="81" customFormat="false" ht="15.75" hidden="false" customHeight="true" outlineLevel="0" collapsed="false">
      <c r="A81" s="51" t="s">
        <v>20</v>
      </c>
      <c r="B81" s="52" t="s">
        <v>47</v>
      </c>
      <c r="C81" s="52" t="s">
        <v>94</v>
      </c>
      <c r="D81" s="52" t="s">
        <v>53</v>
      </c>
      <c r="E81" s="52" t="s">
        <v>95</v>
      </c>
      <c r="F81" s="52" t="s">
        <v>86</v>
      </c>
      <c r="G81" s="52" t="s">
        <v>87</v>
      </c>
      <c r="H81" s="53" t="s">
        <v>96</v>
      </c>
    </row>
    <row r="82" customFormat="false" ht="15.75" hidden="false" customHeight="true" outlineLevel="0" collapsed="false">
      <c r="A82" s="54" t="n">
        <v>101</v>
      </c>
      <c r="B82" s="24" t="str">
        <f aca="false">VLOOKUP(A82,'Staff Details'!$B$1:$C$7,2,0)</f>
        <v>Dwight K Schrute</v>
      </c>
      <c r="C82" s="55" t="n">
        <f aca="false">VLOOKUP(A82,'Basic Salary'!A2:P9,12,0)</f>
        <v>6000</v>
      </c>
      <c r="D82" s="55" t="n">
        <f aca="false">VLOOKUP(A82,Allowances!A1:O8,12,0)</f>
        <v>4000</v>
      </c>
      <c r="E82" s="55" t="n">
        <f aca="false">C82+D82</f>
        <v>10000</v>
      </c>
      <c r="F82" s="55" t="n">
        <f aca="false">VLOOKUP(A82,'Tax Calculation'!$A$1:$AA$7,26,0)</f>
        <v>94.6032258064516</v>
      </c>
      <c r="G82" s="55" t="n">
        <f aca="false">VLOOKUP(A82,'Tax Calculation'!$A$1:$AA$7,27,0)</f>
        <v>0</v>
      </c>
      <c r="H82" s="56" t="n">
        <f aca="false">E82-F82-G82</f>
        <v>9905.39677419355</v>
      </c>
    </row>
    <row r="83" customFormat="false" ht="15.75" hidden="false" customHeight="true" outlineLevel="0" collapsed="false">
      <c r="A83" s="54" t="n">
        <v>102</v>
      </c>
      <c r="B83" s="24" t="str">
        <f aca="false">VLOOKUP(A83,'Staff Details'!$B$1:$C$7,2,0)</f>
        <v>Rajesh Koothrapalli</v>
      </c>
      <c r="C83" s="55" t="n">
        <f aca="false">VLOOKUP(A83,'Basic Salary'!A3:P10,12,0)</f>
        <v>0</v>
      </c>
      <c r="D83" s="55" t="n">
        <f aca="false">VLOOKUP(A83,Allowances!A2:O9,12,0)</f>
        <v>0</v>
      </c>
      <c r="E83" s="55" t="n">
        <f aca="false">C83+D83</f>
        <v>0</v>
      </c>
      <c r="F83" s="55" t="n">
        <f aca="false">VLOOKUP(A83,'Tax Calculation'!$A$1:$AA$7,26,0)</f>
        <v>0</v>
      </c>
      <c r="G83" s="55" t="n">
        <f aca="false">VLOOKUP(A83,'Tax Calculation'!$A$1:$AA$7,27,0)</f>
        <v>0</v>
      </c>
      <c r="H83" s="56" t="n">
        <f aca="false">E83-F83-G83</f>
        <v>0</v>
      </c>
    </row>
    <row r="84" customFormat="false" ht="15.75" hidden="false" customHeight="true" outlineLevel="0" collapsed="false">
      <c r="A84" s="54" t="n">
        <v>103</v>
      </c>
      <c r="B84" s="24" t="str">
        <f aca="false">VLOOKUP(A84,'Staff Details'!$B$1:$C$7,2,0)</f>
        <v>Leonard Hoffstader</v>
      </c>
      <c r="C84" s="55" t="n">
        <f aca="false">VLOOKUP(A84,'Basic Salary'!A4:P11,12,0)</f>
        <v>0</v>
      </c>
      <c r="D84" s="55" t="n">
        <f aca="false">VLOOKUP(A84,Allowances!A3:O10,12,0)</f>
        <v>0</v>
      </c>
      <c r="E84" s="55" t="n">
        <f aca="false">C84+D84</f>
        <v>0</v>
      </c>
      <c r="F84" s="55" t="n">
        <f aca="false">VLOOKUP(A84,'Tax Calculation'!$A$1:$AA$7,26,0)</f>
        <v>0</v>
      </c>
      <c r="G84" s="55" t="n">
        <f aca="false">VLOOKUP(A84,'Tax Calculation'!$A$1:$AA$7,27,0)</f>
        <v>0</v>
      </c>
      <c r="H84" s="56" t="n">
        <f aca="false">E84-F84-G84</f>
        <v>0</v>
      </c>
    </row>
    <row r="85" customFormat="false" ht="15.75" hidden="false" customHeight="true" outlineLevel="0" collapsed="false">
      <c r="A85" s="54" t="n">
        <v>104</v>
      </c>
      <c r="B85" s="24" t="str">
        <f aca="false">VLOOKUP(A85,'Staff Details'!$B$1:$C$7,2,0)</f>
        <v>Howard Wolowitz</v>
      </c>
      <c r="C85" s="55" t="n">
        <f aca="false">VLOOKUP(A85,'Basic Salary'!A5:P12,12,0)</f>
        <v>0</v>
      </c>
      <c r="D85" s="55" t="n">
        <f aca="false">VLOOKUP(A85,Allowances!A4:O11,12,0)</f>
        <v>0</v>
      </c>
      <c r="E85" s="55" t="n">
        <f aca="false">C85+D85</f>
        <v>0</v>
      </c>
      <c r="F85" s="55" t="n">
        <f aca="false">VLOOKUP(A85,'Tax Calculation'!$A$1:$AA$7,26,0)</f>
        <v>0</v>
      </c>
      <c r="G85" s="55" t="n">
        <f aca="false">VLOOKUP(A85,'Tax Calculation'!$A$1:$AA$7,27,0)</f>
        <v>0</v>
      </c>
      <c r="H85" s="56" t="n">
        <f aca="false">E85-F85-G85</f>
        <v>0</v>
      </c>
    </row>
    <row r="86" customFormat="false" ht="15.75" hidden="false" customHeight="true" outlineLevel="0" collapsed="false">
      <c r="A86" s="54" t="n">
        <v>105</v>
      </c>
      <c r="B86" s="24" t="str">
        <f aca="false">VLOOKUP(A86,'Staff Details'!$B$1:$C$7,2,0)</f>
        <v>Sheldon Cooper</v>
      </c>
      <c r="C86" s="55" t="n">
        <f aca="false">VLOOKUP(A86,'Basic Salary'!A6:P13,12,0)</f>
        <v>0</v>
      </c>
      <c r="D86" s="55" t="n">
        <f aca="false">VLOOKUP(A86,Allowances!A5:O12,12,0)</f>
        <v>0</v>
      </c>
      <c r="E86" s="55" t="n">
        <f aca="false">C86+D86</f>
        <v>0</v>
      </c>
      <c r="F86" s="55" t="n">
        <f aca="false">VLOOKUP(A86,'Tax Calculation'!$A$1:$AA$7,26,0)</f>
        <v>0</v>
      </c>
      <c r="G86" s="55" t="n">
        <f aca="false">VLOOKUP(A86,'Tax Calculation'!$A$1:$AA$7,27,0)</f>
        <v>0</v>
      </c>
      <c r="H86" s="56" t="n">
        <f aca="false">E86-F86-G86</f>
        <v>0</v>
      </c>
    </row>
    <row r="87" customFormat="false" ht="15.75" hidden="false" customHeight="true" outlineLevel="0" collapsed="false">
      <c r="A87" s="54" t="n">
        <v>106</v>
      </c>
      <c r="B87" s="24" t="str">
        <f aca="false">VLOOKUP(A87,'Staff Details'!$B$1:$C$7,2,0)</f>
        <v>Euler</v>
      </c>
      <c r="C87" s="55" t="n">
        <f aca="false">VLOOKUP(A87,'Basic Salary'!A7:P14,12,0)</f>
        <v>7200</v>
      </c>
      <c r="D87" s="55" t="n">
        <f aca="false">VLOOKUP(A87,Allowances!A6:O13,12,0)</f>
        <v>4800</v>
      </c>
      <c r="E87" s="55" t="n">
        <f aca="false">C87+D87</f>
        <v>12000</v>
      </c>
      <c r="F87" s="55" t="n">
        <f aca="false">VLOOKUP(A87,'Tax Calculation'!$A$1:$AA$7,26,0)</f>
        <v>118.173333333333</v>
      </c>
      <c r="G87" s="55" t="n">
        <f aca="false">VLOOKUP(A87,'Tax Calculation'!$A$1:$AA$7,27,0)</f>
        <v>0</v>
      </c>
      <c r="H87" s="56" t="n">
        <f aca="false">E87-F87-G87</f>
        <v>11881.8266666667</v>
      </c>
    </row>
    <row r="88" customFormat="false" ht="15.75" hidden="false" customHeight="true" outlineLevel="0" collapsed="false">
      <c r="A88" s="57" t="s">
        <v>65</v>
      </c>
      <c r="B88" s="57"/>
      <c r="C88" s="58" t="n">
        <f aca="false">SUM(C82:C87)</f>
        <v>13200</v>
      </c>
      <c r="D88" s="58" t="n">
        <f aca="false">SUM(D82:D87)</f>
        <v>8800</v>
      </c>
      <c r="E88" s="58" t="n">
        <f aca="false">SUM(E82:E87)</f>
        <v>22000</v>
      </c>
      <c r="F88" s="58" t="n">
        <f aca="false">SUM(F82:F87)</f>
        <v>212.776559139785</v>
      </c>
      <c r="G88" s="58" t="n">
        <f aca="false">SUM(G82:G87)</f>
        <v>0</v>
      </c>
      <c r="H88" s="59" t="n">
        <f aca="false">SUM(H82:H87)</f>
        <v>21787.2234408602</v>
      </c>
    </row>
    <row r="89" customFormat="false" ht="15.75" hidden="false" customHeight="true" outlineLevel="0" collapsed="false">
      <c r="A89" s="60" t="s">
        <v>105</v>
      </c>
      <c r="B89" s="60"/>
      <c r="C89" s="60"/>
      <c r="D89" s="60"/>
      <c r="E89" s="60"/>
      <c r="F89" s="60"/>
      <c r="G89" s="60"/>
      <c r="H89" s="60"/>
    </row>
    <row r="90" customFormat="false" ht="15.75" hidden="false" customHeight="true" outlineLevel="0" collapsed="false"/>
    <row r="91" customFormat="false" ht="15.75" hidden="false" customHeight="true" outlineLevel="0" collapsed="false">
      <c r="A91" s="51" t="s">
        <v>20</v>
      </c>
      <c r="B91" s="52" t="s">
        <v>47</v>
      </c>
      <c r="C91" s="52" t="s">
        <v>94</v>
      </c>
      <c r="D91" s="52" t="s">
        <v>53</v>
      </c>
      <c r="E91" s="52" t="s">
        <v>95</v>
      </c>
      <c r="F91" s="52" t="s">
        <v>86</v>
      </c>
      <c r="G91" s="52" t="s">
        <v>87</v>
      </c>
      <c r="H91" s="53" t="s">
        <v>96</v>
      </c>
    </row>
    <row r="92" customFormat="false" ht="15.75" hidden="false" customHeight="true" outlineLevel="0" collapsed="false">
      <c r="A92" s="54" t="n">
        <v>101</v>
      </c>
      <c r="B92" s="24" t="str">
        <f aca="false">VLOOKUP(A92,'Staff Details'!$B$1:$C$7,2,0)</f>
        <v>Dwight K Schrute</v>
      </c>
      <c r="C92" s="55" t="n">
        <f aca="false">VLOOKUP(A92,'Basic Salary'!A2:P9,13,0)</f>
        <v>6000</v>
      </c>
      <c r="D92" s="55" t="n">
        <f aca="false">VLOOKUP(A92,Allowances!A1:O8,13,0)</f>
        <v>4000</v>
      </c>
      <c r="E92" s="55" t="n">
        <f aca="false">C92+D92</f>
        <v>10000</v>
      </c>
      <c r="F92" s="55" t="n">
        <f aca="false">VLOOKUP(A92,'Tax Calculation'!$A$1:$AA$7,26,0)</f>
        <v>94.6032258064516</v>
      </c>
      <c r="G92" s="55" t="n">
        <f aca="false">VLOOKUP(A92,'Tax Calculation'!$A$1:$AA$7,27,0)</f>
        <v>0</v>
      </c>
      <c r="H92" s="56" t="n">
        <f aca="false">E92-F92-G92</f>
        <v>9905.39677419355</v>
      </c>
    </row>
    <row r="93" customFormat="false" ht="15.75" hidden="false" customHeight="true" outlineLevel="0" collapsed="false">
      <c r="A93" s="54" t="n">
        <v>102</v>
      </c>
      <c r="B93" s="24" t="str">
        <f aca="false">VLOOKUP(A93,'Staff Details'!$B$1:$C$7,2,0)</f>
        <v>Rajesh Koothrapalli</v>
      </c>
      <c r="C93" s="55" t="n">
        <f aca="false">VLOOKUP(A93,'Basic Salary'!A3:P10,13,0)</f>
        <v>0</v>
      </c>
      <c r="D93" s="55" t="n">
        <f aca="false">VLOOKUP(A93,Allowances!A2:O9,13,0)</f>
        <v>0</v>
      </c>
      <c r="E93" s="55" t="n">
        <f aca="false">C93+D93</f>
        <v>0</v>
      </c>
      <c r="F93" s="55" t="n">
        <f aca="false">VLOOKUP(A93,'Tax Calculation'!$A$1:$AA$7,26,0)</f>
        <v>0</v>
      </c>
      <c r="G93" s="55" t="n">
        <f aca="false">VLOOKUP(A93,'Tax Calculation'!$A$1:$AA$7,27,0)</f>
        <v>0</v>
      </c>
      <c r="H93" s="56" t="n">
        <f aca="false">E93-F93-G93</f>
        <v>0</v>
      </c>
    </row>
    <row r="94" customFormat="false" ht="15.75" hidden="false" customHeight="true" outlineLevel="0" collapsed="false">
      <c r="A94" s="54" t="n">
        <v>103</v>
      </c>
      <c r="B94" s="24" t="str">
        <f aca="false">VLOOKUP(A94,'Staff Details'!$B$1:$C$7,2,0)</f>
        <v>Leonard Hoffstader</v>
      </c>
      <c r="C94" s="55" t="n">
        <f aca="false">VLOOKUP(A94,'Basic Salary'!A4:P11,13,0)</f>
        <v>0</v>
      </c>
      <c r="D94" s="55" t="n">
        <f aca="false">VLOOKUP(A94,Allowances!A3:O10,13,0)</f>
        <v>0</v>
      </c>
      <c r="E94" s="55" t="n">
        <f aca="false">C94+D94</f>
        <v>0</v>
      </c>
      <c r="F94" s="55" t="n">
        <f aca="false">VLOOKUP(A94,'Tax Calculation'!$A$1:$AA$7,26,0)</f>
        <v>0</v>
      </c>
      <c r="G94" s="55" t="n">
        <f aca="false">VLOOKUP(A94,'Tax Calculation'!$A$1:$AA$7,27,0)</f>
        <v>0</v>
      </c>
      <c r="H94" s="56" t="n">
        <f aca="false">E94-F94-G94</f>
        <v>0</v>
      </c>
    </row>
    <row r="95" customFormat="false" ht="15.75" hidden="false" customHeight="true" outlineLevel="0" collapsed="false">
      <c r="A95" s="54" t="n">
        <v>104</v>
      </c>
      <c r="B95" s="24" t="str">
        <f aca="false">VLOOKUP(A95,'Staff Details'!$B$1:$C$7,2,0)</f>
        <v>Howard Wolowitz</v>
      </c>
      <c r="C95" s="55" t="n">
        <f aca="false">VLOOKUP(A95,'Basic Salary'!A5:P12,13,0)</f>
        <v>0</v>
      </c>
      <c r="D95" s="55" t="n">
        <f aca="false">VLOOKUP(A95,Allowances!A4:O11,13,0)</f>
        <v>0</v>
      </c>
      <c r="E95" s="55" t="n">
        <f aca="false">C95+D95</f>
        <v>0</v>
      </c>
      <c r="F95" s="55" t="n">
        <f aca="false">VLOOKUP(A95,'Tax Calculation'!$A$1:$AA$7,26,0)</f>
        <v>0</v>
      </c>
      <c r="G95" s="55" t="n">
        <f aca="false">VLOOKUP(A95,'Tax Calculation'!$A$1:$AA$7,27,0)</f>
        <v>0</v>
      </c>
      <c r="H95" s="56" t="n">
        <f aca="false">E95-F95-G95</f>
        <v>0</v>
      </c>
    </row>
    <row r="96" customFormat="false" ht="15.75" hidden="false" customHeight="true" outlineLevel="0" collapsed="false">
      <c r="A96" s="54" t="n">
        <v>105</v>
      </c>
      <c r="B96" s="24" t="str">
        <f aca="false">VLOOKUP(A96,'Staff Details'!$B$1:$C$7,2,0)</f>
        <v>Sheldon Cooper</v>
      </c>
      <c r="C96" s="55" t="n">
        <f aca="false">VLOOKUP(A96,'Basic Salary'!A6:P13,13,0)</f>
        <v>0</v>
      </c>
      <c r="D96" s="55" t="n">
        <f aca="false">VLOOKUP(A96,Allowances!A5:O12,13,0)</f>
        <v>0</v>
      </c>
      <c r="E96" s="55" t="n">
        <f aca="false">C96+D96</f>
        <v>0</v>
      </c>
      <c r="F96" s="55" t="n">
        <f aca="false">VLOOKUP(A96,'Tax Calculation'!$A$1:$AA$7,26,0)</f>
        <v>0</v>
      </c>
      <c r="G96" s="55" t="n">
        <f aca="false">VLOOKUP(A96,'Tax Calculation'!$A$1:$AA$7,27,0)</f>
        <v>0</v>
      </c>
      <c r="H96" s="56" t="n">
        <f aca="false">E96-F96-G96</f>
        <v>0</v>
      </c>
    </row>
    <row r="97" customFormat="false" ht="15.75" hidden="false" customHeight="true" outlineLevel="0" collapsed="false">
      <c r="A97" s="54" t="n">
        <v>106</v>
      </c>
      <c r="B97" s="24" t="str">
        <f aca="false">VLOOKUP(A97,'Staff Details'!$B$1:$C$7,2,0)</f>
        <v>Euler</v>
      </c>
      <c r="C97" s="55" t="n">
        <f aca="false">VLOOKUP(A97,'Basic Salary'!A7:P14,13,0)</f>
        <v>7200</v>
      </c>
      <c r="D97" s="55" t="n">
        <f aca="false">VLOOKUP(A97,Allowances!A6:O13,13,0)</f>
        <v>4800</v>
      </c>
      <c r="E97" s="55" t="n">
        <f aca="false">C97+D97</f>
        <v>12000</v>
      </c>
      <c r="F97" s="55" t="n">
        <f aca="false">VLOOKUP(A97,'Tax Calculation'!$A$1:$AA$7,26,0)</f>
        <v>118.173333333333</v>
      </c>
      <c r="G97" s="55" t="n">
        <f aca="false">VLOOKUP(A97,'Tax Calculation'!$A$1:$AA$7,27,0)</f>
        <v>0</v>
      </c>
      <c r="H97" s="56" t="n">
        <f aca="false">E97-F97-G97</f>
        <v>11881.8266666667</v>
      </c>
    </row>
    <row r="98" customFormat="false" ht="15.75" hidden="false" customHeight="true" outlineLevel="0" collapsed="false">
      <c r="A98" s="57" t="s">
        <v>65</v>
      </c>
      <c r="B98" s="57"/>
      <c r="C98" s="58" t="n">
        <f aca="false">SUM(C92:C97)</f>
        <v>13200</v>
      </c>
      <c r="D98" s="58" t="n">
        <f aca="false">SUM(D92:D97)</f>
        <v>8800</v>
      </c>
      <c r="E98" s="58" t="n">
        <f aca="false">SUM(E92:E97)</f>
        <v>22000</v>
      </c>
      <c r="F98" s="58" t="n">
        <f aca="false">SUM(F92:F97)</f>
        <v>212.776559139785</v>
      </c>
      <c r="G98" s="58" t="n">
        <f aca="false">SUM(G92:G97)</f>
        <v>0</v>
      </c>
      <c r="H98" s="59" t="n">
        <f aca="false">SUM(H92:H97)</f>
        <v>21787.2234408602</v>
      </c>
    </row>
    <row r="99" customFormat="false" ht="15.75" hidden="false" customHeight="true" outlineLevel="0" collapsed="false">
      <c r="A99" s="60" t="s">
        <v>106</v>
      </c>
      <c r="B99" s="60"/>
      <c r="C99" s="60"/>
      <c r="D99" s="60"/>
      <c r="E99" s="60"/>
      <c r="F99" s="60"/>
      <c r="G99" s="60"/>
      <c r="H99" s="60"/>
    </row>
    <row r="100" customFormat="false" ht="15.75" hidden="false" customHeight="true" outlineLevel="0" collapsed="false"/>
    <row r="101" customFormat="false" ht="15.75" hidden="false" customHeight="true" outlineLevel="0" collapsed="false">
      <c r="A101" s="51" t="s">
        <v>20</v>
      </c>
      <c r="B101" s="52" t="s">
        <v>47</v>
      </c>
      <c r="C101" s="52" t="s">
        <v>94</v>
      </c>
      <c r="D101" s="52" t="s">
        <v>53</v>
      </c>
      <c r="E101" s="52" t="s">
        <v>95</v>
      </c>
      <c r="F101" s="52" t="s">
        <v>86</v>
      </c>
      <c r="G101" s="52" t="s">
        <v>87</v>
      </c>
      <c r="H101" s="53" t="s">
        <v>96</v>
      </c>
    </row>
    <row r="102" customFormat="false" ht="15.75" hidden="false" customHeight="true" outlineLevel="0" collapsed="false">
      <c r="A102" s="54" t="n">
        <v>101</v>
      </c>
      <c r="B102" s="24" t="str">
        <f aca="false">VLOOKUP(A102,'Staff Details'!$B$1:$C$7,2,0)</f>
        <v>Dwight K Schrute</v>
      </c>
      <c r="C102" s="55" t="n">
        <f aca="false">VLOOKUP(A102,'Basic Salary'!A2:P9,14,0)</f>
        <v>6000</v>
      </c>
      <c r="D102" s="55" t="n">
        <f aca="false">VLOOKUP(A102,Allowances!A1:O8,14,0)</f>
        <v>3466.66666666667</v>
      </c>
      <c r="E102" s="55" t="n">
        <f aca="false">C102+D102</f>
        <v>9466.66666666667</v>
      </c>
      <c r="F102" s="55" t="n">
        <f aca="false">VLOOKUP(A102,'Tax Calculation'!$A$1:$AA$7,26,0)</f>
        <v>94.6032258064516</v>
      </c>
      <c r="G102" s="55" t="n">
        <f aca="false">VLOOKUP(A102,'Tax Calculation'!$A$1:$AA$7,27,0)</f>
        <v>0</v>
      </c>
      <c r="H102" s="56" t="n">
        <f aca="false">E102-F102-G102</f>
        <v>9372.06344086022</v>
      </c>
    </row>
    <row r="103" customFormat="false" ht="15.75" hidden="false" customHeight="true" outlineLevel="0" collapsed="false">
      <c r="A103" s="54" t="n">
        <v>102</v>
      </c>
      <c r="B103" s="24" t="str">
        <f aca="false">VLOOKUP(A103,'Staff Details'!$B$1:$C$7,2,0)</f>
        <v>Rajesh Koothrapalli</v>
      </c>
      <c r="C103" s="55" t="n">
        <f aca="false">VLOOKUP(A103,'Basic Salary'!A3:P10,14,0)</f>
        <v>0</v>
      </c>
      <c r="D103" s="55" t="n">
        <f aca="false">VLOOKUP(A103,Allowances!A2:O9,14,0)</f>
        <v>0</v>
      </c>
      <c r="E103" s="55" t="n">
        <f aca="false">C103+D103</f>
        <v>0</v>
      </c>
      <c r="F103" s="55" t="n">
        <f aca="false">VLOOKUP(A103,'Tax Calculation'!$A$1:$AA$7,26,0)</f>
        <v>0</v>
      </c>
      <c r="G103" s="55" t="n">
        <f aca="false">VLOOKUP(A103,'Tax Calculation'!$A$1:$AA$7,27,0)</f>
        <v>0</v>
      </c>
      <c r="H103" s="56" t="n">
        <f aca="false">E103-F103-G103</f>
        <v>0</v>
      </c>
    </row>
    <row r="104" customFormat="false" ht="15.75" hidden="false" customHeight="true" outlineLevel="0" collapsed="false">
      <c r="A104" s="54" t="n">
        <v>103</v>
      </c>
      <c r="B104" s="24" t="str">
        <f aca="false">VLOOKUP(A104,'Staff Details'!$B$1:$C$7,2,0)</f>
        <v>Leonard Hoffstader</v>
      </c>
      <c r="C104" s="55" t="n">
        <f aca="false">VLOOKUP(A104,'Basic Salary'!A4:P11,14,0)</f>
        <v>0</v>
      </c>
      <c r="D104" s="55" t="n">
        <f aca="false">VLOOKUP(A104,Allowances!A3:O10,14,0)</f>
        <v>0</v>
      </c>
      <c r="E104" s="55" t="n">
        <f aca="false">C104+D104</f>
        <v>0</v>
      </c>
      <c r="F104" s="55" t="n">
        <f aca="false">VLOOKUP(A104,'Tax Calculation'!$A$1:$AA$7,26,0)</f>
        <v>0</v>
      </c>
      <c r="G104" s="55" t="n">
        <f aca="false">VLOOKUP(A104,'Tax Calculation'!$A$1:$AA$7,27,0)</f>
        <v>0</v>
      </c>
      <c r="H104" s="56" t="n">
        <f aca="false">E104-F104-G104</f>
        <v>0</v>
      </c>
    </row>
    <row r="105" customFormat="false" ht="15.75" hidden="false" customHeight="true" outlineLevel="0" collapsed="false">
      <c r="A105" s="54" t="n">
        <v>104</v>
      </c>
      <c r="B105" s="24" t="str">
        <f aca="false">VLOOKUP(A105,'Staff Details'!$B$1:$C$7,2,0)</f>
        <v>Howard Wolowitz</v>
      </c>
      <c r="C105" s="55" t="n">
        <f aca="false">VLOOKUP(A105,'Basic Salary'!A5:P12,14,0)</f>
        <v>0</v>
      </c>
      <c r="D105" s="55" t="n">
        <f aca="false">VLOOKUP(A105,Allowances!A4:O11,14,0)</f>
        <v>0</v>
      </c>
      <c r="E105" s="55" t="n">
        <f aca="false">C105+D105</f>
        <v>0</v>
      </c>
      <c r="F105" s="55" t="n">
        <f aca="false">VLOOKUP(A105,'Tax Calculation'!$A$1:$AA$7,26,0)</f>
        <v>0</v>
      </c>
      <c r="G105" s="55" t="n">
        <f aca="false">VLOOKUP(A105,'Tax Calculation'!$A$1:$AA$7,27,0)</f>
        <v>0</v>
      </c>
      <c r="H105" s="56" t="n">
        <f aca="false">E105-F105-G105</f>
        <v>0</v>
      </c>
    </row>
    <row r="106" customFormat="false" ht="15.75" hidden="false" customHeight="true" outlineLevel="0" collapsed="false">
      <c r="A106" s="54" t="n">
        <v>105</v>
      </c>
      <c r="B106" s="24" t="str">
        <f aca="false">VLOOKUP(A106,'Staff Details'!$B$1:$C$7,2,0)</f>
        <v>Sheldon Cooper</v>
      </c>
      <c r="C106" s="55" t="n">
        <f aca="false">VLOOKUP(A106,'Basic Salary'!A6:P13,14,0)</f>
        <v>0</v>
      </c>
      <c r="D106" s="55" t="n">
        <f aca="false">VLOOKUP(A106,Allowances!A5:O12,14,0)</f>
        <v>0</v>
      </c>
      <c r="E106" s="55" t="n">
        <f aca="false">C106+D106</f>
        <v>0</v>
      </c>
      <c r="F106" s="55" t="n">
        <f aca="false">VLOOKUP(A106,'Tax Calculation'!$A$1:$AA$7,26,0)</f>
        <v>0</v>
      </c>
      <c r="G106" s="55" t="n">
        <f aca="false">VLOOKUP(A106,'Tax Calculation'!$A$1:$AA$7,27,0)</f>
        <v>0</v>
      </c>
      <c r="H106" s="56" t="n">
        <f aca="false">E106-F106-G106</f>
        <v>0</v>
      </c>
    </row>
    <row r="107" customFormat="false" ht="15.75" hidden="false" customHeight="true" outlineLevel="0" collapsed="false">
      <c r="A107" s="54" t="n">
        <v>106</v>
      </c>
      <c r="B107" s="24" t="str">
        <f aca="false">VLOOKUP(A107,'Staff Details'!$B$1:$C$7,2,0)</f>
        <v>Euler</v>
      </c>
      <c r="C107" s="55" t="n">
        <f aca="false">VLOOKUP(A107,'Basic Salary'!A7:P14,14,0)</f>
        <v>7200</v>
      </c>
      <c r="D107" s="55" t="n">
        <f aca="false">VLOOKUP(A107,Allowances!A6:O13,14,0)</f>
        <v>4800</v>
      </c>
      <c r="E107" s="55" t="n">
        <f aca="false">C107+D107</f>
        <v>12000</v>
      </c>
      <c r="F107" s="55" t="n">
        <f aca="false">VLOOKUP(A107,'Tax Calculation'!$A$1:$AA$7,26,0)</f>
        <v>118.173333333333</v>
      </c>
      <c r="G107" s="55" t="n">
        <f aca="false">VLOOKUP(A107,'Tax Calculation'!$A$1:$AA$7,27,0)</f>
        <v>0</v>
      </c>
      <c r="H107" s="56" t="n">
        <f aca="false">E107-F107-G107</f>
        <v>11881.8266666667</v>
      </c>
    </row>
    <row r="108" customFormat="false" ht="15.75" hidden="false" customHeight="true" outlineLevel="0" collapsed="false">
      <c r="A108" s="57" t="s">
        <v>65</v>
      </c>
      <c r="B108" s="57"/>
      <c r="C108" s="58" t="n">
        <f aca="false">SUM(C102:C107)</f>
        <v>13200</v>
      </c>
      <c r="D108" s="58" t="n">
        <f aca="false">SUM(D102:D107)</f>
        <v>8266.66666666667</v>
      </c>
      <c r="E108" s="58" t="n">
        <f aca="false">SUM(E102:E107)</f>
        <v>21466.6666666667</v>
      </c>
      <c r="F108" s="58" t="n">
        <f aca="false">SUM(F102:F107)</f>
        <v>212.776559139785</v>
      </c>
      <c r="G108" s="58" t="n">
        <f aca="false">SUM(G102:G107)</f>
        <v>0</v>
      </c>
      <c r="H108" s="59" t="n">
        <f aca="false">SUM(H102:H107)</f>
        <v>21253.8901075269</v>
      </c>
    </row>
    <row r="109" customFormat="false" ht="15.75" hidden="false" customHeight="true" outlineLevel="0" collapsed="false">
      <c r="A109" s="60" t="s">
        <v>107</v>
      </c>
      <c r="B109" s="60"/>
      <c r="C109" s="60"/>
      <c r="D109" s="60"/>
      <c r="E109" s="60"/>
      <c r="F109" s="60"/>
      <c r="G109" s="60"/>
      <c r="H109" s="60"/>
    </row>
    <row r="110" customFormat="false" ht="15.75" hidden="false" customHeight="true" outlineLevel="0" collapsed="false"/>
    <row r="111" customFormat="false" ht="15.75" hidden="false" customHeight="true" outlineLevel="0" collapsed="false">
      <c r="A111" s="51" t="s">
        <v>20</v>
      </c>
      <c r="B111" s="52" t="s">
        <v>47</v>
      </c>
      <c r="C111" s="52" t="s">
        <v>94</v>
      </c>
      <c r="D111" s="52" t="s">
        <v>53</v>
      </c>
      <c r="E111" s="52" t="s">
        <v>95</v>
      </c>
      <c r="F111" s="52" t="s">
        <v>86</v>
      </c>
      <c r="G111" s="52" t="s">
        <v>87</v>
      </c>
      <c r="H111" s="53" t="s">
        <v>96</v>
      </c>
    </row>
    <row r="112" customFormat="false" ht="15.75" hidden="false" customHeight="true" outlineLevel="0" collapsed="false">
      <c r="A112" s="54" t="n">
        <v>101</v>
      </c>
      <c r="B112" s="24" t="str">
        <f aca="false">VLOOKUP(A112,'Staff Details'!$B$1:$C$7,2,0)</f>
        <v>Dwight K Schrute</v>
      </c>
      <c r="C112" s="55" t="n">
        <f aca="false">VLOOKUP(A112,'Basic Salary'!A2:P9,15,0)</f>
        <v>5200</v>
      </c>
      <c r="D112" s="55" t="n">
        <f aca="false">VLOOKUP(A112,Allowances!A1:O8,15,0)</f>
        <v>4000</v>
      </c>
      <c r="E112" s="55" t="n">
        <f aca="false">C112+D112</f>
        <v>9200</v>
      </c>
      <c r="F112" s="55" t="n">
        <f aca="false">VLOOKUP(A112,'Tax Calculation'!$A$1:$AA$7,26,0)</f>
        <v>94.6032258064516</v>
      </c>
      <c r="G112" s="55" t="n">
        <f aca="false">VLOOKUP(A112,'Tax Calculation'!$A$1:$AA$7,27,0)</f>
        <v>0</v>
      </c>
      <c r="H112" s="56" t="n">
        <f aca="false">E112-F112-G112</f>
        <v>9105.39677419355</v>
      </c>
    </row>
    <row r="113" customFormat="false" ht="15.75" hidden="false" customHeight="true" outlineLevel="0" collapsed="false">
      <c r="A113" s="54" t="n">
        <v>102</v>
      </c>
      <c r="B113" s="24" t="str">
        <f aca="false">VLOOKUP(A113,'Staff Details'!$B$1:$C$7,2,0)</f>
        <v>Rajesh Koothrapalli</v>
      </c>
      <c r="C113" s="55" t="n">
        <f aca="false">VLOOKUP(A113,'Basic Salary'!A3:P10,15,0)</f>
        <v>0</v>
      </c>
      <c r="D113" s="55" t="n">
        <f aca="false">VLOOKUP(A113,Allowances!A2:O9,15,0)</f>
        <v>0</v>
      </c>
      <c r="E113" s="55" t="n">
        <f aca="false">C113+D113</f>
        <v>0</v>
      </c>
      <c r="F113" s="55" t="n">
        <f aca="false">VLOOKUP(A113,'Tax Calculation'!$A$1:$AA$7,26,0)</f>
        <v>0</v>
      </c>
      <c r="G113" s="55" t="n">
        <f aca="false">VLOOKUP(A113,'Tax Calculation'!$A$1:$AA$7,27,0)</f>
        <v>0</v>
      </c>
      <c r="H113" s="56" t="n">
        <f aca="false">E113-F113-G113</f>
        <v>0</v>
      </c>
    </row>
    <row r="114" customFormat="false" ht="15.75" hidden="false" customHeight="true" outlineLevel="0" collapsed="false">
      <c r="A114" s="54" t="n">
        <v>103</v>
      </c>
      <c r="B114" s="24" t="str">
        <f aca="false">VLOOKUP(A114,'Staff Details'!$B$1:$C$7,2,0)</f>
        <v>Leonard Hoffstader</v>
      </c>
      <c r="C114" s="55" t="n">
        <f aca="false">VLOOKUP(A114,'Basic Salary'!A4:P11,15,0)</f>
        <v>0</v>
      </c>
      <c r="D114" s="55" t="n">
        <f aca="false">VLOOKUP(A114,Allowances!A3:O10,15,0)</f>
        <v>0</v>
      </c>
      <c r="E114" s="55" t="n">
        <f aca="false">C114+D114</f>
        <v>0</v>
      </c>
      <c r="F114" s="55" t="n">
        <f aca="false">VLOOKUP(A114,'Tax Calculation'!$A$1:$AA$7,26,0)</f>
        <v>0</v>
      </c>
      <c r="G114" s="55" t="n">
        <f aca="false">VLOOKUP(A114,'Tax Calculation'!$A$1:$AA$7,27,0)</f>
        <v>0</v>
      </c>
      <c r="H114" s="56" t="n">
        <f aca="false">E114-F114-G114</f>
        <v>0</v>
      </c>
    </row>
    <row r="115" customFormat="false" ht="15.75" hidden="false" customHeight="true" outlineLevel="0" collapsed="false">
      <c r="A115" s="54" t="n">
        <v>104</v>
      </c>
      <c r="B115" s="24" t="str">
        <f aca="false">VLOOKUP(A115,'Staff Details'!$B$1:$C$7,2,0)</f>
        <v>Howard Wolowitz</v>
      </c>
      <c r="C115" s="55" t="n">
        <f aca="false">VLOOKUP(A115,'Basic Salary'!A5:P12,15,0)</f>
        <v>0</v>
      </c>
      <c r="D115" s="55" t="n">
        <f aca="false">VLOOKUP(A115,Allowances!A4:O11,15,0)</f>
        <v>0</v>
      </c>
      <c r="E115" s="55" t="n">
        <f aca="false">C115+D115</f>
        <v>0</v>
      </c>
      <c r="F115" s="55" t="n">
        <f aca="false">VLOOKUP(A115,'Tax Calculation'!$A$1:$AA$7,26,0)</f>
        <v>0</v>
      </c>
      <c r="G115" s="55" t="n">
        <f aca="false">VLOOKUP(A115,'Tax Calculation'!$A$1:$AA$7,27,0)</f>
        <v>0</v>
      </c>
      <c r="H115" s="56" t="n">
        <f aca="false">E115-F115-G115</f>
        <v>0</v>
      </c>
    </row>
    <row r="116" customFormat="false" ht="15.75" hidden="false" customHeight="true" outlineLevel="0" collapsed="false">
      <c r="A116" s="54" t="n">
        <v>105</v>
      </c>
      <c r="B116" s="24" t="str">
        <f aca="false">VLOOKUP(A116,'Staff Details'!$B$1:$C$7,2,0)</f>
        <v>Sheldon Cooper</v>
      </c>
      <c r="C116" s="55" t="n">
        <f aca="false">VLOOKUP(A116,'Basic Salary'!A6:P13,15,0)</f>
        <v>0</v>
      </c>
      <c r="D116" s="55" t="n">
        <f aca="false">VLOOKUP(A116,Allowances!A5:O12,15,0)</f>
        <v>0</v>
      </c>
      <c r="E116" s="55" t="n">
        <f aca="false">C116+D116</f>
        <v>0</v>
      </c>
      <c r="F116" s="55" t="n">
        <f aca="false">VLOOKUP(A116,'Tax Calculation'!$A$1:$AA$7,26,0)</f>
        <v>0</v>
      </c>
      <c r="G116" s="55" t="n">
        <f aca="false">VLOOKUP(A116,'Tax Calculation'!$A$1:$AA$7,27,0)</f>
        <v>0</v>
      </c>
      <c r="H116" s="56" t="n">
        <f aca="false">E116-F116-G116</f>
        <v>0</v>
      </c>
    </row>
    <row r="117" customFormat="false" ht="15.75" hidden="false" customHeight="true" outlineLevel="0" collapsed="false">
      <c r="A117" s="54" t="n">
        <v>106</v>
      </c>
      <c r="B117" s="24" t="str">
        <f aca="false">VLOOKUP(A117,'Staff Details'!$B$1:$C$7,2,0)</f>
        <v>Euler</v>
      </c>
      <c r="C117" s="55" t="n">
        <f aca="false">VLOOKUP(A18,'Basic Salary'!A7:P14,15,0)</f>
        <v>12400</v>
      </c>
      <c r="D117" s="55" t="n">
        <f aca="false">VLOOKUP(A117,Allowances!A6:O13,15,0)</f>
        <v>4800</v>
      </c>
      <c r="E117" s="55" t="n">
        <f aca="false">C117+D117</f>
        <v>17200</v>
      </c>
      <c r="F117" s="55" t="n">
        <f aca="false">VLOOKUP(A117,'Tax Calculation'!$A$1:$AA$7,26,0)</f>
        <v>118.173333333333</v>
      </c>
      <c r="G117" s="55" t="n">
        <f aca="false">VLOOKUP(A117,'Tax Calculation'!$A$1:$AA$7,27,0)</f>
        <v>0</v>
      </c>
      <c r="H117" s="56" t="n">
        <f aca="false">E117-F117-G117</f>
        <v>17081.8266666667</v>
      </c>
    </row>
    <row r="118" customFormat="false" ht="15.75" hidden="false" customHeight="true" outlineLevel="0" collapsed="false">
      <c r="A118" s="57" t="s">
        <v>65</v>
      </c>
      <c r="B118" s="57"/>
      <c r="C118" s="58" t="n">
        <f aca="false">SUM(C112:C117)</f>
        <v>17600</v>
      </c>
      <c r="D118" s="58" t="n">
        <f aca="false">SUM(D112:D117)</f>
        <v>8800</v>
      </c>
      <c r="E118" s="58" t="n">
        <f aca="false">SUM(E112:E117)</f>
        <v>26400</v>
      </c>
      <c r="F118" s="58" t="n">
        <f aca="false">SUM(F112:F117)</f>
        <v>212.776559139785</v>
      </c>
      <c r="G118" s="58" t="n">
        <f aca="false">SUM(G112:G117)</f>
        <v>0</v>
      </c>
      <c r="H118" s="59" t="n">
        <f aca="false">SUM(H112:H117)</f>
        <v>26187.2234408602</v>
      </c>
    </row>
    <row r="119" customFormat="false" ht="15.75" hidden="false" customHeight="true" outlineLevel="0" collapsed="false">
      <c r="A119" s="60" t="s">
        <v>108</v>
      </c>
      <c r="B119" s="60"/>
      <c r="C119" s="60"/>
      <c r="D119" s="60"/>
      <c r="E119" s="60"/>
      <c r="F119" s="60"/>
      <c r="G119" s="60"/>
      <c r="H119" s="60"/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>
      <c r="G128" s="61"/>
    </row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4">
    <mergeCell ref="A8:B8"/>
    <mergeCell ref="A9:H9"/>
    <mergeCell ref="A18:B18"/>
    <mergeCell ref="A19:H19"/>
    <mergeCell ref="A28:B28"/>
    <mergeCell ref="A29:H29"/>
    <mergeCell ref="A38:B38"/>
    <mergeCell ref="A39:H39"/>
    <mergeCell ref="A48:B48"/>
    <mergeCell ref="A49:H49"/>
    <mergeCell ref="A58:B58"/>
    <mergeCell ref="A59:H59"/>
    <mergeCell ref="A68:B68"/>
    <mergeCell ref="A69:H69"/>
    <mergeCell ref="A78:B78"/>
    <mergeCell ref="A79:H79"/>
    <mergeCell ref="A88:B88"/>
    <mergeCell ref="A89:H89"/>
    <mergeCell ref="A98:B98"/>
    <mergeCell ref="A99:H99"/>
    <mergeCell ref="A108:B108"/>
    <mergeCell ref="A109:H109"/>
    <mergeCell ref="A118:B118"/>
    <mergeCell ref="A119:H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2023-03-08T02:26:32Z</dcterms:created>
  <dc:creator>Barshad Chhetri</dc:creator>
  <dc:description/>
  <dc:language>en-US</dc:language>
  <cp:lastModifiedBy/>
  <dcterms:modified xsi:type="dcterms:W3CDTF">2024-06-29T18:46:38Z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