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comments4.xml" ContentType="application/vnd.openxmlformats-officedocument.spreadsheetml.comments+xml"/>
  <Override PartName="/xl/charts/chart16.xml" ContentType="application/vnd.openxmlformats-officedocument.drawingml.chart+xml"/>
  <Override PartName="/xl/charts/chart1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H:\Salmon\Speel Lake Sockeye Model\Spawner-Recruit Analysis\Bayesian Analysis\Speel_Lake_sockeye_state_space_model\data\"/>
    </mc:Choice>
  </mc:AlternateContent>
  <xr:revisionPtr revIDLastSave="0" documentId="8_{ADC51862-D234-4BF8-974D-A28DBB8F3FC1}" xr6:coauthVersionLast="45" xr6:coauthVersionMax="45" xr10:uidLastSave="{00000000-0000-0000-0000-000000000000}"/>
  <bookViews>
    <workbookView xWindow="6705" yWindow="1410" windowWidth="21600" windowHeight="11325" firstSheet="5" activeTab="8" xr2:uid="{00000000-000D-0000-FFFF-FFFF00000000}"/>
  </bookViews>
  <sheets>
    <sheet name="Table - Age Total Escapement" sheetId="5" r:id="rId1"/>
    <sheet name="Escapement Age" sheetId="4" r:id="rId2"/>
    <sheet name="Catch Age" sheetId="2" r:id="rId3"/>
    <sheet name="Summary Data (Calc) NOT USED" sheetId="13" r:id="rId4"/>
    <sheet name="Daily Weir Counts" sheetId="6" r:id="rId5"/>
    <sheet name="Weir Expansion Factors" sheetId="9" r:id="rId6"/>
    <sheet name="Summary Data" sheetId="3" r:id="rId7"/>
    <sheet name="Weir Expansions" sheetId="8" r:id="rId8"/>
    <sheet name="Total Run by Age for BUGS" sheetId="10" r:id="rId9"/>
  </sheets>
  <definedNames>
    <definedName name="solver_eng" localSheetId="5" hidden="1">1</definedName>
    <definedName name="solver_neg" localSheetId="5" hidden="1">1</definedName>
    <definedName name="solver_num" localSheetId="5" hidden="1">0</definedName>
    <definedName name="solver_opt" localSheetId="5" hidden="1">'Weir Expansion Factors'!$M$23</definedName>
    <definedName name="solver_typ" localSheetId="5" hidden="1">1</definedName>
    <definedName name="solver_val" localSheetId="5" hidden="1">0</definedName>
    <definedName name="solver_ver" localSheetId="5" hidden="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5" i="10" l="1"/>
  <c r="L78" i="13" l="1"/>
  <c r="L77" i="13"/>
  <c r="L76" i="13"/>
  <c r="L75" i="13"/>
  <c r="H42" i="13"/>
  <c r="H41" i="13"/>
  <c r="H40" i="13"/>
  <c r="E40" i="13"/>
  <c r="D40" i="13"/>
  <c r="C40" i="13"/>
  <c r="B40" i="13"/>
  <c r="H39" i="13"/>
  <c r="E39" i="13"/>
  <c r="D39" i="13"/>
  <c r="C39" i="13"/>
  <c r="B39" i="13"/>
  <c r="H38" i="13"/>
  <c r="E38" i="13"/>
  <c r="D38" i="13"/>
  <c r="C38" i="13"/>
  <c r="F38" i="13" s="1"/>
  <c r="B38" i="13"/>
  <c r="AL37" i="13"/>
  <c r="H37" i="13"/>
  <c r="E37" i="13"/>
  <c r="D37" i="13"/>
  <c r="C37" i="13"/>
  <c r="B37" i="13"/>
  <c r="AL36" i="13"/>
  <c r="H36" i="13"/>
  <c r="E36" i="13"/>
  <c r="D36" i="13"/>
  <c r="F36" i="13" s="1"/>
  <c r="C36" i="13"/>
  <c r="B36" i="13"/>
  <c r="AL35" i="13"/>
  <c r="H35" i="13"/>
  <c r="E35" i="13"/>
  <c r="D35" i="13"/>
  <c r="C35" i="13"/>
  <c r="F35" i="13" s="1"/>
  <c r="B35" i="13"/>
  <c r="AL34" i="13"/>
  <c r="H34" i="13"/>
  <c r="E34" i="13"/>
  <c r="D34" i="13"/>
  <c r="C34" i="13"/>
  <c r="B34" i="13"/>
  <c r="AL33" i="13"/>
  <c r="H33" i="13"/>
  <c r="E33" i="13"/>
  <c r="D33" i="13"/>
  <c r="C33" i="13"/>
  <c r="B33" i="13"/>
  <c r="AL32" i="13"/>
  <c r="H32" i="13"/>
  <c r="E32" i="13"/>
  <c r="D32" i="13"/>
  <c r="C32" i="13"/>
  <c r="B32" i="13"/>
  <c r="F32" i="13" s="1"/>
  <c r="AL31" i="13"/>
  <c r="H31" i="13"/>
  <c r="E31" i="13"/>
  <c r="D31" i="13"/>
  <c r="C31" i="13"/>
  <c r="B31" i="13"/>
  <c r="AL30" i="13"/>
  <c r="H30" i="13"/>
  <c r="E30" i="13"/>
  <c r="D30" i="13"/>
  <c r="C30" i="13"/>
  <c r="B30" i="13"/>
  <c r="AL29" i="13"/>
  <c r="H29" i="13"/>
  <c r="E29" i="13"/>
  <c r="D29" i="13"/>
  <c r="C29" i="13"/>
  <c r="B29" i="13"/>
  <c r="F29" i="13" s="1"/>
  <c r="AL28" i="13"/>
  <c r="H28" i="13"/>
  <c r="E28" i="13"/>
  <c r="D28" i="13"/>
  <c r="F28" i="13" s="1"/>
  <c r="C28" i="13"/>
  <c r="B28" i="13"/>
  <c r="AL27" i="13"/>
  <c r="H27" i="13"/>
  <c r="E27" i="13"/>
  <c r="D27" i="13"/>
  <c r="C27" i="13"/>
  <c r="B27" i="13"/>
  <c r="F27" i="13" s="1"/>
  <c r="AL26" i="13"/>
  <c r="H26" i="13"/>
  <c r="E26" i="13"/>
  <c r="D26" i="13"/>
  <c r="C26" i="13"/>
  <c r="B26" i="13"/>
  <c r="AL25" i="13"/>
  <c r="H25" i="13"/>
  <c r="E25" i="13"/>
  <c r="D25" i="13"/>
  <c r="C25" i="13"/>
  <c r="B25" i="13"/>
  <c r="F25" i="13" s="1"/>
  <c r="AL24" i="13"/>
  <c r="H24" i="13"/>
  <c r="E24" i="13"/>
  <c r="F24" i="13" s="1"/>
  <c r="D24" i="13"/>
  <c r="C24" i="13"/>
  <c r="B24" i="13"/>
  <c r="AL23" i="13"/>
  <c r="E23" i="13"/>
  <c r="D23" i="13"/>
  <c r="C23" i="13"/>
  <c r="B23" i="13"/>
  <c r="AL22" i="13"/>
  <c r="E22" i="13"/>
  <c r="D22" i="13"/>
  <c r="C22" i="13"/>
  <c r="B22" i="13"/>
  <c r="AL21" i="13"/>
  <c r="H21" i="13"/>
  <c r="E21" i="13"/>
  <c r="D21" i="13"/>
  <c r="C21" i="13"/>
  <c r="B21" i="13"/>
  <c r="AL20" i="13"/>
  <c r="H20" i="13"/>
  <c r="E20" i="13"/>
  <c r="D20" i="13"/>
  <c r="C20" i="13"/>
  <c r="AL19" i="13"/>
  <c r="H19" i="13"/>
  <c r="E19" i="13"/>
  <c r="D19" i="13"/>
  <c r="C19" i="13"/>
  <c r="B19" i="13"/>
  <c r="AL18" i="13"/>
  <c r="H18" i="13"/>
  <c r="E18" i="13"/>
  <c r="D18" i="13"/>
  <c r="C18" i="13"/>
  <c r="B18" i="13"/>
  <c r="AL17" i="13"/>
  <c r="H17" i="13"/>
  <c r="E17" i="13"/>
  <c r="D17" i="13"/>
  <c r="C17" i="13"/>
  <c r="B17" i="13"/>
  <c r="AL16" i="13"/>
  <c r="H16" i="13"/>
  <c r="E16" i="13"/>
  <c r="D16" i="13"/>
  <c r="C16" i="13"/>
  <c r="F16" i="13" s="1"/>
  <c r="B16" i="13"/>
  <c r="AL15" i="13"/>
  <c r="H15" i="13"/>
  <c r="E15" i="13"/>
  <c r="D15" i="13"/>
  <c r="C15" i="13"/>
  <c r="B15" i="13"/>
  <c r="AL14" i="13"/>
  <c r="H14" i="13"/>
  <c r="AL13" i="13"/>
  <c r="H13" i="13"/>
  <c r="AL12" i="13"/>
  <c r="H12" i="13"/>
  <c r="F19" i="13" l="1"/>
  <c r="F33" i="13"/>
  <c r="F15" i="13"/>
  <c r="F22" i="13"/>
  <c r="F23" i="13"/>
  <c r="F21" i="13"/>
  <c r="F31" i="13"/>
  <c r="F34" i="13"/>
  <c r="F40" i="13"/>
  <c r="F17" i="13"/>
  <c r="F26" i="13"/>
  <c r="F18" i="13"/>
  <c r="F39" i="13"/>
  <c r="F30" i="13"/>
  <c r="F37" i="13"/>
  <c r="D6" i="6" l="1"/>
  <c r="I14" i="13" s="1"/>
  <c r="T6" i="6" l="1"/>
  <c r="Q6" i="8" l="1"/>
  <c r="I30" i="13"/>
  <c r="AF4" i="10"/>
  <c r="AF3" i="10"/>
  <c r="AF2" i="10"/>
  <c r="AF10" i="10"/>
  <c r="AF12" i="10"/>
  <c r="AF31" i="10"/>
  <c r="AF32" i="10"/>
  <c r="AF13" i="10"/>
  <c r="B13" i="10" l="1"/>
  <c r="B12" i="10"/>
  <c r="W32" i="10"/>
  <c r="W31" i="10"/>
  <c r="W4" i="10"/>
  <c r="W3" i="10"/>
  <c r="W2" i="10"/>
  <c r="AL20" i="3" l="1"/>
  <c r="C23" i="9" l="1"/>
  <c r="C24" i="9"/>
  <c r="C25" i="9"/>
  <c r="C26" i="9"/>
  <c r="C27" i="9"/>
  <c r="C28" i="9"/>
  <c r="C29" i="9"/>
  <c r="C30" i="9"/>
  <c r="C31" i="9"/>
  <c r="C32" i="9"/>
  <c r="C33" i="9"/>
  <c r="C34" i="9"/>
  <c r="C22" i="9"/>
  <c r="C21" i="9"/>
  <c r="B13" i="9"/>
  <c r="N6" i="6"/>
  <c r="N4" i="6"/>
  <c r="K6" i="8" l="1"/>
  <c r="I24" i="13"/>
  <c r="I24" i="3"/>
  <c r="C35" i="9"/>
  <c r="Q29" i="9" s="1"/>
  <c r="AE29" i="9" s="1"/>
  <c r="C38" i="9" l="1"/>
  <c r="Q33" i="9"/>
  <c r="AE33" i="9" s="1"/>
  <c r="Q34" i="9"/>
  <c r="Q23" i="9"/>
  <c r="AE23" i="9" s="1"/>
  <c r="Q31" i="9"/>
  <c r="AE31" i="9" s="1"/>
  <c r="Q28" i="9"/>
  <c r="AE28" i="9" s="1"/>
  <c r="Q25" i="9"/>
  <c r="AE25" i="9" s="1"/>
  <c r="Q26" i="9"/>
  <c r="AE26" i="9" s="1"/>
  <c r="Q27" i="9"/>
  <c r="AE27" i="9" s="1"/>
  <c r="Q30" i="9"/>
  <c r="AE30" i="9" s="1"/>
  <c r="Q22" i="9"/>
  <c r="AE22" i="9" s="1"/>
  <c r="Q24" i="9"/>
  <c r="AE24" i="9" s="1"/>
  <c r="Q21" i="9"/>
  <c r="AE21" i="9" s="1"/>
  <c r="Q32" i="9"/>
  <c r="AE32" i="9" s="1"/>
  <c r="AE34" i="9"/>
  <c r="I85" i="2"/>
  <c r="C85" i="2"/>
  <c r="H85" i="2"/>
  <c r="G85" i="2"/>
  <c r="F85" i="2"/>
  <c r="E85" i="2"/>
  <c r="D85" i="2"/>
  <c r="I82" i="2"/>
  <c r="H82" i="2"/>
  <c r="G82" i="2"/>
  <c r="F82" i="2"/>
  <c r="E82" i="2"/>
  <c r="D82" i="2"/>
  <c r="C83" i="2" s="1"/>
  <c r="C84" i="2" s="1"/>
  <c r="C82" i="2"/>
  <c r="I79" i="2"/>
  <c r="H79" i="2"/>
  <c r="G79" i="2"/>
  <c r="F79" i="2"/>
  <c r="E79" i="2"/>
  <c r="D79" i="2"/>
  <c r="C79" i="2"/>
  <c r="I76" i="2"/>
  <c r="H76" i="2"/>
  <c r="G76" i="2"/>
  <c r="F76" i="2"/>
  <c r="E76" i="2"/>
  <c r="D76" i="2"/>
  <c r="C76" i="2"/>
  <c r="I73" i="2"/>
  <c r="H73" i="2"/>
  <c r="G73" i="2"/>
  <c r="F73" i="2"/>
  <c r="E73" i="2"/>
  <c r="D73" i="2"/>
  <c r="C73" i="2"/>
  <c r="I70" i="2"/>
  <c r="H70" i="2"/>
  <c r="G70" i="2"/>
  <c r="F70" i="2"/>
  <c r="E70" i="2"/>
  <c r="D70" i="2"/>
  <c r="C71" i="2" s="1"/>
  <c r="C72" i="2" s="1"/>
  <c r="C70" i="2"/>
  <c r="I67" i="2"/>
  <c r="H67" i="2"/>
  <c r="G67" i="2"/>
  <c r="F67" i="2"/>
  <c r="E67" i="2"/>
  <c r="D67" i="2"/>
  <c r="C67" i="2"/>
  <c r="I64" i="2"/>
  <c r="H64" i="2"/>
  <c r="G64" i="2"/>
  <c r="F64" i="2"/>
  <c r="E64" i="2"/>
  <c r="D64" i="2"/>
  <c r="C64" i="2"/>
  <c r="I61" i="2"/>
  <c r="H61" i="2"/>
  <c r="G61" i="2"/>
  <c r="F61" i="2"/>
  <c r="E61" i="2"/>
  <c r="D61" i="2"/>
  <c r="C61" i="2"/>
  <c r="I58" i="2"/>
  <c r="H58" i="2"/>
  <c r="G58" i="2"/>
  <c r="F58" i="2"/>
  <c r="E58" i="2"/>
  <c r="D58" i="2"/>
  <c r="C58" i="2"/>
  <c r="I55" i="2"/>
  <c r="H55" i="2"/>
  <c r="G55" i="2"/>
  <c r="F55" i="2"/>
  <c r="E55" i="2"/>
  <c r="D55" i="2"/>
  <c r="C55" i="2"/>
  <c r="I52" i="2"/>
  <c r="H52" i="2"/>
  <c r="G52" i="2"/>
  <c r="F52" i="2"/>
  <c r="E52" i="2"/>
  <c r="D52" i="2"/>
  <c r="C52" i="2"/>
  <c r="I49" i="2"/>
  <c r="H49" i="2"/>
  <c r="G49" i="2"/>
  <c r="F49" i="2"/>
  <c r="E49" i="2"/>
  <c r="D49" i="2"/>
  <c r="C49" i="2"/>
  <c r="I46" i="2"/>
  <c r="H46" i="2"/>
  <c r="G46" i="2"/>
  <c r="F46" i="2"/>
  <c r="E46" i="2"/>
  <c r="D46" i="2"/>
  <c r="C46" i="2"/>
  <c r="I43" i="2"/>
  <c r="H43" i="2"/>
  <c r="G43" i="2"/>
  <c r="F43" i="2"/>
  <c r="E43" i="2"/>
  <c r="D43" i="2"/>
  <c r="C43" i="2"/>
  <c r="D44" i="2" s="1"/>
  <c r="D45" i="2" s="1"/>
  <c r="I40" i="2"/>
  <c r="H40" i="2"/>
  <c r="G40" i="2"/>
  <c r="F40" i="2"/>
  <c r="E40" i="2"/>
  <c r="D40" i="2"/>
  <c r="C40" i="2"/>
  <c r="I28" i="2"/>
  <c r="I37" i="2"/>
  <c r="H37" i="2"/>
  <c r="G37" i="2"/>
  <c r="F37" i="2"/>
  <c r="E37" i="2"/>
  <c r="D37" i="2"/>
  <c r="C37" i="2"/>
  <c r="I34" i="2"/>
  <c r="H34" i="2"/>
  <c r="G34" i="2"/>
  <c r="F34" i="2"/>
  <c r="E34" i="2"/>
  <c r="D34" i="2"/>
  <c r="C34" i="2"/>
  <c r="I31" i="2"/>
  <c r="H31" i="2"/>
  <c r="G31" i="2"/>
  <c r="F31" i="2"/>
  <c r="E31" i="2"/>
  <c r="D31" i="2"/>
  <c r="C31" i="2"/>
  <c r="H28" i="2"/>
  <c r="G28" i="2"/>
  <c r="F28" i="2"/>
  <c r="E28" i="2"/>
  <c r="D28" i="2"/>
  <c r="C28" i="2"/>
  <c r="I22" i="2"/>
  <c r="H22" i="2"/>
  <c r="G22" i="2"/>
  <c r="F22" i="2"/>
  <c r="E22" i="2"/>
  <c r="D22" i="2"/>
  <c r="C22" i="2"/>
  <c r="I19" i="2"/>
  <c r="H19" i="2"/>
  <c r="G19" i="2"/>
  <c r="F19" i="2"/>
  <c r="E19" i="2"/>
  <c r="D19" i="2"/>
  <c r="C19" i="2"/>
  <c r="I16" i="2"/>
  <c r="H16" i="2"/>
  <c r="G16" i="2"/>
  <c r="F16" i="2"/>
  <c r="E16" i="2"/>
  <c r="D16" i="2"/>
  <c r="C16" i="2"/>
  <c r="C17" i="2" s="1"/>
  <c r="C18" i="2" s="1"/>
  <c r="I13" i="2"/>
  <c r="H13" i="2"/>
  <c r="G13" i="2"/>
  <c r="F13" i="2"/>
  <c r="E13" i="2"/>
  <c r="D13" i="2"/>
  <c r="C13" i="2"/>
  <c r="I10" i="2"/>
  <c r="H10" i="2"/>
  <c r="G10" i="2"/>
  <c r="C10" i="2"/>
  <c r="E40" i="3"/>
  <c r="E39" i="3"/>
  <c r="E38" i="3"/>
  <c r="E37" i="3"/>
  <c r="E36" i="3"/>
  <c r="E35" i="3"/>
  <c r="E34" i="3"/>
  <c r="E33" i="3"/>
  <c r="E32" i="3"/>
  <c r="E31" i="3"/>
  <c r="E30" i="3"/>
  <c r="E29" i="3"/>
  <c r="E28" i="3"/>
  <c r="E27" i="3"/>
  <c r="E26" i="3"/>
  <c r="E25" i="3"/>
  <c r="E24" i="3"/>
  <c r="E23" i="3"/>
  <c r="E22" i="3"/>
  <c r="E21" i="3"/>
  <c r="E20" i="3"/>
  <c r="E19" i="3"/>
  <c r="E18" i="3"/>
  <c r="E17" i="3"/>
  <c r="E16" i="3"/>
  <c r="E15" i="3"/>
  <c r="D10" i="2"/>
  <c r="E10" i="2"/>
  <c r="F10" i="2"/>
  <c r="E11" i="2" l="1"/>
  <c r="E12" i="2" s="1"/>
  <c r="C68" i="2"/>
  <c r="C69" i="2" s="1"/>
  <c r="C80" i="2"/>
  <c r="C81" i="2" s="1"/>
  <c r="C35" i="2"/>
  <c r="C36" i="2" s="1"/>
  <c r="D38" i="2"/>
  <c r="C65" i="2"/>
  <c r="C66" i="2" s="1"/>
  <c r="C77" i="2"/>
  <c r="C78" i="2" s="1"/>
  <c r="D11" i="2"/>
  <c r="D12" i="2" s="1"/>
  <c r="C20" i="2"/>
  <c r="C21" i="2" s="1"/>
  <c r="D32" i="2"/>
  <c r="D33" i="2" s="1"/>
  <c r="F56" i="2"/>
  <c r="F57" i="2" s="1"/>
  <c r="C74" i="2"/>
  <c r="C75" i="2" s="1"/>
  <c r="E50" i="2"/>
  <c r="E51" i="2" s="1"/>
  <c r="F53" i="2"/>
  <c r="F54" i="2" s="1"/>
  <c r="C14" i="2"/>
  <c r="C15" i="2" s="1"/>
  <c r="C38" i="2"/>
  <c r="C39" i="2" s="1"/>
  <c r="D41" i="2"/>
  <c r="D42" i="2" s="1"/>
  <c r="E65" i="2"/>
  <c r="E66" i="2" s="1"/>
  <c r="E68" i="2"/>
  <c r="E69" i="2" s="1"/>
  <c r="E71" i="2"/>
  <c r="E72" i="2" s="1"/>
  <c r="E74" i="2"/>
  <c r="E75" i="2" s="1"/>
  <c r="E77" i="2"/>
  <c r="E78" i="2" s="1"/>
  <c r="E80" i="2"/>
  <c r="E81" i="2" s="1"/>
  <c r="E83" i="2"/>
  <c r="E84" i="2" s="1"/>
  <c r="D35" i="2"/>
  <c r="D36" i="2" s="1"/>
  <c r="D20" i="2"/>
  <c r="D21" i="2" s="1"/>
  <c r="D39" i="2"/>
  <c r="C11" i="2"/>
  <c r="C12" i="2" s="1"/>
  <c r="E92" i="2" s="1"/>
  <c r="F32" i="2"/>
  <c r="F33" i="2" s="1"/>
  <c r="C86" i="2"/>
  <c r="C87" i="2" s="1"/>
  <c r="F14" i="2"/>
  <c r="F15" i="2" s="1"/>
  <c r="F29" i="2"/>
  <c r="F30" i="2" s="1"/>
  <c r="F50" i="2"/>
  <c r="F51" i="2" s="1"/>
  <c r="E86" i="2"/>
  <c r="E87" i="2" s="1"/>
  <c r="F23" i="2"/>
  <c r="F24" i="2" s="1"/>
  <c r="F38" i="2"/>
  <c r="F39" i="2" s="1"/>
  <c r="E44" i="2"/>
  <c r="E45" i="2" s="1"/>
  <c r="F47" i="2"/>
  <c r="F48" i="2" s="1"/>
  <c r="E62" i="2"/>
  <c r="E63" i="2" s="1"/>
  <c r="C32" i="2"/>
  <c r="C33" i="2" s="1"/>
  <c r="E41" i="2"/>
  <c r="E42" i="2" s="1"/>
  <c r="F44" i="2"/>
  <c r="F45" i="2" s="1"/>
  <c r="E59" i="2"/>
  <c r="E60" i="2" s="1"/>
  <c r="E23" i="2"/>
  <c r="E24" i="2" s="1"/>
  <c r="F35" i="2"/>
  <c r="F36" i="2" s="1"/>
  <c r="E47" i="2"/>
  <c r="E48" i="2" s="1"/>
  <c r="F41" i="2"/>
  <c r="F42" i="2" s="1"/>
  <c r="E56" i="2"/>
  <c r="E57" i="2" s="1"/>
  <c r="F65" i="2"/>
  <c r="F66" i="2" s="1"/>
  <c r="F71" i="2"/>
  <c r="F72" i="2" s="1"/>
  <c r="F77" i="2"/>
  <c r="F78" i="2" s="1"/>
  <c r="F83" i="2"/>
  <c r="F84" i="2" s="1"/>
  <c r="F86" i="2"/>
  <c r="F87" i="2" s="1"/>
  <c r="E53" i="2"/>
  <c r="E54" i="2" s="1"/>
  <c r="F62" i="2"/>
  <c r="F63" i="2" s="1"/>
  <c r="F20" i="2"/>
  <c r="F21" i="2" s="1"/>
  <c r="E32" i="2"/>
  <c r="E33" i="2" s="1"/>
  <c r="F68" i="2"/>
  <c r="F69" i="2" s="1"/>
  <c r="F74" i="2"/>
  <c r="F75" i="2" s="1"/>
  <c r="I75" i="2" s="1"/>
  <c r="F80" i="2"/>
  <c r="F81" i="2" s="1"/>
  <c r="E14" i="2"/>
  <c r="E15" i="2" s="1"/>
  <c r="E17" i="2"/>
  <c r="E18" i="2" s="1"/>
  <c r="E20" i="2"/>
  <c r="E21" i="2" s="1"/>
  <c r="E29" i="2"/>
  <c r="E30" i="2" s="1"/>
  <c r="E35" i="2"/>
  <c r="E36" i="2" s="1"/>
  <c r="F59" i="2"/>
  <c r="F60" i="2" s="1"/>
  <c r="F17" i="2"/>
  <c r="F18" i="2" s="1"/>
  <c r="E38" i="2"/>
  <c r="E39" i="2" s="1"/>
  <c r="D47" i="2"/>
  <c r="D48" i="2" s="1"/>
  <c r="D77" i="2"/>
  <c r="D78" i="2" s="1"/>
  <c r="D80" i="2"/>
  <c r="D81" i="2" s="1"/>
  <c r="I81" i="2" s="1"/>
  <c r="D83" i="2"/>
  <c r="D84" i="2" s="1"/>
  <c r="D86" i="2"/>
  <c r="D87" i="2" s="1"/>
  <c r="D65" i="2"/>
  <c r="D66" i="2" s="1"/>
  <c r="D68" i="2"/>
  <c r="D69" i="2" s="1"/>
  <c r="D71" i="2"/>
  <c r="D72" i="2" s="1"/>
  <c r="D74" i="2"/>
  <c r="D75" i="2" s="1"/>
  <c r="C53" i="2"/>
  <c r="C54" i="2" s="1"/>
  <c r="C56" i="2"/>
  <c r="C57" i="2" s="1"/>
  <c r="I57" i="2" s="1"/>
  <c r="C59" i="2"/>
  <c r="C60" i="2" s="1"/>
  <c r="C62" i="2"/>
  <c r="C63" i="2" s="1"/>
  <c r="D53" i="2"/>
  <c r="D54" i="2" s="1"/>
  <c r="D56" i="2"/>
  <c r="D57" i="2" s="1"/>
  <c r="D59" i="2"/>
  <c r="D60" i="2" s="1"/>
  <c r="D62" i="2"/>
  <c r="D63" i="2" s="1"/>
  <c r="C47" i="2"/>
  <c r="C48" i="2" s="1"/>
  <c r="C41" i="2"/>
  <c r="C42" i="2" s="1"/>
  <c r="I42" i="2" s="1"/>
  <c r="C44" i="2"/>
  <c r="C45" i="2" s="1"/>
  <c r="C50" i="2"/>
  <c r="C51" i="2" s="1"/>
  <c r="D50" i="2"/>
  <c r="D51" i="2" s="1"/>
  <c r="C29" i="2"/>
  <c r="C30" i="2" s="1"/>
  <c r="D29" i="2"/>
  <c r="D30" i="2" s="1"/>
  <c r="C23" i="2"/>
  <c r="C24" i="2" s="1"/>
  <c r="D23" i="2"/>
  <c r="D24" i="2" s="1"/>
  <c r="D17" i="2"/>
  <c r="D18" i="2" s="1"/>
  <c r="D14" i="2"/>
  <c r="D15" i="2" s="1"/>
  <c r="I84" i="2" l="1"/>
  <c r="I21" i="2"/>
  <c r="I33" i="2"/>
  <c r="I45" i="2"/>
  <c r="I60" i="2"/>
  <c r="I87" i="2"/>
  <c r="I36" i="2"/>
  <c r="I72" i="2"/>
  <c r="I39" i="2"/>
  <c r="I48" i="2"/>
  <c r="I30" i="2"/>
  <c r="I69" i="2"/>
  <c r="I18" i="2"/>
  <c r="I66" i="2"/>
  <c r="I78" i="2"/>
  <c r="I15" i="2"/>
  <c r="I63" i="2"/>
  <c r="I54" i="2"/>
  <c r="I51" i="2"/>
  <c r="I24" i="2"/>
  <c r="T31" i="4"/>
  <c r="E130" i="5" s="1"/>
  <c r="S7" i="4"/>
  <c r="T7" i="4"/>
  <c r="U7" i="4"/>
  <c r="V7" i="4"/>
  <c r="S8" i="4"/>
  <c r="T8" i="4"/>
  <c r="E15" i="5" s="1"/>
  <c r="U8" i="4"/>
  <c r="F15" i="5" s="1"/>
  <c r="V8" i="4"/>
  <c r="S9" i="4"/>
  <c r="T9" i="4"/>
  <c r="E20" i="5" s="1"/>
  <c r="U9" i="4"/>
  <c r="V9" i="4"/>
  <c r="S10" i="4"/>
  <c r="T10" i="4"/>
  <c r="U10" i="4"/>
  <c r="V10" i="4"/>
  <c r="S11" i="4"/>
  <c r="T11" i="4"/>
  <c r="E30" i="5" s="1"/>
  <c r="U11" i="4"/>
  <c r="F30" i="5" s="1"/>
  <c r="V11" i="4"/>
  <c r="S12" i="4"/>
  <c r="T12" i="4"/>
  <c r="E35" i="5" s="1"/>
  <c r="U12" i="4"/>
  <c r="V12" i="4"/>
  <c r="S13" i="4"/>
  <c r="T13" i="4"/>
  <c r="E40" i="5" s="1"/>
  <c r="U13" i="4"/>
  <c r="V13" i="4"/>
  <c r="S14" i="4"/>
  <c r="T14" i="4"/>
  <c r="E45" i="5" s="1"/>
  <c r="U14" i="4"/>
  <c r="F45" i="5" s="1"/>
  <c r="V14" i="4"/>
  <c r="S15" i="4"/>
  <c r="T15" i="4"/>
  <c r="E50" i="5" s="1"/>
  <c r="U15" i="4"/>
  <c r="F50" i="5" s="1"/>
  <c r="V15" i="4"/>
  <c r="S16" i="4"/>
  <c r="T16" i="4"/>
  <c r="E55" i="5" s="1"/>
  <c r="U16" i="4"/>
  <c r="V16" i="4"/>
  <c r="S17" i="4"/>
  <c r="T17" i="4"/>
  <c r="E60" i="5" s="1"/>
  <c r="U17" i="4"/>
  <c r="V17" i="4"/>
  <c r="S18" i="4"/>
  <c r="T18" i="4"/>
  <c r="U18" i="4"/>
  <c r="V18" i="4"/>
  <c r="S19" i="4"/>
  <c r="T19" i="4"/>
  <c r="E70" i="5" s="1"/>
  <c r="U19" i="4"/>
  <c r="V19" i="4"/>
  <c r="S20" i="4"/>
  <c r="T20" i="4"/>
  <c r="E75" i="5" s="1"/>
  <c r="U20" i="4"/>
  <c r="F75" i="5" s="1"/>
  <c r="V20" i="4"/>
  <c r="S21" i="4"/>
  <c r="T21" i="4"/>
  <c r="E80" i="5" s="1"/>
  <c r="U21" i="4"/>
  <c r="V21" i="4"/>
  <c r="S22" i="4"/>
  <c r="T22" i="4"/>
  <c r="E85" i="5" s="1"/>
  <c r="U22" i="4"/>
  <c r="V22" i="4"/>
  <c r="G85" i="5" s="1"/>
  <c r="S23" i="4"/>
  <c r="T23" i="4"/>
  <c r="E90" i="5" s="1"/>
  <c r="U23" i="4"/>
  <c r="F90" i="5" s="1"/>
  <c r="V23" i="4"/>
  <c r="S24" i="4"/>
  <c r="T24" i="4"/>
  <c r="E95" i="5" s="1"/>
  <c r="U24" i="4"/>
  <c r="V24" i="4"/>
  <c r="S25" i="4"/>
  <c r="T25" i="4"/>
  <c r="E100" i="5" s="1"/>
  <c r="U25" i="4"/>
  <c r="V25" i="4"/>
  <c r="S26" i="4"/>
  <c r="T26" i="4"/>
  <c r="U26" i="4"/>
  <c r="V26" i="4"/>
  <c r="S27" i="4"/>
  <c r="T27" i="4"/>
  <c r="E110" i="5" s="1"/>
  <c r="U27" i="4"/>
  <c r="F110" i="5" s="1"/>
  <c r="V27" i="4"/>
  <c r="S28" i="4"/>
  <c r="T28" i="4"/>
  <c r="E115" i="5" s="1"/>
  <c r="U28" i="4"/>
  <c r="V28" i="4"/>
  <c r="G115" i="5" s="1"/>
  <c r="S29" i="4"/>
  <c r="T29" i="4"/>
  <c r="E120" i="5" s="1"/>
  <c r="U29" i="4"/>
  <c r="F120" i="5" s="1"/>
  <c r="V29" i="4"/>
  <c r="S30" i="4"/>
  <c r="T30" i="4"/>
  <c r="E125" i="5" s="1"/>
  <c r="U30" i="4"/>
  <c r="V30" i="4"/>
  <c r="S31" i="4"/>
  <c r="U31" i="4"/>
  <c r="V31" i="4"/>
  <c r="S32" i="4"/>
  <c r="D135" i="5" s="1"/>
  <c r="T32" i="4"/>
  <c r="U32" i="4"/>
  <c r="F135" i="5" s="1"/>
  <c r="V32" i="4"/>
  <c r="G135" i="5" s="1"/>
  <c r="S33" i="4"/>
  <c r="T33" i="4"/>
  <c r="E140" i="5" s="1"/>
  <c r="U33" i="4"/>
  <c r="V33" i="4"/>
  <c r="S34" i="4"/>
  <c r="T34" i="4"/>
  <c r="E145" i="5" s="1"/>
  <c r="U34" i="4"/>
  <c r="V34" i="4"/>
  <c r="S35" i="4"/>
  <c r="T35" i="4"/>
  <c r="E150" i="5" s="1"/>
  <c r="U35" i="4"/>
  <c r="V35" i="4"/>
  <c r="S36" i="4"/>
  <c r="T36" i="4"/>
  <c r="E155" i="5" s="1"/>
  <c r="U36" i="4"/>
  <c r="V36" i="4"/>
  <c r="V6" i="4"/>
  <c r="U6" i="4"/>
  <c r="T6" i="4"/>
  <c r="E5" i="5" s="1"/>
  <c r="S6" i="4"/>
  <c r="W7" i="4" l="1"/>
  <c r="G125" i="5"/>
  <c r="W8" i="4"/>
  <c r="Y8" i="4" s="1"/>
  <c r="W26" i="4"/>
  <c r="X26" i="4" s="1"/>
  <c r="F155" i="5"/>
  <c r="F145" i="5"/>
  <c r="W10" i="4"/>
  <c r="AA10" i="4" s="1"/>
  <c r="G5" i="5"/>
  <c r="G145" i="5"/>
  <c r="F115" i="5"/>
  <c r="F105" i="5"/>
  <c r="G25" i="5"/>
  <c r="D10" i="5"/>
  <c r="W32" i="4"/>
  <c r="AA32" i="4" s="1"/>
  <c r="W34" i="4"/>
  <c r="Z34" i="4" s="1"/>
  <c r="G120" i="5"/>
  <c r="G110" i="5"/>
  <c r="G100" i="5"/>
  <c r="D95" i="5"/>
  <c r="W22" i="4"/>
  <c r="Y22" i="4" s="1"/>
  <c r="D65" i="5"/>
  <c r="D55" i="5"/>
  <c r="D25" i="5"/>
  <c r="G55" i="5"/>
  <c r="D155" i="5"/>
  <c r="F35" i="5"/>
  <c r="D105" i="5"/>
  <c r="F85" i="5"/>
  <c r="W6" i="4"/>
  <c r="F2" i="10" s="1"/>
  <c r="G150" i="5"/>
  <c r="G140" i="5"/>
  <c r="G130" i="5"/>
  <c r="F100" i="5"/>
  <c r="G90" i="5"/>
  <c r="G80" i="5"/>
  <c r="G70" i="5"/>
  <c r="G60" i="5"/>
  <c r="G50" i="5"/>
  <c r="G40" i="5"/>
  <c r="G30" i="5"/>
  <c r="G20" i="5"/>
  <c r="D15" i="5"/>
  <c r="F55" i="5"/>
  <c r="F125" i="5"/>
  <c r="G155" i="5"/>
  <c r="F25" i="5"/>
  <c r="F150" i="5"/>
  <c r="F140" i="5"/>
  <c r="F80" i="5"/>
  <c r="F70" i="5"/>
  <c r="F60" i="5"/>
  <c r="F20" i="5"/>
  <c r="G10" i="5"/>
  <c r="G35" i="5"/>
  <c r="G95" i="5"/>
  <c r="F130" i="5"/>
  <c r="F5" i="5"/>
  <c r="W31" i="4"/>
  <c r="X31" i="4" s="1"/>
  <c r="D120" i="5"/>
  <c r="D110" i="5"/>
  <c r="D100" i="5"/>
  <c r="F10" i="5"/>
  <c r="F40" i="5"/>
  <c r="G65" i="5"/>
  <c r="F95" i="5"/>
  <c r="F65" i="5"/>
  <c r="G15" i="5"/>
  <c r="I15" i="5" s="1"/>
  <c r="W18" i="4"/>
  <c r="X18" i="4" s="1"/>
  <c r="G105" i="5"/>
  <c r="W24" i="4"/>
  <c r="AA24" i="4" s="1"/>
  <c r="D90" i="5"/>
  <c r="W21" i="4"/>
  <c r="Y21" i="4" s="1"/>
  <c r="D50" i="5"/>
  <c r="D40" i="5"/>
  <c r="D30" i="5"/>
  <c r="D20" i="5"/>
  <c r="G45" i="5"/>
  <c r="G75" i="5"/>
  <c r="W30" i="4"/>
  <c r="X30" i="4" s="1"/>
  <c r="W15" i="4"/>
  <c r="Y15" i="4" s="1"/>
  <c r="W29" i="4"/>
  <c r="AA29" i="4" s="1"/>
  <c r="W19" i="4"/>
  <c r="Y19" i="4" s="1"/>
  <c r="W13" i="4"/>
  <c r="Z13" i="4" s="1"/>
  <c r="D5" i="5"/>
  <c r="E65" i="5"/>
  <c r="E105" i="5"/>
  <c r="W35" i="4"/>
  <c r="X35" i="4" s="1"/>
  <c r="W17" i="4"/>
  <c r="AA17" i="4" s="1"/>
  <c r="D60" i="5"/>
  <c r="D70" i="5"/>
  <c r="D80" i="5"/>
  <c r="D130" i="5"/>
  <c r="E135" i="5"/>
  <c r="I135" i="5" s="1"/>
  <c r="D145" i="5"/>
  <c r="W14" i="4"/>
  <c r="X14" i="4" s="1"/>
  <c r="W28" i="4"/>
  <c r="Z28" i="4" s="1"/>
  <c r="W12" i="4"/>
  <c r="Y12" i="4" s="1"/>
  <c r="E25" i="5"/>
  <c r="W33" i="4"/>
  <c r="AA33" i="4" s="1"/>
  <c r="W16" i="4"/>
  <c r="Y16" i="4" s="1"/>
  <c r="D140" i="5"/>
  <c r="D150" i="5"/>
  <c r="E10" i="5"/>
  <c r="W27" i="4"/>
  <c r="Z27" i="4" s="1"/>
  <c r="W20" i="4"/>
  <c r="X20" i="4" s="1"/>
  <c r="W23" i="4"/>
  <c r="Y23" i="4" s="1"/>
  <c r="W11" i="4"/>
  <c r="Z11" i="4" s="1"/>
  <c r="W36" i="4"/>
  <c r="Z36" i="4" s="1"/>
  <c r="W25" i="4"/>
  <c r="Z25" i="4" s="1"/>
  <c r="W9" i="4"/>
  <c r="AA9" i="4" s="1"/>
  <c r="D35" i="5"/>
  <c r="D45" i="5"/>
  <c r="D75" i="5"/>
  <c r="D85" i="5"/>
  <c r="D115" i="5"/>
  <c r="D125" i="5"/>
  <c r="H42" i="3"/>
  <c r="H41" i="3"/>
  <c r="H40" i="3"/>
  <c r="H39" i="3"/>
  <c r="H38" i="3"/>
  <c r="H37" i="3"/>
  <c r="H36" i="3"/>
  <c r="H35" i="3"/>
  <c r="H34" i="3"/>
  <c r="H33" i="3"/>
  <c r="H32" i="3"/>
  <c r="H31" i="3"/>
  <c r="H30" i="3"/>
  <c r="H29" i="3"/>
  <c r="H28" i="3"/>
  <c r="H27" i="3"/>
  <c r="H26" i="3"/>
  <c r="H25" i="3"/>
  <c r="H24" i="3"/>
  <c r="H21" i="3"/>
  <c r="H20" i="3"/>
  <c r="H19" i="3"/>
  <c r="H18" i="3"/>
  <c r="H17" i="3"/>
  <c r="H16" i="3"/>
  <c r="H15" i="3"/>
  <c r="H14" i="3"/>
  <c r="H13" i="3"/>
  <c r="H12" i="3"/>
  <c r="Z8" i="4"/>
  <c r="D40" i="3"/>
  <c r="D39" i="3"/>
  <c r="D38" i="3"/>
  <c r="D37" i="3"/>
  <c r="D36" i="3"/>
  <c r="D35" i="3"/>
  <c r="D34" i="3"/>
  <c r="D33" i="3"/>
  <c r="D32" i="3"/>
  <c r="D31" i="3"/>
  <c r="D30" i="3"/>
  <c r="D29" i="3"/>
  <c r="D28" i="3"/>
  <c r="D27" i="3"/>
  <c r="D26" i="3"/>
  <c r="D25" i="3"/>
  <c r="D24" i="3"/>
  <c r="D23" i="3"/>
  <c r="D22" i="3"/>
  <c r="D21" i="3"/>
  <c r="D20" i="3"/>
  <c r="D19" i="3"/>
  <c r="D18" i="3"/>
  <c r="D17" i="3"/>
  <c r="D16" i="3"/>
  <c r="D15" i="3"/>
  <c r="C40" i="3"/>
  <c r="C39" i="3"/>
  <c r="C38" i="3"/>
  <c r="C37" i="3"/>
  <c r="C36" i="3"/>
  <c r="C35" i="3"/>
  <c r="C34" i="3"/>
  <c r="C33" i="3"/>
  <c r="C32" i="3"/>
  <c r="C31" i="3"/>
  <c r="C30" i="3"/>
  <c r="C29" i="3"/>
  <c r="C28" i="3"/>
  <c r="C27" i="3"/>
  <c r="C26" i="3"/>
  <c r="C25" i="3"/>
  <c r="C24" i="3"/>
  <c r="C23" i="3"/>
  <c r="C22" i="3"/>
  <c r="C21" i="3"/>
  <c r="C20" i="3"/>
  <c r="C19" i="3"/>
  <c r="C18" i="3"/>
  <c r="C17" i="3"/>
  <c r="C16" i="3"/>
  <c r="C15" i="3"/>
  <c r="B40" i="3"/>
  <c r="B39" i="3"/>
  <c r="B38" i="3"/>
  <c r="B37" i="3"/>
  <c r="B36" i="3"/>
  <c r="B35" i="3"/>
  <c r="B34" i="3"/>
  <c r="B33" i="3"/>
  <c r="B32" i="3"/>
  <c r="B31" i="3"/>
  <c r="B30" i="3"/>
  <c r="B29" i="3"/>
  <c r="B28" i="3"/>
  <c r="B27" i="3"/>
  <c r="B26" i="3"/>
  <c r="B25" i="3"/>
  <c r="B24" i="3"/>
  <c r="B23" i="3"/>
  <c r="B22" i="3"/>
  <c r="B21" i="3"/>
  <c r="B19" i="3"/>
  <c r="B18" i="3"/>
  <c r="B17" i="3"/>
  <c r="B16" i="3"/>
  <c r="B15" i="3"/>
  <c r="AA7" i="4" l="1"/>
  <c r="F3" i="10"/>
  <c r="I20" i="5"/>
  <c r="X12" i="4"/>
  <c r="AA23" i="4"/>
  <c r="AA22" i="4"/>
  <c r="X22" i="4"/>
  <c r="X25" i="4"/>
  <c r="Z9" i="4"/>
  <c r="Y32" i="4"/>
  <c r="Y25" i="4"/>
  <c r="Z22" i="4"/>
  <c r="Z33" i="4"/>
  <c r="Y13" i="4"/>
  <c r="AA12" i="4"/>
  <c r="I90" i="5"/>
  <c r="I120" i="5"/>
  <c r="AA31" i="4"/>
  <c r="AA8" i="4"/>
  <c r="I85" i="5"/>
  <c r="X8" i="4"/>
  <c r="I155" i="5"/>
  <c r="X10" i="4"/>
  <c r="I45" i="5"/>
  <c r="I40" i="5"/>
  <c r="AA35" i="4"/>
  <c r="AA20" i="4"/>
  <c r="Y34" i="4"/>
  <c r="Z20" i="4"/>
  <c r="X24" i="4"/>
  <c r="Z24" i="4"/>
  <c r="Y20" i="4"/>
  <c r="Z6" i="4"/>
  <c r="I125" i="5"/>
  <c r="Z29" i="4"/>
  <c r="Z12" i="4"/>
  <c r="I30" i="5"/>
  <c r="Y29" i="4"/>
  <c r="X34" i="4"/>
  <c r="Y28" i="4"/>
  <c r="I50" i="5"/>
  <c r="X23" i="4"/>
  <c r="Z32" i="4"/>
  <c r="Y24" i="4"/>
  <c r="Z14" i="4"/>
  <c r="I80" i="5"/>
  <c r="Y33" i="4"/>
  <c r="X7" i="4"/>
  <c r="AA36" i="4"/>
  <c r="AA26" i="4"/>
  <c r="Z19" i="4"/>
  <c r="I110" i="5"/>
  <c r="X36" i="4"/>
  <c r="Y36" i="4"/>
  <c r="Z26" i="4"/>
  <c r="AA18" i="4"/>
  <c r="Y26" i="4"/>
  <c r="Z18" i="4"/>
  <c r="Z7" i="4"/>
  <c r="I10" i="5"/>
  <c r="X29" i="4"/>
  <c r="X16" i="4"/>
  <c r="AA34" i="4"/>
  <c r="Z31" i="4"/>
  <c r="AA21" i="4"/>
  <c r="Y18" i="4"/>
  <c r="Z10" i="4"/>
  <c r="Y7" i="4"/>
  <c r="I150" i="5"/>
  <c r="I145" i="5"/>
  <c r="I105" i="5"/>
  <c r="AA11" i="4"/>
  <c r="I35" i="5"/>
  <c r="X13" i="4"/>
  <c r="Z21" i="4"/>
  <c r="Z16" i="4"/>
  <c r="Y10" i="4"/>
  <c r="AA6" i="4"/>
  <c r="I140" i="5"/>
  <c r="I65" i="5"/>
  <c r="I100" i="5"/>
  <c r="Y31" i="4"/>
  <c r="Z17" i="4"/>
  <c r="Y6" i="4"/>
  <c r="I130" i="5"/>
  <c r="I5" i="5"/>
  <c r="X32" i="4"/>
  <c r="X21" i="4"/>
  <c r="AA30" i="4"/>
  <c r="Z23" i="4"/>
  <c r="AA16" i="4"/>
  <c r="I115" i="5"/>
  <c r="Y9" i="4"/>
  <c r="Z30" i="4"/>
  <c r="AA25" i="4"/>
  <c r="I25" i="5"/>
  <c r="I70" i="5"/>
  <c r="X19" i="4"/>
  <c r="AA19" i="4"/>
  <c r="I75" i="5"/>
  <c r="I60" i="5"/>
  <c r="I95" i="5"/>
  <c r="AA14" i="4"/>
  <c r="I55" i="5"/>
  <c r="X28" i="4"/>
  <c r="Z35" i="4"/>
  <c r="Y30" i="4"/>
  <c r="Y14" i="4"/>
  <c r="Y35" i="4"/>
  <c r="Y27" i="4"/>
  <c r="AA13" i="4"/>
  <c r="Y11" i="4"/>
  <c r="AA27" i="4"/>
  <c r="Y17" i="4"/>
  <c r="X27" i="4"/>
  <c r="X11" i="4"/>
  <c r="F25" i="3"/>
  <c r="X33" i="4"/>
  <c r="X17" i="4"/>
  <c r="X9" i="4"/>
  <c r="AA15" i="4"/>
  <c r="X15" i="4"/>
  <c r="Z15" i="4"/>
  <c r="AA28" i="4"/>
  <c r="F15" i="3"/>
  <c r="F40" i="3"/>
  <c r="L76" i="3" l="1"/>
  <c r="L75" i="3"/>
  <c r="L78" i="3"/>
  <c r="L77" i="3"/>
  <c r="AL35" i="3"/>
  <c r="AL36" i="3"/>
  <c r="AL37" i="3"/>
  <c r="E108" i="2" l="1"/>
  <c r="AN27" i="13" s="1"/>
  <c r="G103" i="2"/>
  <c r="AR20" i="13" s="1"/>
  <c r="G107" i="2"/>
  <c r="AR24" i="13" s="1"/>
  <c r="G115" i="2"/>
  <c r="AR32" i="13" s="1"/>
  <c r="G110" i="2"/>
  <c r="AR27" i="13" s="1"/>
  <c r="G111" i="2"/>
  <c r="AR28" i="13" s="1"/>
  <c r="E116" i="2"/>
  <c r="AN35" i="13" s="1"/>
  <c r="E117" i="2"/>
  <c r="AN36" i="13" s="1"/>
  <c r="G117" i="2"/>
  <c r="AR34" i="13" s="1"/>
  <c r="G102" i="2"/>
  <c r="AR19" i="13" s="1"/>
  <c r="E103" i="2"/>
  <c r="AN22" i="13" s="1"/>
  <c r="G98" i="2"/>
  <c r="AR15" i="13" s="1"/>
  <c r="E110" i="2"/>
  <c r="AN29" i="13" s="1"/>
  <c r="G116" i="2"/>
  <c r="AR33" i="13" s="1"/>
  <c r="E100" i="2"/>
  <c r="AN19" i="13" s="1"/>
  <c r="E106" i="2"/>
  <c r="AN25" i="13" s="1"/>
  <c r="G100" i="2"/>
  <c r="AR17" i="13" s="1"/>
  <c r="G101" i="2"/>
  <c r="AR18" i="13" s="1"/>
  <c r="E107" i="2"/>
  <c r="AN26" i="13" s="1"/>
  <c r="E111" i="2"/>
  <c r="AN30" i="13" s="1"/>
  <c r="G114" i="2"/>
  <c r="AR31" i="13" s="1"/>
  <c r="E115" i="2"/>
  <c r="AN34" i="13" s="1"/>
  <c r="F116" i="2"/>
  <c r="AP34" i="13" s="1"/>
  <c r="G104" i="2"/>
  <c r="AR21" i="13" s="1"/>
  <c r="F106" i="2"/>
  <c r="AP24" i="13" s="1"/>
  <c r="E113" i="2"/>
  <c r="AN32" i="13" s="1"/>
  <c r="G99" i="2"/>
  <c r="AR16" i="13" s="1"/>
  <c r="G105" i="2"/>
  <c r="AR22" i="13" s="1"/>
  <c r="G113" i="2"/>
  <c r="AR30" i="13" s="1"/>
  <c r="E112" i="2"/>
  <c r="AN31" i="13" s="1"/>
  <c r="G112" i="2"/>
  <c r="AR29" i="13" s="1"/>
  <c r="E109" i="2"/>
  <c r="AN28" i="13" s="1"/>
  <c r="G109" i="2"/>
  <c r="AR26" i="13" s="1"/>
  <c r="E114" i="2"/>
  <c r="AN33" i="13" s="1"/>
  <c r="F113" i="2"/>
  <c r="AP31" i="13" s="1"/>
  <c r="G108" i="2"/>
  <c r="AR25" i="13" s="1"/>
  <c r="G106" i="2"/>
  <c r="AR23" i="13" s="1"/>
  <c r="E105" i="2"/>
  <c r="AN24" i="13" s="1"/>
  <c r="AS24" i="13" s="1"/>
  <c r="E104" i="2"/>
  <c r="AN23" i="13" s="1"/>
  <c r="E102" i="2"/>
  <c r="AN21" i="13" s="1"/>
  <c r="E101" i="2"/>
  <c r="AN20" i="13" s="1"/>
  <c r="E99" i="2"/>
  <c r="AN18" i="13" s="1"/>
  <c r="E98" i="2"/>
  <c r="AN17" i="13" s="1"/>
  <c r="AS31" i="13" l="1"/>
  <c r="AS34" i="13"/>
  <c r="AS18" i="13"/>
  <c r="AS20" i="13"/>
  <c r="C13" i="10"/>
  <c r="E12" i="10"/>
  <c r="AN36" i="3"/>
  <c r="AR33" i="3"/>
  <c r="AN35" i="3"/>
  <c r="AN34" i="3"/>
  <c r="AR32" i="3"/>
  <c r="C12" i="10"/>
  <c r="E13" i="10"/>
  <c r="AR34" i="3"/>
  <c r="F109" i="2"/>
  <c r="AP27" i="13" s="1"/>
  <c r="F105" i="2"/>
  <c r="AP23" i="13" s="1"/>
  <c r="AS23" i="13" s="1"/>
  <c r="F114" i="2"/>
  <c r="AP32" i="13" s="1"/>
  <c r="AS32" i="13" s="1"/>
  <c r="F108" i="2"/>
  <c r="AP26" i="13" s="1"/>
  <c r="F101" i="2"/>
  <c r="AP19" i="13" s="1"/>
  <c r="AS19" i="13" s="1"/>
  <c r="F100" i="2"/>
  <c r="AP18" i="13" s="1"/>
  <c r="F111" i="2"/>
  <c r="AP29" i="13" s="1"/>
  <c r="AS29" i="13" s="1"/>
  <c r="F117" i="2"/>
  <c r="AP35" i="13" s="1"/>
  <c r="F99" i="2"/>
  <c r="AP17" i="13" s="1"/>
  <c r="AS17" i="13" s="1"/>
  <c r="F115" i="2"/>
  <c r="AP33" i="13" s="1"/>
  <c r="AS33" i="13" s="1"/>
  <c r="F107" i="2"/>
  <c r="AP25" i="13" s="1"/>
  <c r="AS25" i="13" s="1"/>
  <c r="F103" i="2"/>
  <c r="AP21" i="13" s="1"/>
  <c r="AS21" i="13" s="1"/>
  <c r="F110" i="2"/>
  <c r="AP28" i="13" s="1"/>
  <c r="F104" i="2"/>
  <c r="AP22" i="13" s="1"/>
  <c r="AS22" i="13" s="1"/>
  <c r="F98" i="2"/>
  <c r="AP16" i="13" s="1"/>
  <c r="F102" i="2"/>
  <c r="AP20" i="13" s="1"/>
  <c r="F112" i="2"/>
  <c r="AP30" i="13" s="1"/>
  <c r="AS30" i="13" s="1"/>
  <c r="AS28" i="13" l="1"/>
  <c r="AS26" i="13"/>
  <c r="AS27" i="13"/>
  <c r="D12" i="10"/>
  <c r="F12" i="10" s="1"/>
  <c r="D13" i="10"/>
  <c r="I115" i="2"/>
  <c r="U28" i="10" s="1"/>
  <c r="AP33" i="3"/>
  <c r="I117" i="2"/>
  <c r="U30" i="10" s="1"/>
  <c r="AP35" i="3"/>
  <c r="I116" i="2"/>
  <c r="U29" i="10" s="1"/>
  <c r="AP34" i="3"/>
  <c r="N13" i="9"/>
  <c r="M13" i="9"/>
  <c r="L13" i="9"/>
  <c r="K13" i="9"/>
  <c r="J13" i="9"/>
  <c r="I13" i="9"/>
  <c r="H13" i="9"/>
  <c r="G13" i="9"/>
  <c r="F13" i="9"/>
  <c r="E13" i="9"/>
  <c r="D13" i="9"/>
  <c r="C13" i="9"/>
  <c r="O34" i="9"/>
  <c r="N34" i="9"/>
  <c r="M34" i="9"/>
  <c r="L34" i="9"/>
  <c r="K34" i="9"/>
  <c r="J34" i="9"/>
  <c r="I34" i="9"/>
  <c r="H34" i="9"/>
  <c r="G34" i="9"/>
  <c r="F34" i="9"/>
  <c r="E34" i="9"/>
  <c r="D34" i="9"/>
  <c r="B34" i="9"/>
  <c r="O33" i="9"/>
  <c r="N33" i="9"/>
  <c r="M33" i="9"/>
  <c r="L33" i="9"/>
  <c r="K33" i="9"/>
  <c r="J33" i="9"/>
  <c r="I33" i="9"/>
  <c r="H33" i="9"/>
  <c r="G33" i="9"/>
  <c r="F33" i="9"/>
  <c r="E33" i="9"/>
  <c r="D33" i="9"/>
  <c r="B33" i="9"/>
  <c r="O32" i="9"/>
  <c r="N32" i="9"/>
  <c r="M32" i="9"/>
  <c r="L32" i="9"/>
  <c r="K32" i="9"/>
  <c r="J32" i="9"/>
  <c r="I32" i="9"/>
  <c r="H32" i="9"/>
  <c r="G32" i="9"/>
  <c r="F32" i="9"/>
  <c r="E32" i="9"/>
  <c r="D32" i="9"/>
  <c r="B32" i="9"/>
  <c r="O31" i="9"/>
  <c r="N31" i="9"/>
  <c r="M31" i="9"/>
  <c r="L31" i="9"/>
  <c r="K31" i="9"/>
  <c r="J31" i="9"/>
  <c r="I31" i="9"/>
  <c r="H31" i="9"/>
  <c r="G31" i="9"/>
  <c r="F31" i="9"/>
  <c r="E31" i="9"/>
  <c r="D31" i="9"/>
  <c r="B31" i="9"/>
  <c r="O30" i="9"/>
  <c r="N30" i="9"/>
  <c r="M30" i="9"/>
  <c r="L30" i="9"/>
  <c r="K30" i="9"/>
  <c r="J30" i="9"/>
  <c r="I30" i="9"/>
  <c r="H30" i="9"/>
  <c r="G30" i="9"/>
  <c r="F30" i="9"/>
  <c r="E30" i="9"/>
  <c r="D30" i="9"/>
  <c r="B30" i="9"/>
  <c r="O29" i="9"/>
  <c r="N29" i="9"/>
  <c r="M29" i="9"/>
  <c r="L29" i="9"/>
  <c r="K29" i="9"/>
  <c r="J29" i="9"/>
  <c r="I29" i="9"/>
  <c r="H29" i="9"/>
  <c r="G29" i="9"/>
  <c r="F29" i="9"/>
  <c r="E29" i="9"/>
  <c r="D29" i="9"/>
  <c r="B29" i="9"/>
  <c r="O28" i="9"/>
  <c r="N28" i="9"/>
  <c r="M28" i="9"/>
  <c r="L28" i="9"/>
  <c r="K28" i="9"/>
  <c r="J28" i="9"/>
  <c r="I28" i="9"/>
  <c r="H28" i="9"/>
  <c r="G28" i="9"/>
  <c r="F28" i="9"/>
  <c r="E28" i="9"/>
  <c r="D28" i="9"/>
  <c r="B28" i="9"/>
  <c r="O27" i="9"/>
  <c r="N27" i="9"/>
  <c r="M27" i="9"/>
  <c r="L27" i="9"/>
  <c r="K27" i="9"/>
  <c r="J27" i="9"/>
  <c r="I27" i="9"/>
  <c r="H27" i="9"/>
  <c r="G27" i="9"/>
  <c r="F27" i="9"/>
  <c r="E27" i="9"/>
  <c r="D27" i="9"/>
  <c r="B27" i="9"/>
  <c r="O26" i="9"/>
  <c r="N26" i="9"/>
  <c r="M26" i="9"/>
  <c r="L26" i="9"/>
  <c r="K26" i="9"/>
  <c r="J26" i="9"/>
  <c r="I26" i="9"/>
  <c r="H26" i="9"/>
  <c r="G26" i="9"/>
  <c r="F26" i="9"/>
  <c r="E26" i="9"/>
  <c r="D26" i="9"/>
  <c r="B26" i="9"/>
  <c r="O25" i="9"/>
  <c r="N25" i="9"/>
  <c r="M25" i="9"/>
  <c r="L25" i="9"/>
  <c r="K25" i="9"/>
  <c r="J25" i="9"/>
  <c r="I25" i="9"/>
  <c r="H25" i="9"/>
  <c r="G25" i="9"/>
  <c r="F25" i="9"/>
  <c r="E25" i="9"/>
  <c r="D25" i="9"/>
  <c r="B25" i="9"/>
  <c r="O24" i="9"/>
  <c r="N24" i="9"/>
  <c r="M24" i="9"/>
  <c r="L24" i="9"/>
  <c r="K24" i="9"/>
  <c r="J24" i="9"/>
  <c r="I24" i="9"/>
  <c r="H24" i="9"/>
  <c r="G24" i="9"/>
  <c r="F24" i="9"/>
  <c r="E24" i="9"/>
  <c r="D24" i="9"/>
  <c r="B24" i="9"/>
  <c r="O23" i="9"/>
  <c r="N23" i="9"/>
  <c r="M23" i="9"/>
  <c r="L23" i="9"/>
  <c r="K23" i="9"/>
  <c r="J23" i="9"/>
  <c r="I23" i="9"/>
  <c r="H23" i="9"/>
  <c r="G23" i="9"/>
  <c r="F23" i="9"/>
  <c r="E23" i="9"/>
  <c r="D23" i="9"/>
  <c r="B23" i="9"/>
  <c r="O22" i="9"/>
  <c r="N22" i="9"/>
  <c r="M22" i="9"/>
  <c r="L22" i="9"/>
  <c r="K22" i="9"/>
  <c r="J22" i="9"/>
  <c r="I22" i="9"/>
  <c r="H22" i="9"/>
  <c r="G22" i="9"/>
  <c r="F22" i="9"/>
  <c r="E22" i="9"/>
  <c r="D22" i="9"/>
  <c r="B22" i="9"/>
  <c r="O21" i="9"/>
  <c r="N21" i="9"/>
  <c r="M21" i="9"/>
  <c r="L21" i="9"/>
  <c r="K21" i="9"/>
  <c r="J21" i="9"/>
  <c r="I21" i="9"/>
  <c r="H21" i="9"/>
  <c r="G21" i="9"/>
  <c r="F21" i="9"/>
  <c r="E21" i="9"/>
  <c r="D21" i="9"/>
  <c r="B21" i="9"/>
  <c r="AF85" i="6"/>
  <c r="AE85" i="6"/>
  <c r="AD85" i="6"/>
  <c r="AD86" i="6" s="1"/>
  <c r="AD87" i="6" s="1"/>
  <c r="AD88" i="6" s="1"/>
  <c r="AD89" i="6" s="1"/>
  <c r="AD90" i="6" s="1"/>
  <c r="AD91" i="6" s="1"/>
  <c r="AD92" i="6" s="1"/>
  <c r="AD93" i="6" s="1"/>
  <c r="AD94" i="6" s="1"/>
  <c r="AD95" i="6" s="1"/>
  <c r="AD96" i="6" s="1"/>
  <c r="AD97" i="6" s="1"/>
  <c r="AD98" i="6" s="1"/>
  <c r="AD99" i="6" s="1"/>
  <c r="AD100" i="6" s="1"/>
  <c r="AD101" i="6" s="1"/>
  <c r="AD102" i="6" s="1"/>
  <c r="AD103" i="6" s="1"/>
  <c r="AD104" i="6" s="1"/>
  <c r="AD105" i="6" s="1"/>
  <c r="AD106" i="6" s="1"/>
  <c r="AD107" i="6" s="1"/>
  <c r="AD108" i="6" s="1"/>
  <c r="AD109" i="6" s="1"/>
  <c r="AD110" i="6" s="1"/>
  <c r="AD111" i="6" s="1"/>
  <c r="AD112" i="6" s="1"/>
  <c r="AD113" i="6" s="1"/>
  <c r="AD114" i="6" s="1"/>
  <c r="AD115" i="6" s="1"/>
  <c r="AD116" i="6" s="1"/>
  <c r="AD117" i="6" s="1"/>
  <c r="AD118" i="6" s="1"/>
  <c r="AD119" i="6" s="1"/>
  <c r="AD120" i="6" s="1"/>
  <c r="AD121" i="6" s="1"/>
  <c r="AD122" i="6" s="1"/>
  <c r="AD123" i="6" s="1"/>
  <c r="AD124" i="6" s="1"/>
  <c r="AD125" i="6" s="1"/>
  <c r="AD126" i="6" s="1"/>
  <c r="AD127" i="6" s="1"/>
  <c r="AD128" i="6" s="1"/>
  <c r="AD129" i="6" s="1"/>
  <c r="AD130" i="6" s="1"/>
  <c r="AD131" i="6" s="1"/>
  <c r="AD132" i="6" s="1"/>
  <c r="AD133" i="6" s="1"/>
  <c r="AD134" i="6" s="1"/>
  <c r="AD135" i="6" s="1"/>
  <c r="AD136" i="6" s="1"/>
  <c r="AD137" i="6" s="1"/>
  <c r="AD138" i="6" s="1"/>
  <c r="AD139" i="6" s="1"/>
  <c r="AD140" i="6" s="1"/>
  <c r="AD141" i="6" s="1"/>
  <c r="AD142" i="6" s="1"/>
  <c r="AD143" i="6" s="1"/>
  <c r="AD144" i="6" s="1"/>
  <c r="AD145" i="6" s="1"/>
  <c r="AD146" i="6" s="1"/>
  <c r="AD147" i="6" s="1"/>
  <c r="AD148" i="6" s="1"/>
  <c r="AD149" i="6" s="1"/>
  <c r="AD150" i="6" s="1"/>
  <c r="AD151" i="6" s="1"/>
  <c r="AD152" i="6" s="1"/>
  <c r="AD153" i="6" s="1"/>
  <c r="AD154" i="6" s="1"/>
  <c r="AD155" i="6" s="1"/>
  <c r="AD156" i="6" s="1"/>
  <c r="AD157" i="6" s="1"/>
  <c r="AC85" i="6"/>
  <c r="AC86" i="6" s="1"/>
  <c r="AC87" i="6" s="1"/>
  <c r="AC88" i="6" s="1"/>
  <c r="AC89" i="6" s="1"/>
  <c r="AC90" i="6" s="1"/>
  <c r="AC91" i="6" s="1"/>
  <c r="AC92" i="6" s="1"/>
  <c r="AC93" i="6" s="1"/>
  <c r="AC94" i="6" s="1"/>
  <c r="AC95" i="6" s="1"/>
  <c r="AC96" i="6" s="1"/>
  <c r="AC97" i="6" s="1"/>
  <c r="AC98" i="6" s="1"/>
  <c r="AC99" i="6" s="1"/>
  <c r="AC100" i="6" s="1"/>
  <c r="AC101" i="6" s="1"/>
  <c r="AC102" i="6" s="1"/>
  <c r="AC103" i="6" s="1"/>
  <c r="AC104" i="6" s="1"/>
  <c r="AC105" i="6" s="1"/>
  <c r="AC106" i="6" s="1"/>
  <c r="AC107" i="6" s="1"/>
  <c r="AC108" i="6" s="1"/>
  <c r="AC109" i="6" s="1"/>
  <c r="AC110" i="6" s="1"/>
  <c r="AC111" i="6" s="1"/>
  <c r="AC112" i="6" s="1"/>
  <c r="AC113" i="6" s="1"/>
  <c r="AC114" i="6" s="1"/>
  <c r="AC115" i="6" s="1"/>
  <c r="AC116" i="6" s="1"/>
  <c r="AC117" i="6" s="1"/>
  <c r="AB85" i="6"/>
  <c r="AB86" i="6" s="1"/>
  <c r="AB87" i="6" s="1"/>
  <c r="AB88" i="6" s="1"/>
  <c r="AB89" i="6" s="1"/>
  <c r="AB90" i="6" s="1"/>
  <c r="AB91" i="6" s="1"/>
  <c r="AB92" i="6" s="1"/>
  <c r="AB93" i="6" s="1"/>
  <c r="AB94" i="6" s="1"/>
  <c r="AB95" i="6" s="1"/>
  <c r="AB96" i="6" s="1"/>
  <c r="AB97" i="6" s="1"/>
  <c r="AB98" i="6" s="1"/>
  <c r="AB99" i="6" s="1"/>
  <c r="AB100" i="6" s="1"/>
  <c r="AB101" i="6" s="1"/>
  <c r="AB102" i="6" s="1"/>
  <c r="AB103" i="6" s="1"/>
  <c r="AB104" i="6" s="1"/>
  <c r="AB105" i="6" s="1"/>
  <c r="AB106" i="6" s="1"/>
  <c r="AB107" i="6" s="1"/>
  <c r="AB108" i="6" s="1"/>
  <c r="AB109" i="6" s="1"/>
  <c r="AB110" i="6" s="1"/>
  <c r="AB111" i="6" s="1"/>
  <c r="AB112" i="6" s="1"/>
  <c r="AB113" i="6" s="1"/>
  <c r="AB114" i="6" s="1"/>
  <c r="AB115" i="6" s="1"/>
  <c r="AB116" i="6" s="1"/>
  <c r="AA85" i="6"/>
  <c r="AA86" i="6" s="1"/>
  <c r="AA87" i="6" s="1"/>
  <c r="AA88" i="6" s="1"/>
  <c r="AA89" i="6" s="1"/>
  <c r="AA90" i="6" s="1"/>
  <c r="AA91" i="6" s="1"/>
  <c r="AA92" i="6" s="1"/>
  <c r="AA93" i="6" s="1"/>
  <c r="AA94" i="6" s="1"/>
  <c r="AA95" i="6" s="1"/>
  <c r="AA96" i="6" s="1"/>
  <c r="AA97" i="6" s="1"/>
  <c r="AA98" i="6" s="1"/>
  <c r="AA99" i="6" s="1"/>
  <c r="AA100" i="6" s="1"/>
  <c r="AA101" i="6" s="1"/>
  <c r="AA102" i="6" s="1"/>
  <c r="AA103" i="6" s="1"/>
  <c r="AA104" i="6" s="1"/>
  <c r="AA105" i="6" s="1"/>
  <c r="AA106" i="6" s="1"/>
  <c r="AA107" i="6" s="1"/>
  <c r="AA108" i="6" s="1"/>
  <c r="AA109" i="6" s="1"/>
  <c r="AA110" i="6" s="1"/>
  <c r="AA111" i="6" s="1"/>
  <c r="AA112" i="6" s="1"/>
  <c r="AA113" i="6" s="1"/>
  <c r="AA114" i="6" s="1"/>
  <c r="AA115" i="6" s="1"/>
  <c r="AA116" i="6" s="1"/>
  <c r="AA117" i="6" s="1"/>
  <c r="AA118" i="6" s="1"/>
  <c r="AA119" i="6" s="1"/>
  <c r="AA120" i="6" s="1"/>
  <c r="AA121" i="6" s="1"/>
  <c r="AA122" i="6" s="1"/>
  <c r="AA123" i="6" s="1"/>
  <c r="AA124" i="6" s="1"/>
  <c r="AA125" i="6" s="1"/>
  <c r="AA126" i="6" s="1"/>
  <c r="AA127" i="6" s="1"/>
  <c r="AA128" i="6" s="1"/>
  <c r="AA129" i="6" s="1"/>
  <c r="AA130" i="6" s="1"/>
  <c r="AA131" i="6" s="1"/>
  <c r="AA132" i="6" s="1"/>
  <c r="AA133" i="6" s="1"/>
  <c r="AA134" i="6" s="1"/>
  <c r="AA135" i="6" s="1"/>
  <c r="AA136" i="6" s="1"/>
  <c r="AA137" i="6" s="1"/>
  <c r="AA138" i="6" s="1"/>
  <c r="AA139" i="6" s="1"/>
  <c r="AA140" i="6" s="1"/>
  <c r="AA141" i="6" s="1"/>
  <c r="AA142" i="6" s="1"/>
  <c r="AA143" i="6" s="1"/>
  <c r="AA144" i="6" s="1"/>
  <c r="AA145" i="6" s="1"/>
  <c r="AA146" i="6" s="1"/>
  <c r="AA147" i="6" s="1"/>
  <c r="AA148" i="6" s="1"/>
  <c r="AA149" i="6" s="1"/>
  <c r="AA150" i="6" s="1"/>
  <c r="AA151" i="6" s="1"/>
  <c r="AA152" i="6" s="1"/>
  <c r="AA153" i="6" s="1"/>
  <c r="AA154" i="6" s="1"/>
  <c r="AA155" i="6" s="1"/>
  <c r="AA156" i="6" s="1"/>
  <c r="AA157" i="6" s="1"/>
  <c r="Z85" i="6"/>
  <c r="Z86" i="6" s="1"/>
  <c r="Z87" i="6" s="1"/>
  <c r="Z88" i="6" s="1"/>
  <c r="Z89" i="6" s="1"/>
  <c r="Z90" i="6" s="1"/>
  <c r="Z91" i="6" s="1"/>
  <c r="Z92" i="6" s="1"/>
  <c r="Z93" i="6" s="1"/>
  <c r="Z94" i="6" s="1"/>
  <c r="Z95" i="6" s="1"/>
  <c r="Z96" i="6" s="1"/>
  <c r="Z97" i="6" s="1"/>
  <c r="Z98" i="6" s="1"/>
  <c r="Z99" i="6" s="1"/>
  <c r="Z100" i="6" s="1"/>
  <c r="Z101" i="6" s="1"/>
  <c r="Z102" i="6" s="1"/>
  <c r="Z103" i="6" s="1"/>
  <c r="Z104" i="6" s="1"/>
  <c r="Z105" i="6" s="1"/>
  <c r="Z106" i="6" s="1"/>
  <c r="Z107" i="6" s="1"/>
  <c r="Z108" i="6" s="1"/>
  <c r="Z109" i="6" s="1"/>
  <c r="Z110" i="6" s="1"/>
  <c r="Z111" i="6" s="1"/>
  <c r="Z112" i="6" s="1"/>
  <c r="Z113" i="6" s="1"/>
  <c r="Z114" i="6" s="1"/>
  <c r="Z115" i="6" s="1"/>
  <c r="Z116" i="6" s="1"/>
  <c r="Z117" i="6" s="1"/>
  <c r="Z118" i="6" s="1"/>
  <c r="Z119" i="6" s="1"/>
  <c r="Z120" i="6" s="1"/>
  <c r="Z121" i="6" s="1"/>
  <c r="Z122" i="6" s="1"/>
  <c r="Z123" i="6" s="1"/>
  <c r="Z124" i="6" s="1"/>
  <c r="Z125" i="6" s="1"/>
  <c r="Z126" i="6" s="1"/>
  <c r="Z127" i="6" s="1"/>
  <c r="Z128" i="6" s="1"/>
  <c r="Z129" i="6" s="1"/>
  <c r="Z130" i="6" s="1"/>
  <c r="Z131" i="6" s="1"/>
  <c r="Z132" i="6" s="1"/>
  <c r="Z133" i="6" s="1"/>
  <c r="Z134" i="6" s="1"/>
  <c r="Z135" i="6" s="1"/>
  <c r="Z136" i="6" s="1"/>
  <c r="Z137" i="6" s="1"/>
  <c r="Z138" i="6" s="1"/>
  <c r="Z139" i="6" s="1"/>
  <c r="Z140" i="6" s="1"/>
  <c r="Z141" i="6" s="1"/>
  <c r="Z142" i="6" s="1"/>
  <c r="Z143" i="6" s="1"/>
  <c r="Z144" i="6" s="1"/>
  <c r="Z145" i="6" s="1"/>
  <c r="Z146" i="6" s="1"/>
  <c r="Z147" i="6" s="1"/>
  <c r="Z148" i="6" s="1"/>
  <c r="Z149" i="6" s="1"/>
  <c r="Z150" i="6" s="1"/>
  <c r="Z151" i="6" s="1"/>
  <c r="Z152" i="6" s="1"/>
  <c r="Z153" i="6" s="1"/>
  <c r="Z154" i="6" s="1"/>
  <c r="Z155" i="6" s="1"/>
  <c r="Z156" i="6" s="1"/>
  <c r="Z157" i="6" s="1"/>
  <c r="Y85" i="6"/>
  <c r="Y86" i="6" s="1"/>
  <c r="Y87" i="6" s="1"/>
  <c r="Y88" i="6" s="1"/>
  <c r="Y89" i="6" s="1"/>
  <c r="Y90" i="6" s="1"/>
  <c r="Y91" i="6" s="1"/>
  <c r="Y92" i="6" s="1"/>
  <c r="Y93" i="6" s="1"/>
  <c r="Y94" i="6" s="1"/>
  <c r="Y95" i="6" s="1"/>
  <c r="Y96" i="6" s="1"/>
  <c r="Y97" i="6" s="1"/>
  <c r="Y98" i="6" s="1"/>
  <c r="Y99" i="6" s="1"/>
  <c r="Y100" i="6" s="1"/>
  <c r="Y101" i="6" s="1"/>
  <c r="Y102" i="6" s="1"/>
  <c r="Y103" i="6" s="1"/>
  <c r="Y104" i="6" s="1"/>
  <c r="Y105" i="6" s="1"/>
  <c r="Y106" i="6" s="1"/>
  <c r="Y107" i="6" s="1"/>
  <c r="Y108" i="6" s="1"/>
  <c r="Y109" i="6" s="1"/>
  <c r="Y110" i="6" s="1"/>
  <c r="Y111" i="6" s="1"/>
  <c r="Y112" i="6" s="1"/>
  <c r="Y113" i="6" s="1"/>
  <c r="Y114" i="6" s="1"/>
  <c r="Y115" i="6" s="1"/>
  <c r="Y116" i="6" s="1"/>
  <c r="Y117" i="6" s="1"/>
  <c r="Y118" i="6" s="1"/>
  <c r="Y119" i="6" s="1"/>
  <c r="Y120" i="6" s="1"/>
  <c r="Y121" i="6" s="1"/>
  <c r="Y122" i="6" s="1"/>
  <c r="Y123" i="6" s="1"/>
  <c r="Y124" i="6" s="1"/>
  <c r="Y125" i="6" s="1"/>
  <c r="Y126" i="6" s="1"/>
  <c r="Y127" i="6" s="1"/>
  <c r="Y128" i="6" s="1"/>
  <c r="Y129" i="6" s="1"/>
  <c r="Y130" i="6" s="1"/>
  <c r="Y131" i="6" s="1"/>
  <c r="Y132" i="6" s="1"/>
  <c r="Y133" i="6" s="1"/>
  <c r="Y134" i="6" s="1"/>
  <c r="Y135" i="6" s="1"/>
  <c r="Y136" i="6" s="1"/>
  <c r="Y137" i="6" s="1"/>
  <c r="Y138" i="6" s="1"/>
  <c r="Y139" i="6" s="1"/>
  <c r="X85" i="6"/>
  <c r="X86" i="6" s="1"/>
  <c r="X87" i="6" s="1"/>
  <c r="X88" i="6" s="1"/>
  <c r="X89" i="6" s="1"/>
  <c r="X90" i="6" s="1"/>
  <c r="X91" i="6" s="1"/>
  <c r="X92" i="6" s="1"/>
  <c r="X93" i="6" s="1"/>
  <c r="X94" i="6" s="1"/>
  <c r="X95" i="6" s="1"/>
  <c r="X96" i="6" s="1"/>
  <c r="X97" i="6" s="1"/>
  <c r="X98" i="6" s="1"/>
  <c r="X99" i="6" s="1"/>
  <c r="X100" i="6" s="1"/>
  <c r="X101" i="6" s="1"/>
  <c r="X102" i="6" s="1"/>
  <c r="X103" i="6" s="1"/>
  <c r="X104" i="6" s="1"/>
  <c r="X105" i="6" s="1"/>
  <c r="X106" i="6" s="1"/>
  <c r="X107" i="6" s="1"/>
  <c r="X108" i="6" s="1"/>
  <c r="X109" i="6" s="1"/>
  <c r="X110" i="6" s="1"/>
  <c r="X111" i="6" s="1"/>
  <c r="X112" i="6" s="1"/>
  <c r="X113" i="6" s="1"/>
  <c r="X114" i="6" s="1"/>
  <c r="X115" i="6" s="1"/>
  <c r="X116" i="6" s="1"/>
  <c r="X117" i="6" s="1"/>
  <c r="X118" i="6" s="1"/>
  <c r="X119" i="6" s="1"/>
  <c r="X120" i="6" s="1"/>
  <c r="X121" i="6" s="1"/>
  <c r="X122" i="6" s="1"/>
  <c r="X123" i="6" s="1"/>
  <c r="X124" i="6" s="1"/>
  <c r="X125" i="6" s="1"/>
  <c r="X126" i="6" s="1"/>
  <c r="X127" i="6" s="1"/>
  <c r="X128" i="6" s="1"/>
  <c r="X129" i="6" s="1"/>
  <c r="X130" i="6" s="1"/>
  <c r="X131" i="6" s="1"/>
  <c r="X132" i="6" s="1"/>
  <c r="X133" i="6" s="1"/>
  <c r="X134" i="6" s="1"/>
  <c r="X135" i="6" s="1"/>
  <c r="X136" i="6" s="1"/>
  <c r="X137" i="6" s="1"/>
  <c r="X138" i="6" s="1"/>
  <c r="W85" i="6"/>
  <c r="W86" i="6" s="1"/>
  <c r="W87" i="6" s="1"/>
  <c r="W88" i="6" s="1"/>
  <c r="W89" i="6" s="1"/>
  <c r="W90" i="6" s="1"/>
  <c r="W91" i="6" s="1"/>
  <c r="W92" i="6" s="1"/>
  <c r="W93" i="6" s="1"/>
  <c r="W94" i="6" s="1"/>
  <c r="W95" i="6" s="1"/>
  <c r="W96" i="6" s="1"/>
  <c r="W97" i="6" s="1"/>
  <c r="W98" i="6" s="1"/>
  <c r="W99" i="6" s="1"/>
  <c r="W100" i="6" s="1"/>
  <c r="W101" i="6" s="1"/>
  <c r="W102" i="6" s="1"/>
  <c r="W103" i="6" s="1"/>
  <c r="W104" i="6" s="1"/>
  <c r="W105" i="6" s="1"/>
  <c r="W106" i="6" s="1"/>
  <c r="W107" i="6" s="1"/>
  <c r="W108" i="6" s="1"/>
  <c r="W109" i="6" s="1"/>
  <c r="W110" i="6" s="1"/>
  <c r="W111" i="6" s="1"/>
  <c r="W112" i="6" s="1"/>
  <c r="W113" i="6" s="1"/>
  <c r="W114" i="6" s="1"/>
  <c r="W115" i="6" s="1"/>
  <c r="W116" i="6" s="1"/>
  <c r="W117" i="6" s="1"/>
  <c r="W118" i="6" s="1"/>
  <c r="W119" i="6" s="1"/>
  <c r="W120" i="6" s="1"/>
  <c r="W121" i="6" s="1"/>
  <c r="W122" i="6" s="1"/>
  <c r="W123" i="6" s="1"/>
  <c r="W124" i="6" s="1"/>
  <c r="W125" i="6" s="1"/>
  <c r="W126" i="6" s="1"/>
  <c r="W127" i="6" s="1"/>
  <c r="W128" i="6" s="1"/>
  <c r="W129" i="6" s="1"/>
  <c r="W130" i="6" s="1"/>
  <c r="W131" i="6" s="1"/>
  <c r="W132" i="6" s="1"/>
  <c r="W133" i="6" s="1"/>
  <c r="W134" i="6" s="1"/>
  <c r="W135" i="6" s="1"/>
  <c r="W136" i="6" s="1"/>
  <c r="W137" i="6" s="1"/>
  <c r="W138" i="6" s="1"/>
  <c r="W139" i="6" s="1"/>
  <c r="W140" i="6" s="1"/>
  <c r="W141" i="6" s="1"/>
  <c r="W142" i="6" s="1"/>
  <c r="W143" i="6" s="1"/>
  <c r="W144" i="6" s="1"/>
  <c r="W145" i="6" s="1"/>
  <c r="W146" i="6" s="1"/>
  <c r="W147" i="6" s="1"/>
  <c r="W148" i="6" s="1"/>
  <c r="W149" i="6" s="1"/>
  <c r="W150" i="6" s="1"/>
  <c r="W151" i="6" s="1"/>
  <c r="W152" i="6" s="1"/>
  <c r="W153" i="6" s="1"/>
  <c r="W154" i="6" s="1"/>
  <c r="W155" i="6" s="1"/>
  <c r="W156" i="6" s="1"/>
  <c r="W157" i="6" s="1"/>
  <c r="V85" i="6"/>
  <c r="V86" i="6" s="1"/>
  <c r="V87" i="6" s="1"/>
  <c r="V88" i="6" s="1"/>
  <c r="V89" i="6" s="1"/>
  <c r="V90" i="6" s="1"/>
  <c r="V91" i="6" s="1"/>
  <c r="V92" i="6" s="1"/>
  <c r="V93" i="6" s="1"/>
  <c r="V94" i="6" s="1"/>
  <c r="V95" i="6" s="1"/>
  <c r="V96" i="6" s="1"/>
  <c r="V97" i="6" s="1"/>
  <c r="V98" i="6" s="1"/>
  <c r="V99" i="6" s="1"/>
  <c r="V100" i="6" s="1"/>
  <c r="V101" i="6" s="1"/>
  <c r="V102" i="6" s="1"/>
  <c r="V103" i="6" s="1"/>
  <c r="V104" i="6" s="1"/>
  <c r="V105" i="6" s="1"/>
  <c r="V106" i="6" s="1"/>
  <c r="V107" i="6" s="1"/>
  <c r="V108" i="6" s="1"/>
  <c r="V109" i="6" s="1"/>
  <c r="V110" i="6" s="1"/>
  <c r="V111" i="6" s="1"/>
  <c r="V112" i="6" s="1"/>
  <c r="V113" i="6" s="1"/>
  <c r="V114" i="6" s="1"/>
  <c r="V115" i="6" s="1"/>
  <c r="V116" i="6" s="1"/>
  <c r="V117" i="6" s="1"/>
  <c r="V118" i="6" s="1"/>
  <c r="V119" i="6" s="1"/>
  <c r="V120" i="6" s="1"/>
  <c r="V121" i="6" s="1"/>
  <c r="V122" i="6" s="1"/>
  <c r="V123" i="6" s="1"/>
  <c r="V124" i="6" s="1"/>
  <c r="V125" i="6" s="1"/>
  <c r="V126" i="6" s="1"/>
  <c r="V127" i="6" s="1"/>
  <c r="V128" i="6" s="1"/>
  <c r="V129" i="6" s="1"/>
  <c r="V130" i="6" s="1"/>
  <c r="V131" i="6" s="1"/>
  <c r="V132" i="6" s="1"/>
  <c r="V133" i="6" s="1"/>
  <c r="V134" i="6" s="1"/>
  <c r="V135" i="6" s="1"/>
  <c r="V136" i="6" s="1"/>
  <c r="V137" i="6" s="1"/>
  <c r="V138" i="6" s="1"/>
  <c r="V139" i="6" s="1"/>
  <c r="V140" i="6" s="1"/>
  <c r="V141" i="6" s="1"/>
  <c r="V142" i="6" s="1"/>
  <c r="V143" i="6" s="1"/>
  <c r="V144" i="6" s="1"/>
  <c r="V145" i="6" s="1"/>
  <c r="V146" i="6" s="1"/>
  <c r="V147" i="6" s="1"/>
  <c r="V148" i="6" s="1"/>
  <c r="V149" i="6" s="1"/>
  <c r="V150" i="6" s="1"/>
  <c r="V151" i="6" s="1"/>
  <c r="V152" i="6" s="1"/>
  <c r="V153" i="6" s="1"/>
  <c r="V154" i="6" s="1"/>
  <c r="V155" i="6" s="1"/>
  <c r="V156" i="6" s="1"/>
  <c r="V157" i="6" s="1"/>
  <c r="U85" i="6"/>
  <c r="U86" i="6" s="1"/>
  <c r="U87" i="6" s="1"/>
  <c r="U88" i="6" s="1"/>
  <c r="U89" i="6" s="1"/>
  <c r="U90" i="6" s="1"/>
  <c r="U91" i="6" s="1"/>
  <c r="U92" i="6" s="1"/>
  <c r="U93" i="6" s="1"/>
  <c r="U94" i="6" s="1"/>
  <c r="U95" i="6" s="1"/>
  <c r="U96" i="6" s="1"/>
  <c r="U97" i="6" s="1"/>
  <c r="U98" i="6" s="1"/>
  <c r="U99" i="6" s="1"/>
  <c r="U100" i="6" s="1"/>
  <c r="U101" i="6" s="1"/>
  <c r="U102" i="6" s="1"/>
  <c r="U103" i="6" s="1"/>
  <c r="U104" i="6" s="1"/>
  <c r="U105" i="6" s="1"/>
  <c r="U106" i="6" s="1"/>
  <c r="U107" i="6" s="1"/>
  <c r="U108" i="6" s="1"/>
  <c r="U109" i="6" s="1"/>
  <c r="U110" i="6" s="1"/>
  <c r="U111" i="6" s="1"/>
  <c r="U112" i="6" s="1"/>
  <c r="U113" i="6" s="1"/>
  <c r="U114" i="6" s="1"/>
  <c r="U115" i="6" s="1"/>
  <c r="U116" i="6" s="1"/>
  <c r="U117" i="6" s="1"/>
  <c r="U118" i="6" s="1"/>
  <c r="U119" i="6" s="1"/>
  <c r="U120" i="6" s="1"/>
  <c r="U121" i="6" s="1"/>
  <c r="U122" i="6" s="1"/>
  <c r="U123" i="6" s="1"/>
  <c r="U124" i="6" s="1"/>
  <c r="U125" i="6" s="1"/>
  <c r="U126" i="6" s="1"/>
  <c r="U127" i="6" s="1"/>
  <c r="U128" i="6" s="1"/>
  <c r="U129" i="6" s="1"/>
  <c r="U130" i="6" s="1"/>
  <c r="U131" i="6" s="1"/>
  <c r="U132" i="6" s="1"/>
  <c r="U133" i="6" s="1"/>
  <c r="U134" i="6" s="1"/>
  <c r="U135" i="6" s="1"/>
  <c r="U136" i="6" s="1"/>
  <c r="U137" i="6" s="1"/>
  <c r="U138" i="6" s="1"/>
  <c r="U139" i="6" s="1"/>
  <c r="U140" i="6" s="1"/>
  <c r="U141" i="6" s="1"/>
  <c r="U142" i="6" s="1"/>
  <c r="U143" i="6" s="1"/>
  <c r="U144" i="6" s="1"/>
  <c r="U145" i="6" s="1"/>
  <c r="U146" i="6" s="1"/>
  <c r="U147" i="6" s="1"/>
  <c r="U148" i="6" s="1"/>
  <c r="U149" i="6" s="1"/>
  <c r="U150" i="6" s="1"/>
  <c r="U151" i="6" s="1"/>
  <c r="U152" i="6" s="1"/>
  <c r="U153" i="6" s="1"/>
  <c r="U154" i="6" s="1"/>
  <c r="U155" i="6" s="1"/>
  <c r="U156" i="6" s="1"/>
  <c r="U157" i="6" s="1"/>
  <c r="T85" i="6"/>
  <c r="T86" i="6" s="1"/>
  <c r="T87" i="6" s="1"/>
  <c r="T88" i="6" s="1"/>
  <c r="T89" i="6" s="1"/>
  <c r="T90" i="6" s="1"/>
  <c r="T91" i="6" s="1"/>
  <c r="T92" i="6" s="1"/>
  <c r="T93" i="6" s="1"/>
  <c r="T94" i="6" s="1"/>
  <c r="T95" i="6" s="1"/>
  <c r="T96" i="6" s="1"/>
  <c r="T97" i="6" s="1"/>
  <c r="T98" i="6" s="1"/>
  <c r="T99" i="6" s="1"/>
  <c r="T100" i="6" s="1"/>
  <c r="T101" i="6" s="1"/>
  <c r="T102" i="6" s="1"/>
  <c r="T103" i="6" s="1"/>
  <c r="T104" i="6" s="1"/>
  <c r="T105" i="6" s="1"/>
  <c r="T106" i="6" s="1"/>
  <c r="T107" i="6" s="1"/>
  <c r="T108" i="6" s="1"/>
  <c r="T109" i="6" s="1"/>
  <c r="T110" i="6" s="1"/>
  <c r="T111" i="6" s="1"/>
  <c r="T112" i="6" s="1"/>
  <c r="T113" i="6" s="1"/>
  <c r="T114" i="6" s="1"/>
  <c r="T115" i="6" s="1"/>
  <c r="T116" i="6" s="1"/>
  <c r="T117" i="6" s="1"/>
  <c r="T118" i="6" s="1"/>
  <c r="T119" i="6" s="1"/>
  <c r="T120" i="6" s="1"/>
  <c r="T121" i="6" s="1"/>
  <c r="T122" i="6" s="1"/>
  <c r="T123" i="6" s="1"/>
  <c r="T124" i="6" s="1"/>
  <c r="T125" i="6" s="1"/>
  <c r="T126" i="6" s="1"/>
  <c r="T127" i="6" s="1"/>
  <c r="T128" i="6" s="1"/>
  <c r="T129" i="6" s="1"/>
  <c r="T130" i="6" s="1"/>
  <c r="T131" i="6" s="1"/>
  <c r="T132" i="6" s="1"/>
  <c r="T133" i="6" s="1"/>
  <c r="T134" i="6" s="1"/>
  <c r="T135" i="6" s="1"/>
  <c r="T136" i="6" s="1"/>
  <c r="T137" i="6" s="1"/>
  <c r="T138" i="6" s="1"/>
  <c r="T139" i="6" s="1"/>
  <c r="T140" i="6" s="1"/>
  <c r="T141" i="6" s="1"/>
  <c r="T142" i="6" s="1"/>
  <c r="T143" i="6" s="1"/>
  <c r="T144" i="6" s="1"/>
  <c r="T145" i="6" s="1"/>
  <c r="T146" i="6" s="1"/>
  <c r="T147" i="6" s="1"/>
  <c r="T148" i="6" s="1"/>
  <c r="T149" i="6" s="1"/>
  <c r="T150" i="6" s="1"/>
  <c r="T151" i="6" s="1"/>
  <c r="T152" i="6" s="1"/>
  <c r="T153" i="6" s="1"/>
  <c r="T154" i="6" s="1"/>
  <c r="T155" i="6" s="1"/>
  <c r="T156" i="6" s="1"/>
  <c r="T157" i="6" s="1"/>
  <c r="S85" i="6"/>
  <c r="S86" i="6" s="1"/>
  <c r="S87" i="6" s="1"/>
  <c r="S88" i="6" s="1"/>
  <c r="S89" i="6" s="1"/>
  <c r="S90" i="6" s="1"/>
  <c r="S91" i="6" s="1"/>
  <c r="S92" i="6" s="1"/>
  <c r="S93" i="6" s="1"/>
  <c r="S94" i="6" s="1"/>
  <c r="S95" i="6" s="1"/>
  <c r="S96" i="6" s="1"/>
  <c r="S97" i="6" s="1"/>
  <c r="S98" i="6" s="1"/>
  <c r="S99" i="6" s="1"/>
  <c r="S100" i="6" s="1"/>
  <c r="S101" i="6" s="1"/>
  <c r="S102" i="6" s="1"/>
  <c r="S103" i="6" s="1"/>
  <c r="S104" i="6" s="1"/>
  <c r="S105" i="6" s="1"/>
  <c r="S106" i="6" s="1"/>
  <c r="S107" i="6" s="1"/>
  <c r="S108" i="6" s="1"/>
  <c r="S109" i="6" s="1"/>
  <c r="S110" i="6" s="1"/>
  <c r="S111" i="6" s="1"/>
  <c r="S112" i="6" s="1"/>
  <c r="S113" i="6" s="1"/>
  <c r="S114" i="6" s="1"/>
  <c r="S115" i="6" s="1"/>
  <c r="S116" i="6" s="1"/>
  <c r="S117" i="6" s="1"/>
  <c r="S118" i="6" s="1"/>
  <c r="S119" i="6" s="1"/>
  <c r="S120" i="6" s="1"/>
  <c r="S121" i="6" s="1"/>
  <c r="S122" i="6" s="1"/>
  <c r="S123" i="6" s="1"/>
  <c r="S124" i="6" s="1"/>
  <c r="S125" i="6" s="1"/>
  <c r="S126" i="6" s="1"/>
  <c r="S127" i="6" s="1"/>
  <c r="S128" i="6" s="1"/>
  <c r="S129" i="6" s="1"/>
  <c r="S130" i="6" s="1"/>
  <c r="S131" i="6" s="1"/>
  <c r="S132" i="6" s="1"/>
  <c r="S133" i="6" s="1"/>
  <c r="S134" i="6" s="1"/>
  <c r="S135" i="6" s="1"/>
  <c r="S136" i="6" s="1"/>
  <c r="S137" i="6" s="1"/>
  <c r="S138" i="6" s="1"/>
  <c r="S139" i="6" s="1"/>
  <c r="S140" i="6" s="1"/>
  <c r="S141" i="6" s="1"/>
  <c r="S142" i="6" s="1"/>
  <c r="S143" i="6" s="1"/>
  <c r="S144" i="6" s="1"/>
  <c r="S145" i="6" s="1"/>
  <c r="S146" i="6" s="1"/>
  <c r="S147" i="6" s="1"/>
  <c r="S148" i="6" s="1"/>
  <c r="S149" i="6" s="1"/>
  <c r="S150" i="6" s="1"/>
  <c r="S151" i="6" s="1"/>
  <c r="S152" i="6" s="1"/>
  <c r="S153" i="6" s="1"/>
  <c r="S154" i="6" s="1"/>
  <c r="S155" i="6" s="1"/>
  <c r="S156" i="6" s="1"/>
  <c r="S157" i="6" s="1"/>
  <c r="R85" i="6"/>
  <c r="R86" i="6" s="1"/>
  <c r="R87" i="6" s="1"/>
  <c r="R88" i="6" s="1"/>
  <c r="R89" i="6" s="1"/>
  <c r="R90" i="6" s="1"/>
  <c r="R91" i="6" s="1"/>
  <c r="R92" i="6" s="1"/>
  <c r="R93" i="6" s="1"/>
  <c r="R94" i="6" s="1"/>
  <c r="R95" i="6" s="1"/>
  <c r="R96" i="6" s="1"/>
  <c r="R97" i="6" s="1"/>
  <c r="R98" i="6" s="1"/>
  <c r="R99" i="6" s="1"/>
  <c r="R100" i="6" s="1"/>
  <c r="R101" i="6" s="1"/>
  <c r="R102" i="6" s="1"/>
  <c r="R103" i="6" s="1"/>
  <c r="R104" i="6" s="1"/>
  <c r="R105" i="6" s="1"/>
  <c r="R106" i="6" s="1"/>
  <c r="R107" i="6" s="1"/>
  <c r="R108" i="6" s="1"/>
  <c r="R109" i="6" s="1"/>
  <c r="R110" i="6" s="1"/>
  <c r="R111" i="6" s="1"/>
  <c r="R112" i="6" s="1"/>
  <c r="R113" i="6" s="1"/>
  <c r="R114" i="6" s="1"/>
  <c r="R115" i="6" s="1"/>
  <c r="R116" i="6" s="1"/>
  <c r="R117" i="6" s="1"/>
  <c r="R118" i="6" s="1"/>
  <c r="R119" i="6" s="1"/>
  <c r="R120" i="6" s="1"/>
  <c r="R121" i="6" s="1"/>
  <c r="R122" i="6" s="1"/>
  <c r="R123" i="6" s="1"/>
  <c r="R124" i="6" s="1"/>
  <c r="R125" i="6" s="1"/>
  <c r="R126" i="6" s="1"/>
  <c r="R127" i="6" s="1"/>
  <c r="R128" i="6" s="1"/>
  <c r="R129" i="6" s="1"/>
  <c r="R130" i="6" s="1"/>
  <c r="R131" i="6" s="1"/>
  <c r="R132" i="6" s="1"/>
  <c r="R133" i="6" s="1"/>
  <c r="R134" i="6" s="1"/>
  <c r="R135" i="6" s="1"/>
  <c r="R136" i="6" s="1"/>
  <c r="R137" i="6" s="1"/>
  <c r="R138" i="6" s="1"/>
  <c r="R139" i="6" s="1"/>
  <c r="R140" i="6" s="1"/>
  <c r="R141" i="6" s="1"/>
  <c r="R142" i="6" s="1"/>
  <c r="R143" i="6" s="1"/>
  <c r="R144" i="6" s="1"/>
  <c r="R145" i="6" s="1"/>
  <c r="R146" i="6" s="1"/>
  <c r="R147" i="6" s="1"/>
  <c r="R148" i="6" s="1"/>
  <c r="R149" i="6" s="1"/>
  <c r="R150" i="6" s="1"/>
  <c r="R151" i="6" s="1"/>
  <c r="R152" i="6" s="1"/>
  <c r="R153" i="6" s="1"/>
  <c r="R154" i="6" s="1"/>
  <c r="R155" i="6" s="1"/>
  <c r="R156" i="6" s="1"/>
  <c r="R157" i="6" s="1"/>
  <c r="Q85" i="6"/>
  <c r="Q86" i="6" s="1"/>
  <c r="Q87" i="6" s="1"/>
  <c r="Q88" i="6" s="1"/>
  <c r="Q89" i="6" s="1"/>
  <c r="Q90" i="6" s="1"/>
  <c r="Q91" i="6" s="1"/>
  <c r="Q92" i="6" s="1"/>
  <c r="Q93" i="6" s="1"/>
  <c r="Q94" i="6" s="1"/>
  <c r="Q95" i="6" s="1"/>
  <c r="Q96" i="6" s="1"/>
  <c r="Q97" i="6" s="1"/>
  <c r="Q98" i="6" s="1"/>
  <c r="Q99" i="6" s="1"/>
  <c r="Q100" i="6" s="1"/>
  <c r="Q101" i="6" s="1"/>
  <c r="Q102" i="6" s="1"/>
  <c r="Q103" i="6" s="1"/>
  <c r="Q104" i="6" s="1"/>
  <c r="Q105" i="6" s="1"/>
  <c r="Q106" i="6" s="1"/>
  <c r="Q107" i="6" s="1"/>
  <c r="Q108" i="6" s="1"/>
  <c r="Q109" i="6" s="1"/>
  <c r="Q110" i="6" s="1"/>
  <c r="Q111" i="6" s="1"/>
  <c r="Q112" i="6" s="1"/>
  <c r="Q113" i="6" s="1"/>
  <c r="Q114" i="6" s="1"/>
  <c r="Q115" i="6" s="1"/>
  <c r="Q116" i="6" s="1"/>
  <c r="Q117" i="6" s="1"/>
  <c r="Q118" i="6" s="1"/>
  <c r="Q119" i="6" s="1"/>
  <c r="Q120" i="6" s="1"/>
  <c r="Q121" i="6" s="1"/>
  <c r="Q122" i="6" s="1"/>
  <c r="Q123" i="6" s="1"/>
  <c r="Q124" i="6" s="1"/>
  <c r="Q125" i="6" s="1"/>
  <c r="Q126" i="6" s="1"/>
  <c r="Q127" i="6" s="1"/>
  <c r="Q128" i="6" s="1"/>
  <c r="Q129" i="6" s="1"/>
  <c r="Q130" i="6" s="1"/>
  <c r="Q131" i="6" s="1"/>
  <c r="Q132" i="6" s="1"/>
  <c r="Q133" i="6" s="1"/>
  <c r="Q134" i="6" s="1"/>
  <c r="Q135" i="6" s="1"/>
  <c r="Q136" i="6" s="1"/>
  <c r="Q137" i="6" s="1"/>
  <c r="Q138" i="6" s="1"/>
  <c r="Q139" i="6" s="1"/>
  <c r="Q140" i="6" s="1"/>
  <c r="Q141" i="6" s="1"/>
  <c r="Q142" i="6" s="1"/>
  <c r="Q143" i="6" s="1"/>
  <c r="Q144" i="6" s="1"/>
  <c r="Q145" i="6" s="1"/>
  <c r="Q146" i="6" s="1"/>
  <c r="Q147" i="6" s="1"/>
  <c r="Q148" i="6" s="1"/>
  <c r="Q149" i="6" s="1"/>
  <c r="Q150" i="6" s="1"/>
  <c r="Q151" i="6" s="1"/>
  <c r="Q152" i="6" s="1"/>
  <c r="Q153" i="6" s="1"/>
  <c r="Q154" i="6" s="1"/>
  <c r="Q155" i="6" s="1"/>
  <c r="Q156" i="6" s="1"/>
  <c r="Q157" i="6" s="1"/>
  <c r="P85" i="6"/>
  <c r="P86" i="6" s="1"/>
  <c r="P87" i="6" s="1"/>
  <c r="P88" i="6" s="1"/>
  <c r="P89" i="6" s="1"/>
  <c r="P90" i="6" s="1"/>
  <c r="P91" i="6" s="1"/>
  <c r="P92" i="6" s="1"/>
  <c r="P93" i="6" s="1"/>
  <c r="P94" i="6" s="1"/>
  <c r="P95" i="6" s="1"/>
  <c r="P96" i="6" s="1"/>
  <c r="P97" i="6" s="1"/>
  <c r="P98" i="6" s="1"/>
  <c r="P99" i="6" s="1"/>
  <c r="P100" i="6" s="1"/>
  <c r="P101" i="6" s="1"/>
  <c r="P102" i="6" s="1"/>
  <c r="P103" i="6" s="1"/>
  <c r="P104" i="6" s="1"/>
  <c r="P105" i="6" s="1"/>
  <c r="P106" i="6" s="1"/>
  <c r="P107" i="6" s="1"/>
  <c r="P108" i="6" s="1"/>
  <c r="P109" i="6" s="1"/>
  <c r="P110" i="6" s="1"/>
  <c r="P111" i="6" s="1"/>
  <c r="P112" i="6" s="1"/>
  <c r="P113" i="6" s="1"/>
  <c r="P114" i="6" s="1"/>
  <c r="P115" i="6" s="1"/>
  <c r="P116" i="6" s="1"/>
  <c r="P117" i="6" s="1"/>
  <c r="P118" i="6" s="1"/>
  <c r="P119" i="6" s="1"/>
  <c r="P120" i="6" s="1"/>
  <c r="P121" i="6" s="1"/>
  <c r="P122" i="6" s="1"/>
  <c r="P123" i="6" s="1"/>
  <c r="P124" i="6" s="1"/>
  <c r="P125" i="6" s="1"/>
  <c r="P126" i="6" s="1"/>
  <c r="P127" i="6" s="1"/>
  <c r="P128" i="6" s="1"/>
  <c r="P129" i="6" s="1"/>
  <c r="P130" i="6" s="1"/>
  <c r="P131" i="6" s="1"/>
  <c r="P132" i="6" s="1"/>
  <c r="P133" i="6" s="1"/>
  <c r="P134" i="6" s="1"/>
  <c r="P135" i="6" s="1"/>
  <c r="P136" i="6" s="1"/>
  <c r="P137" i="6" s="1"/>
  <c r="P138" i="6" s="1"/>
  <c r="P139" i="6" s="1"/>
  <c r="P140" i="6" s="1"/>
  <c r="P141" i="6" s="1"/>
  <c r="P142" i="6" s="1"/>
  <c r="P143" i="6" s="1"/>
  <c r="P144" i="6" s="1"/>
  <c r="P145" i="6" s="1"/>
  <c r="P146" i="6" s="1"/>
  <c r="P147" i="6" s="1"/>
  <c r="P148" i="6" s="1"/>
  <c r="P149" i="6" s="1"/>
  <c r="P150" i="6" s="1"/>
  <c r="P151" i="6" s="1"/>
  <c r="P152" i="6" s="1"/>
  <c r="P153" i="6" s="1"/>
  <c r="P154" i="6" s="1"/>
  <c r="P155" i="6" s="1"/>
  <c r="P156" i="6" s="1"/>
  <c r="P157" i="6" s="1"/>
  <c r="O85" i="6"/>
  <c r="O86" i="6" s="1"/>
  <c r="O87" i="6" s="1"/>
  <c r="O88" i="6" s="1"/>
  <c r="O89" i="6" s="1"/>
  <c r="O90" i="6" s="1"/>
  <c r="O91" i="6" s="1"/>
  <c r="O92" i="6" s="1"/>
  <c r="O93" i="6" s="1"/>
  <c r="O94" i="6" s="1"/>
  <c r="O95" i="6" s="1"/>
  <c r="O96" i="6" s="1"/>
  <c r="O97" i="6" s="1"/>
  <c r="O98" i="6" s="1"/>
  <c r="O99" i="6" s="1"/>
  <c r="O100" i="6" s="1"/>
  <c r="O101" i="6" s="1"/>
  <c r="O102" i="6" s="1"/>
  <c r="O103" i="6" s="1"/>
  <c r="O104" i="6" s="1"/>
  <c r="O105" i="6" s="1"/>
  <c r="O106" i="6" s="1"/>
  <c r="O107" i="6" s="1"/>
  <c r="O108" i="6" s="1"/>
  <c r="O109" i="6" s="1"/>
  <c r="O110" i="6" s="1"/>
  <c r="O111" i="6" s="1"/>
  <c r="O112" i="6" s="1"/>
  <c r="O113" i="6" s="1"/>
  <c r="O114" i="6" s="1"/>
  <c r="O115" i="6" s="1"/>
  <c r="O116" i="6" s="1"/>
  <c r="O117" i="6" s="1"/>
  <c r="O118" i="6" s="1"/>
  <c r="O119" i="6" s="1"/>
  <c r="O120" i="6" s="1"/>
  <c r="O121" i="6" s="1"/>
  <c r="O122" i="6" s="1"/>
  <c r="O123" i="6" s="1"/>
  <c r="O124" i="6" s="1"/>
  <c r="O125" i="6" s="1"/>
  <c r="O126" i="6" s="1"/>
  <c r="O127" i="6" s="1"/>
  <c r="O128" i="6" s="1"/>
  <c r="O129" i="6" s="1"/>
  <c r="O130" i="6" s="1"/>
  <c r="O131" i="6" s="1"/>
  <c r="O132" i="6" s="1"/>
  <c r="O133" i="6" s="1"/>
  <c r="O134" i="6" s="1"/>
  <c r="O135" i="6" s="1"/>
  <c r="O136" i="6" s="1"/>
  <c r="O137" i="6" s="1"/>
  <c r="O138" i="6" s="1"/>
  <c r="O139" i="6" s="1"/>
  <c r="O140" i="6" s="1"/>
  <c r="O141" i="6" s="1"/>
  <c r="O142" i="6" s="1"/>
  <c r="O143" i="6" s="1"/>
  <c r="O144" i="6" s="1"/>
  <c r="O145" i="6" s="1"/>
  <c r="O146" i="6" s="1"/>
  <c r="O147" i="6" s="1"/>
  <c r="O148" i="6" s="1"/>
  <c r="O149" i="6" s="1"/>
  <c r="O150" i="6" s="1"/>
  <c r="O151" i="6" s="1"/>
  <c r="O152" i="6" s="1"/>
  <c r="O153" i="6" s="1"/>
  <c r="O154" i="6" s="1"/>
  <c r="O155" i="6" s="1"/>
  <c r="O156" i="6" s="1"/>
  <c r="O157" i="6" s="1"/>
  <c r="N85" i="6"/>
  <c r="N86" i="6" s="1"/>
  <c r="N87" i="6" s="1"/>
  <c r="N88" i="6" s="1"/>
  <c r="N89" i="6" s="1"/>
  <c r="N90" i="6" s="1"/>
  <c r="N91" i="6" s="1"/>
  <c r="N92" i="6" s="1"/>
  <c r="N93" i="6" s="1"/>
  <c r="N94" i="6" s="1"/>
  <c r="N95" i="6" s="1"/>
  <c r="N96" i="6" s="1"/>
  <c r="N97" i="6" s="1"/>
  <c r="N98" i="6" s="1"/>
  <c r="N99" i="6" s="1"/>
  <c r="N100" i="6" s="1"/>
  <c r="N101" i="6" s="1"/>
  <c r="N102" i="6" s="1"/>
  <c r="N103" i="6" s="1"/>
  <c r="N104" i="6" s="1"/>
  <c r="N105" i="6" s="1"/>
  <c r="N106" i="6" s="1"/>
  <c r="N107" i="6" s="1"/>
  <c r="N108" i="6" s="1"/>
  <c r="N109" i="6" s="1"/>
  <c r="N110" i="6" s="1"/>
  <c r="N111" i="6" s="1"/>
  <c r="N112" i="6" s="1"/>
  <c r="N113" i="6" s="1"/>
  <c r="N114" i="6" s="1"/>
  <c r="N115" i="6" s="1"/>
  <c r="N116" i="6" s="1"/>
  <c r="N117" i="6" s="1"/>
  <c r="N118" i="6" s="1"/>
  <c r="N119" i="6" s="1"/>
  <c r="N120" i="6" s="1"/>
  <c r="N121" i="6" s="1"/>
  <c r="N122" i="6" s="1"/>
  <c r="N123" i="6" s="1"/>
  <c r="N124" i="6" s="1"/>
  <c r="N125" i="6" s="1"/>
  <c r="N126" i="6" s="1"/>
  <c r="N127" i="6" s="1"/>
  <c r="N128" i="6" s="1"/>
  <c r="N129" i="6" s="1"/>
  <c r="N130" i="6" s="1"/>
  <c r="N131" i="6" s="1"/>
  <c r="N132" i="6" s="1"/>
  <c r="N133" i="6" s="1"/>
  <c r="N134" i="6" s="1"/>
  <c r="N135" i="6" s="1"/>
  <c r="N136" i="6" s="1"/>
  <c r="N137" i="6" s="1"/>
  <c r="N138" i="6" s="1"/>
  <c r="N139" i="6" s="1"/>
  <c r="N140" i="6" s="1"/>
  <c r="N141" i="6" s="1"/>
  <c r="N142" i="6" s="1"/>
  <c r="N143" i="6" s="1"/>
  <c r="N144" i="6" s="1"/>
  <c r="N145" i="6" s="1"/>
  <c r="N146" i="6" s="1"/>
  <c r="N147" i="6" s="1"/>
  <c r="N148" i="6" s="1"/>
  <c r="N149" i="6" s="1"/>
  <c r="N150" i="6" s="1"/>
  <c r="N151" i="6" s="1"/>
  <c r="N152" i="6" s="1"/>
  <c r="N153" i="6" s="1"/>
  <c r="N154" i="6" s="1"/>
  <c r="N155" i="6" s="1"/>
  <c r="N156" i="6" s="1"/>
  <c r="N157" i="6" s="1"/>
  <c r="M85" i="6"/>
  <c r="M86" i="6" s="1"/>
  <c r="M87" i="6" s="1"/>
  <c r="M88" i="6" s="1"/>
  <c r="M89" i="6" s="1"/>
  <c r="M90" i="6" s="1"/>
  <c r="M91" i="6" s="1"/>
  <c r="M92" i="6" s="1"/>
  <c r="M93" i="6" s="1"/>
  <c r="M94" i="6" s="1"/>
  <c r="M95" i="6" s="1"/>
  <c r="M96" i="6" s="1"/>
  <c r="M97" i="6" s="1"/>
  <c r="M98" i="6" s="1"/>
  <c r="M99" i="6" s="1"/>
  <c r="M100" i="6" s="1"/>
  <c r="M101" i="6" s="1"/>
  <c r="M102" i="6" s="1"/>
  <c r="M103" i="6" s="1"/>
  <c r="M104" i="6" s="1"/>
  <c r="M105" i="6" s="1"/>
  <c r="M106" i="6" s="1"/>
  <c r="M107" i="6" s="1"/>
  <c r="M108" i="6" s="1"/>
  <c r="M109" i="6" s="1"/>
  <c r="M110" i="6" s="1"/>
  <c r="M111" i="6" s="1"/>
  <c r="M112" i="6" s="1"/>
  <c r="M113" i="6" s="1"/>
  <c r="M114" i="6" s="1"/>
  <c r="M115" i="6" s="1"/>
  <c r="M116" i="6" s="1"/>
  <c r="M117" i="6" s="1"/>
  <c r="M118" i="6" s="1"/>
  <c r="M119" i="6" s="1"/>
  <c r="M120" i="6" s="1"/>
  <c r="M121" i="6" s="1"/>
  <c r="M122" i="6" s="1"/>
  <c r="M123" i="6" s="1"/>
  <c r="M124" i="6" s="1"/>
  <c r="M125" i="6" s="1"/>
  <c r="M126" i="6" s="1"/>
  <c r="M127" i="6" s="1"/>
  <c r="M128" i="6" s="1"/>
  <c r="M129" i="6" s="1"/>
  <c r="M130" i="6" s="1"/>
  <c r="M131" i="6" s="1"/>
  <c r="M132" i="6" s="1"/>
  <c r="M133" i="6" s="1"/>
  <c r="M134" i="6" s="1"/>
  <c r="M135" i="6" s="1"/>
  <c r="M136" i="6" s="1"/>
  <c r="M137" i="6" s="1"/>
  <c r="M138" i="6" s="1"/>
  <c r="M139" i="6" s="1"/>
  <c r="M140" i="6" s="1"/>
  <c r="M141" i="6" s="1"/>
  <c r="M142" i="6" s="1"/>
  <c r="M143" i="6" s="1"/>
  <c r="M144" i="6" s="1"/>
  <c r="M145" i="6" s="1"/>
  <c r="M146" i="6" s="1"/>
  <c r="M147" i="6" s="1"/>
  <c r="M148" i="6" s="1"/>
  <c r="M149" i="6" s="1"/>
  <c r="M150" i="6" s="1"/>
  <c r="M151" i="6" s="1"/>
  <c r="M152" i="6" s="1"/>
  <c r="M153" i="6" s="1"/>
  <c r="M154" i="6" s="1"/>
  <c r="M155" i="6" s="1"/>
  <c r="M156" i="6" s="1"/>
  <c r="M157" i="6" s="1"/>
  <c r="L85" i="6"/>
  <c r="L86" i="6" s="1"/>
  <c r="L87" i="6" s="1"/>
  <c r="L88" i="6" s="1"/>
  <c r="L89" i="6" s="1"/>
  <c r="L90" i="6" s="1"/>
  <c r="L91" i="6" s="1"/>
  <c r="L92" i="6" s="1"/>
  <c r="L93" i="6" s="1"/>
  <c r="L94" i="6" s="1"/>
  <c r="L95" i="6" s="1"/>
  <c r="L96" i="6" s="1"/>
  <c r="L97" i="6" s="1"/>
  <c r="L98" i="6" s="1"/>
  <c r="L99" i="6" s="1"/>
  <c r="L100" i="6" s="1"/>
  <c r="L101" i="6" s="1"/>
  <c r="L102" i="6" s="1"/>
  <c r="L103" i="6" s="1"/>
  <c r="L104" i="6" s="1"/>
  <c r="L105" i="6" s="1"/>
  <c r="L106" i="6" s="1"/>
  <c r="L107" i="6" s="1"/>
  <c r="L108" i="6" s="1"/>
  <c r="L109" i="6" s="1"/>
  <c r="L110" i="6" s="1"/>
  <c r="L111" i="6" s="1"/>
  <c r="L112" i="6" s="1"/>
  <c r="L113" i="6" s="1"/>
  <c r="L114" i="6" s="1"/>
  <c r="L115" i="6" s="1"/>
  <c r="L116" i="6" s="1"/>
  <c r="L117" i="6" s="1"/>
  <c r="L118" i="6" s="1"/>
  <c r="L119" i="6" s="1"/>
  <c r="L120" i="6" s="1"/>
  <c r="L121" i="6" s="1"/>
  <c r="L122" i="6" s="1"/>
  <c r="L123" i="6" s="1"/>
  <c r="L124" i="6" s="1"/>
  <c r="L125" i="6" s="1"/>
  <c r="L126" i="6" s="1"/>
  <c r="L127" i="6" s="1"/>
  <c r="L128" i="6" s="1"/>
  <c r="L129" i="6" s="1"/>
  <c r="L130" i="6" s="1"/>
  <c r="L131" i="6" s="1"/>
  <c r="L132" i="6" s="1"/>
  <c r="L133" i="6" s="1"/>
  <c r="L134" i="6" s="1"/>
  <c r="L135" i="6" s="1"/>
  <c r="L136" i="6" s="1"/>
  <c r="L137" i="6" s="1"/>
  <c r="L138" i="6" s="1"/>
  <c r="L139" i="6" s="1"/>
  <c r="L140" i="6" s="1"/>
  <c r="L141" i="6" s="1"/>
  <c r="L142" i="6" s="1"/>
  <c r="L143" i="6" s="1"/>
  <c r="L144" i="6" s="1"/>
  <c r="L145" i="6" s="1"/>
  <c r="L146" i="6" s="1"/>
  <c r="L147" i="6" s="1"/>
  <c r="L148" i="6" s="1"/>
  <c r="L149" i="6" s="1"/>
  <c r="L150" i="6" s="1"/>
  <c r="L151" i="6" s="1"/>
  <c r="L152" i="6" s="1"/>
  <c r="L153" i="6" s="1"/>
  <c r="L154" i="6" s="1"/>
  <c r="L155" i="6" s="1"/>
  <c r="L156" i="6" s="1"/>
  <c r="L157" i="6" s="1"/>
  <c r="K85" i="6"/>
  <c r="K86" i="6" s="1"/>
  <c r="K87" i="6" s="1"/>
  <c r="K88" i="6" s="1"/>
  <c r="K89" i="6" s="1"/>
  <c r="K90" i="6" s="1"/>
  <c r="K91" i="6" s="1"/>
  <c r="K92" i="6" s="1"/>
  <c r="K93" i="6" s="1"/>
  <c r="K94" i="6" s="1"/>
  <c r="K95" i="6" s="1"/>
  <c r="K96" i="6" s="1"/>
  <c r="K97" i="6" s="1"/>
  <c r="K98" i="6" s="1"/>
  <c r="K99" i="6" s="1"/>
  <c r="K100" i="6" s="1"/>
  <c r="K101" i="6" s="1"/>
  <c r="K102" i="6" s="1"/>
  <c r="K103" i="6" s="1"/>
  <c r="K104" i="6" s="1"/>
  <c r="K105" i="6" s="1"/>
  <c r="K106" i="6" s="1"/>
  <c r="K107" i="6" s="1"/>
  <c r="K108" i="6" s="1"/>
  <c r="K109" i="6" s="1"/>
  <c r="K110" i="6" s="1"/>
  <c r="K111" i="6" s="1"/>
  <c r="K112" i="6" s="1"/>
  <c r="K113" i="6" s="1"/>
  <c r="K114" i="6" s="1"/>
  <c r="K115" i="6" s="1"/>
  <c r="K116" i="6" s="1"/>
  <c r="K117" i="6" s="1"/>
  <c r="K118" i="6" s="1"/>
  <c r="K119" i="6" s="1"/>
  <c r="K120" i="6" s="1"/>
  <c r="K121" i="6" s="1"/>
  <c r="K122" i="6" s="1"/>
  <c r="K123" i="6" s="1"/>
  <c r="K124" i="6" s="1"/>
  <c r="K125" i="6" s="1"/>
  <c r="K126" i="6" s="1"/>
  <c r="K127" i="6" s="1"/>
  <c r="K128" i="6" s="1"/>
  <c r="K129" i="6" s="1"/>
  <c r="K130" i="6" s="1"/>
  <c r="K131" i="6" s="1"/>
  <c r="K132" i="6" s="1"/>
  <c r="K133" i="6" s="1"/>
  <c r="K134" i="6" s="1"/>
  <c r="K135" i="6" s="1"/>
  <c r="K136" i="6" s="1"/>
  <c r="K137" i="6" s="1"/>
  <c r="K138" i="6" s="1"/>
  <c r="K139" i="6" s="1"/>
  <c r="K140" i="6" s="1"/>
  <c r="K141" i="6" s="1"/>
  <c r="K142" i="6" s="1"/>
  <c r="K143" i="6" s="1"/>
  <c r="K144" i="6" s="1"/>
  <c r="K145" i="6" s="1"/>
  <c r="K146" i="6" s="1"/>
  <c r="K147" i="6" s="1"/>
  <c r="K148" i="6" s="1"/>
  <c r="K149" i="6" s="1"/>
  <c r="K150" i="6" s="1"/>
  <c r="K151" i="6" s="1"/>
  <c r="K152" i="6" s="1"/>
  <c r="K153" i="6" s="1"/>
  <c r="K154" i="6" s="1"/>
  <c r="K155" i="6" s="1"/>
  <c r="K156" i="6" s="1"/>
  <c r="K157" i="6" s="1"/>
  <c r="J85" i="6"/>
  <c r="J86" i="6" s="1"/>
  <c r="J87" i="6" s="1"/>
  <c r="J88" i="6" s="1"/>
  <c r="J89" i="6" s="1"/>
  <c r="J90" i="6" s="1"/>
  <c r="J91" i="6" s="1"/>
  <c r="J92" i="6" s="1"/>
  <c r="J93" i="6" s="1"/>
  <c r="J94" i="6" s="1"/>
  <c r="J95" i="6" s="1"/>
  <c r="J96" i="6" s="1"/>
  <c r="J97" i="6" s="1"/>
  <c r="J98" i="6" s="1"/>
  <c r="J99" i="6" s="1"/>
  <c r="J100" i="6" s="1"/>
  <c r="J101" i="6" s="1"/>
  <c r="J102" i="6" s="1"/>
  <c r="J103" i="6" s="1"/>
  <c r="J104" i="6" s="1"/>
  <c r="J105" i="6" s="1"/>
  <c r="J106" i="6" s="1"/>
  <c r="J107" i="6" s="1"/>
  <c r="J108" i="6" s="1"/>
  <c r="J109" i="6" s="1"/>
  <c r="J110" i="6" s="1"/>
  <c r="J111" i="6" s="1"/>
  <c r="J112" i="6" s="1"/>
  <c r="J113" i="6" s="1"/>
  <c r="J114" i="6" s="1"/>
  <c r="J115" i="6" s="1"/>
  <c r="J116" i="6" s="1"/>
  <c r="J117" i="6" s="1"/>
  <c r="J118" i="6" s="1"/>
  <c r="J119" i="6" s="1"/>
  <c r="J120" i="6" s="1"/>
  <c r="J121" i="6" s="1"/>
  <c r="J122" i="6" s="1"/>
  <c r="J123" i="6" s="1"/>
  <c r="J124" i="6" s="1"/>
  <c r="J125" i="6" s="1"/>
  <c r="J126" i="6" s="1"/>
  <c r="J127" i="6" s="1"/>
  <c r="J128" i="6" s="1"/>
  <c r="J129" i="6" s="1"/>
  <c r="J130" i="6" s="1"/>
  <c r="J131" i="6" s="1"/>
  <c r="J132" i="6" s="1"/>
  <c r="J133" i="6" s="1"/>
  <c r="J134" i="6" s="1"/>
  <c r="J135" i="6" s="1"/>
  <c r="J136" i="6" s="1"/>
  <c r="J137" i="6" s="1"/>
  <c r="J138" i="6" s="1"/>
  <c r="J139" i="6" s="1"/>
  <c r="J140" i="6" s="1"/>
  <c r="J141" i="6" s="1"/>
  <c r="J142" i="6" s="1"/>
  <c r="J143" i="6" s="1"/>
  <c r="J144" i="6" s="1"/>
  <c r="J145" i="6" s="1"/>
  <c r="J146" i="6" s="1"/>
  <c r="J147" i="6" s="1"/>
  <c r="J148" i="6" s="1"/>
  <c r="J149" i="6" s="1"/>
  <c r="J150" i="6" s="1"/>
  <c r="J151" i="6" s="1"/>
  <c r="J152" i="6" s="1"/>
  <c r="J153" i="6" s="1"/>
  <c r="J154" i="6" s="1"/>
  <c r="J155" i="6" s="1"/>
  <c r="J156" i="6" s="1"/>
  <c r="J157" i="6" s="1"/>
  <c r="I85" i="6"/>
  <c r="I86" i="6" s="1"/>
  <c r="I87" i="6" s="1"/>
  <c r="I88" i="6" s="1"/>
  <c r="I89" i="6" s="1"/>
  <c r="I90" i="6" s="1"/>
  <c r="I91" i="6" s="1"/>
  <c r="I92" i="6" s="1"/>
  <c r="I93" i="6" s="1"/>
  <c r="I94" i="6" s="1"/>
  <c r="I95" i="6" s="1"/>
  <c r="I96" i="6" s="1"/>
  <c r="I97" i="6" s="1"/>
  <c r="I98" i="6" s="1"/>
  <c r="I99" i="6" s="1"/>
  <c r="I100" i="6" s="1"/>
  <c r="I101" i="6" s="1"/>
  <c r="I102" i="6" s="1"/>
  <c r="I103" i="6" s="1"/>
  <c r="I104" i="6" s="1"/>
  <c r="I105" i="6" s="1"/>
  <c r="I106" i="6" s="1"/>
  <c r="I107" i="6" s="1"/>
  <c r="I108" i="6" s="1"/>
  <c r="I109" i="6" s="1"/>
  <c r="I110" i="6" s="1"/>
  <c r="I111" i="6" s="1"/>
  <c r="I112" i="6" s="1"/>
  <c r="I113" i="6" s="1"/>
  <c r="I114" i="6" s="1"/>
  <c r="I115" i="6" s="1"/>
  <c r="I116" i="6" s="1"/>
  <c r="I117" i="6" s="1"/>
  <c r="I118" i="6" s="1"/>
  <c r="H85" i="6"/>
  <c r="H86" i="6" s="1"/>
  <c r="H87" i="6" s="1"/>
  <c r="H88" i="6" s="1"/>
  <c r="H89" i="6" s="1"/>
  <c r="H90" i="6" s="1"/>
  <c r="H91" i="6" s="1"/>
  <c r="H92" i="6" s="1"/>
  <c r="H93" i="6" s="1"/>
  <c r="H94" i="6" s="1"/>
  <c r="H95" i="6" s="1"/>
  <c r="H96" i="6" s="1"/>
  <c r="H97" i="6" s="1"/>
  <c r="H98" i="6" s="1"/>
  <c r="H99" i="6" s="1"/>
  <c r="H100" i="6" s="1"/>
  <c r="H101" i="6" s="1"/>
  <c r="H102" i="6" s="1"/>
  <c r="H103" i="6" s="1"/>
  <c r="H104" i="6" s="1"/>
  <c r="H105" i="6" s="1"/>
  <c r="H106" i="6" s="1"/>
  <c r="H107" i="6" s="1"/>
  <c r="H108" i="6" s="1"/>
  <c r="H109" i="6" s="1"/>
  <c r="H110" i="6" s="1"/>
  <c r="H111" i="6" s="1"/>
  <c r="H112" i="6" s="1"/>
  <c r="H113" i="6" s="1"/>
  <c r="H114" i="6" s="1"/>
  <c r="H115" i="6" s="1"/>
  <c r="H116" i="6" s="1"/>
  <c r="H117" i="6" s="1"/>
  <c r="G85" i="6"/>
  <c r="G86" i="6" s="1"/>
  <c r="G87" i="6" s="1"/>
  <c r="G88" i="6" s="1"/>
  <c r="G89" i="6" s="1"/>
  <c r="G90" i="6" s="1"/>
  <c r="G91" i="6" s="1"/>
  <c r="G92" i="6" s="1"/>
  <c r="G93" i="6" s="1"/>
  <c r="G94" i="6" s="1"/>
  <c r="G95" i="6" s="1"/>
  <c r="G96" i="6" s="1"/>
  <c r="G97" i="6" s="1"/>
  <c r="G98" i="6" s="1"/>
  <c r="G99" i="6" s="1"/>
  <c r="G100" i="6" s="1"/>
  <c r="G101" i="6" s="1"/>
  <c r="G102" i="6" s="1"/>
  <c r="G103" i="6" s="1"/>
  <c r="G104" i="6" s="1"/>
  <c r="G105" i="6" s="1"/>
  <c r="G106" i="6" s="1"/>
  <c r="G107" i="6" s="1"/>
  <c r="G108" i="6" s="1"/>
  <c r="G109" i="6" s="1"/>
  <c r="G110" i="6" s="1"/>
  <c r="G111" i="6" s="1"/>
  <c r="G112" i="6" s="1"/>
  <c r="G113" i="6" s="1"/>
  <c r="G114" i="6" s="1"/>
  <c r="G115" i="6" s="1"/>
  <c r="G116" i="6" s="1"/>
  <c r="G117" i="6" s="1"/>
  <c r="G118" i="6" s="1"/>
  <c r="G119" i="6" s="1"/>
  <c r="G120" i="6" s="1"/>
  <c r="G121" i="6" s="1"/>
  <c r="G122" i="6" s="1"/>
  <c r="G123" i="6" s="1"/>
  <c r="G124" i="6" s="1"/>
  <c r="G125" i="6" s="1"/>
  <c r="G126" i="6" s="1"/>
  <c r="G127" i="6" s="1"/>
  <c r="G128" i="6" s="1"/>
  <c r="G129" i="6" s="1"/>
  <c r="G130" i="6" s="1"/>
  <c r="G131" i="6" s="1"/>
  <c r="G132" i="6" s="1"/>
  <c r="G133" i="6" s="1"/>
  <c r="G134" i="6" s="1"/>
  <c r="G135" i="6" s="1"/>
  <c r="G136" i="6" s="1"/>
  <c r="G137" i="6" s="1"/>
  <c r="G138" i="6" s="1"/>
  <c r="G139" i="6" s="1"/>
  <c r="G140" i="6" s="1"/>
  <c r="G141" i="6" s="1"/>
  <c r="G142" i="6" s="1"/>
  <c r="G143" i="6" s="1"/>
  <c r="G144" i="6" s="1"/>
  <c r="G145" i="6" s="1"/>
  <c r="G146" i="6" s="1"/>
  <c r="G147" i="6" s="1"/>
  <c r="G148" i="6" s="1"/>
  <c r="G149" i="6" s="1"/>
  <c r="G150" i="6" s="1"/>
  <c r="G151" i="6" s="1"/>
  <c r="G152" i="6" s="1"/>
  <c r="G153" i="6" s="1"/>
  <c r="G154" i="6" s="1"/>
  <c r="G155" i="6" s="1"/>
  <c r="G156" i="6" s="1"/>
  <c r="G157" i="6" s="1"/>
  <c r="F85" i="6"/>
  <c r="F86" i="6" s="1"/>
  <c r="E85" i="6"/>
  <c r="D85" i="6"/>
  <c r="D86" i="6" s="1"/>
  <c r="D87" i="6" s="1"/>
  <c r="D88" i="6" s="1"/>
  <c r="D89" i="6" s="1"/>
  <c r="D90" i="6" s="1"/>
  <c r="D91" i="6" s="1"/>
  <c r="D92" i="6" s="1"/>
  <c r="D93" i="6" s="1"/>
  <c r="D94" i="6" s="1"/>
  <c r="D95" i="6" s="1"/>
  <c r="D96" i="6" s="1"/>
  <c r="D97" i="6" s="1"/>
  <c r="D98" i="6" s="1"/>
  <c r="D99" i="6" s="1"/>
  <c r="D100" i="6" s="1"/>
  <c r="D101" i="6" s="1"/>
  <c r="D102" i="6" s="1"/>
  <c r="D103" i="6" s="1"/>
  <c r="D104" i="6" s="1"/>
  <c r="D105" i="6" s="1"/>
  <c r="D106" i="6" s="1"/>
  <c r="D107" i="6" s="1"/>
  <c r="D108" i="6" s="1"/>
  <c r="D109" i="6" s="1"/>
  <c r="D110" i="6" s="1"/>
  <c r="D111" i="6" s="1"/>
  <c r="D112" i="6" s="1"/>
  <c r="D113" i="6" s="1"/>
  <c r="D114" i="6" s="1"/>
  <c r="D115" i="6" s="1"/>
  <c r="D116" i="6" s="1"/>
  <c r="D117" i="6" s="1"/>
  <c r="C85" i="6"/>
  <c r="C86" i="6" s="1"/>
  <c r="C87" i="6" s="1"/>
  <c r="B84" i="6"/>
  <c r="B85" i="6" s="1"/>
  <c r="B86" i="6" s="1"/>
  <c r="AF6" i="6"/>
  <c r="AE6" i="6"/>
  <c r="AD6" i="6"/>
  <c r="AC6" i="6"/>
  <c r="AB6" i="6"/>
  <c r="AA6" i="6"/>
  <c r="Z6" i="6"/>
  <c r="Y6" i="6"/>
  <c r="X6" i="6"/>
  <c r="W6" i="6"/>
  <c r="V6" i="6"/>
  <c r="U6" i="6"/>
  <c r="S6" i="6"/>
  <c r="I29" i="13" s="1"/>
  <c r="R6" i="6"/>
  <c r="I28" i="13" s="1"/>
  <c r="Q6" i="6"/>
  <c r="I27" i="13" s="1"/>
  <c r="P6" i="6"/>
  <c r="I26" i="13" s="1"/>
  <c r="O6" i="6"/>
  <c r="I25" i="13" s="1"/>
  <c r="K6" i="6"/>
  <c r="I21" i="13" s="1"/>
  <c r="J6" i="6"/>
  <c r="I20" i="13" s="1"/>
  <c r="I6" i="6"/>
  <c r="I19" i="13" s="1"/>
  <c r="H6" i="6"/>
  <c r="I18" i="13" s="1"/>
  <c r="G6" i="6"/>
  <c r="I17" i="13" s="1"/>
  <c r="F6" i="6"/>
  <c r="I16" i="13" s="1"/>
  <c r="E6" i="6"/>
  <c r="I15" i="13" s="1"/>
  <c r="C6" i="6"/>
  <c r="I13" i="13" s="1"/>
  <c r="B6" i="6"/>
  <c r="I31" i="13" l="1"/>
  <c r="J31" i="13"/>
  <c r="I35" i="13"/>
  <c r="J35" i="13"/>
  <c r="J39" i="13"/>
  <c r="I39" i="13"/>
  <c r="K38" i="9"/>
  <c r="I38" i="13"/>
  <c r="J38" i="13"/>
  <c r="J42" i="13"/>
  <c r="P42" i="13" s="1"/>
  <c r="I42" i="13"/>
  <c r="J32" i="13"/>
  <c r="I32" i="13"/>
  <c r="I36" i="13"/>
  <c r="J36" i="13"/>
  <c r="J40" i="13"/>
  <c r="I40" i="13"/>
  <c r="AV13" i="9"/>
  <c r="K19" i="8" s="1"/>
  <c r="I34" i="13"/>
  <c r="J34" i="13"/>
  <c r="J12" i="13"/>
  <c r="P12" i="13" s="1"/>
  <c r="O46" i="13" s="1"/>
  <c r="I12" i="13"/>
  <c r="J33" i="13"/>
  <c r="I33" i="13"/>
  <c r="J37" i="13"/>
  <c r="I37" i="13"/>
  <c r="J41" i="13"/>
  <c r="P41" i="13" s="1"/>
  <c r="I41" i="13"/>
  <c r="I38" i="9"/>
  <c r="J12" i="10"/>
  <c r="H12" i="10"/>
  <c r="K12" i="10"/>
  <c r="I12" i="10"/>
  <c r="F13" i="10"/>
  <c r="AZ27" i="9"/>
  <c r="Q18" i="8" s="1"/>
  <c r="I6" i="8"/>
  <c r="I20" i="3"/>
  <c r="B6" i="8"/>
  <c r="I13" i="3"/>
  <c r="M35" i="9"/>
  <c r="AA31" i="9" s="1"/>
  <c r="L14" i="9"/>
  <c r="Y13" i="9" s="1"/>
  <c r="I40" i="3"/>
  <c r="J40" i="3"/>
  <c r="C6" i="8"/>
  <c r="I14" i="3"/>
  <c r="L6" i="8"/>
  <c r="I25" i="3"/>
  <c r="F35" i="9"/>
  <c r="T31" i="9" s="1"/>
  <c r="E14" i="9"/>
  <c r="R13" i="9" s="1"/>
  <c r="I33" i="3"/>
  <c r="J33" i="3"/>
  <c r="N35" i="9"/>
  <c r="AB25" i="9" s="1"/>
  <c r="M14" i="9"/>
  <c r="Z13" i="9" s="1"/>
  <c r="I41" i="3"/>
  <c r="J41" i="3"/>
  <c r="D6" i="8"/>
  <c r="I15" i="3"/>
  <c r="M6" i="8"/>
  <c r="I26" i="3"/>
  <c r="G35" i="9"/>
  <c r="U32" i="9" s="1"/>
  <c r="F14" i="9"/>
  <c r="S13" i="9" s="1"/>
  <c r="I34" i="3"/>
  <c r="J34" i="3"/>
  <c r="O35" i="9"/>
  <c r="AC30" i="9" s="1"/>
  <c r="N14" i="9"/>
  <c r="AA13" i="9" s="1"/>
  <c r="J42" i="3"/>
  <c r="T32" i="10" s="1"/>
  <c r="I42" i="3"/>
  <c r="B14" i="9"/>
  <c r="O13" i="9" s="1"/>
  <c r="AB13" i="9" s="1"/>
  <c r="J12" i="3"/>
  <c r="I8" i="5" s="1"/>
  <c r="I12" i="3"/>
  <c r="D35" i="9"/>
  <c r="D38" i="9" s="1"/>
  <c r="C14" i="9"/>
  <c r="P13" i="9" s="1"/>
  <c r="J31" i="3"/>
  <c r="I31" i="3"/>
  <c r="L35" i="9"/>
  <c r="Z27" i="9" s="1"/>
  <c r="K14" i="9"/>
  <c r="X13" i="9" s="1"/>
  <c r="J39" i="3"/>
  <c r="T29" i="10" s="1"/>
  <c r="X29" i="10" s="1"/>
  <c r="I39" i="3"/>
  <c r="E35" i="9"/>
  <c r="S28" i="9" s="1"/>
  <c r="D14" i="9"/>
  <c r="Q13" i="9" s="1"/>
  <c r="I32" i="3"/>
  <c r="J32" i="3"/>
  <c r="H35" i="9"/>
  <c r="V27" i="9" s="1"/>
  <c r="G14" i="9"/>
  <c r="T13" i="9" s="1"/>
  <c r="I35" i="3"/>
  <c r="J35" i="3"/>
  <c r="O6" i="8"/>
  <c r="I28" i="3"/>
  <c r="H14" i="9"/>
  <c r="U13" i="9" s="1"/>
  <c r="I35" i="9"/>
  <c r="W21" i="9" s="1"/>
  <c r="I36" i="3"/>
  <c r="J36" i="3"/>
  <c r="B35" i="9"/>
  <c r="B38" i="9" s="1"/>
  <c r="G6" i="8"/>
  <c r="I18" i="3"/>
  <c r="P6" i="8"/>
  <c r="I29" i="3"/>
  <c r="J35" i="9"/>
  <c r="X26" i="9" s="1"/>
  <c r="I14" i="9"/>
  <c r="V13" i="9" s="1"/>
  <c r="I37" i="3"/>
  <c r="J37" i="3"/>
  <c r="T27" i="10" s="1"/>
  <c r="J6" i="8"/>
  <c r="I21" i="3"/>
  <c r="E6" i="8"/>
  <c r="I16" i="3"/>
  <c r="N6" i="8"/>
  <c r="I27" i="3"/>
  <c r="F6" i="8"/>
  <c r="I17" i="3"/>
  <c r="H6" i="8"/>
  <c r="I19" i="3"/>
  <c r="I30" i="3"/>
  <c r="K35" i="9"/>
  <c r="Y28" i="9" s="1"/>
  <c r="J14" i="9"/>
  <c r="W13" i="9" s="1"/>
  <c r="I38" i="3"/>
  <c r="J38" i="3"/>
  <c r="W30" i="9"/>
  <c r="X22" i="9"/>
  <c r="AA23" i="9"/>
  <c r="X30" i="9"/>
  <c r="Z21" i="9"/>
  <c r="AC27" i="9"/>
  <c r="W24" i="9"/>
  <c r="P30" i="9"/>
  <c r="AD30" i="9" s="1"/>
  <c r="X24" i="9"/>
  <c r="AC31" i="9"/>
  <c r="S33" i="9"/>
  <c r="X21" i="9"/>
  <c r="AA24" i="9"/>
  <c r="AC26" i="9"/>
  <c r="W32" i="9"/>
  <c r="AC25" i="9"/>
  <c r="W31" i="9"/>
  <c r="Y34" i="9"/>
  <c r="S34" i="9"/>
  <c r="P22" i="9"/>
  <c r="AY22" i="9"/>
  <c r="AY24" i="9"/>
  <c r="W34" i="9"/>
  <c r="AY21" i="9"/>
  <c r="J19" i="8" s="1"/>
  <c r="AW13" i="9"/>
  <c r="AX13" i="9" s="1"/>
  <c r="AZ22" i="9"/>
  <c r="BA22" i="9" s="1"/>
  <c r="AZ23" i="9"/>
  <c r="BA23" i="9" s="1"/>
  <c r="AZ31" i="9"/>
  <c r="G18" i="8" s="1"/>
  <c r="AZ28" i="9"/>
  <c r="BA28" i="9" s="1"/>
  <c r="AZ25" i="9"/>
  <c r="O18" i="8" s="1"/>
  <c r="AZ33" i="9"/>
  <c r="AY30" i="9"/>
  <c r="AZ30" i="9"/>
  <c r="BA30" i="9" s="1"/>
  <c r="AZ24" i="9"/>
  <c r="BA24" i="9" s="1"/>
  <c r="AZ32" i="9"/>
  <c r="BA32" i="9" s="1"/>
  <c r="AZ21" i="9"/>
  <c r="BA21" i="9" s="1"/>
  <c r="AZ29" i="9"/>
  <c r="BA29" i="9" s="1"/>
  <c r="AZ26" i="9"/>
  <c r="BA26" i="9" s="1"/>
  <c r="AZ34" i="9"/>
  <c r="B18" i="8" s="1"/>
  <c r="AY31" i="9"/>
  <c r="G19" i="8" s="1"/>
  <c r="AY28" i="9"/>
  <c r="AY25" i="9"/>
  <c r="O19" i="8" s="1"/>
  <c r="AY33" i="9"/>
  <c r="AY32" i="9"/>
  <c r="AY27" i="9"/>
  <c r="AY29" i="9"/>
  <c r="AY23" i="9"/>
  <c r="AY26" i="9"/>
  <c r="AY34" i="9"/>
  <c r="H118" i="6"/>
  <c r="I119" i="6"/>
  <c r="B87" i="6"/>
  <c r="AF86" i="6" s="1"/>
  <c r="AE86" i="6" s="1"/>
  <c r="C88" i="6"/>
  <c r="X139" i="6"/>
  <c r="Y140" i="6"/>
  <c r="AB117" i="6"/>
  <c r="AC118" i="6"/>
  <c r="E86" i="6"/>
  <c r="F87" i="6"/>
  <c r="H156" i="5"/>
  <c r="G156" i="5"/>
  <c r="F156" i="5"/>
  <c r="E156" i="5"/>
  <c r="D156" i="5"/>
  <c r="C156" i="5"/>
  <c r="H151" i="5"/>
  <c r="G151" i="5"/>
  <c r="F151" i="5"/>
  <c r="E151" i="5"/>
  <c r="D151" i="5"/>
  <c r="C151" i="5"/>
  <c r="H146" i="5"/>
  <c r="G146" i="5"/>
  <c r="F146" i="5"/>
  <c r="E146" i="5"/>
  <c r="D146" i="5"/>
  <c r="C146" i="5"/>
  <c r="H141" i="5"/>
  <c r="G141" i="5"/>
  <c r="F141" i="5"/>
  <c r="E141" i="5"/>
  <c r="D141" i="5"/>
  <c r="C141" i="5"/>
  <c r="H136" i="5"/>
  <c r="G136" i="5"/>
  <c r="F136" i="5"/>
  <c r="E136" i="5"/>
  <c r="D136" i="5"/>
  <c r="C136" i="5"/>
  <c r="I133" i="5"/>
  <c r="H131" i="5"/>
  <c r="G131" i="5"/>
  <c r="F131" i="5"/>
  <c r="E131" i="5"/>
  <c r="D131" i="5"/>
  <c r="C131" i="5"/>
  <c r="H126" i="5"/>
  <c r="G126" i="5"/>
  <c r="F126" i="5"/>
  <c r="E126" i="5"/>
  <c r="D126" i="5"/>
  <c r="C126" i="5"/>
  <c r="H121" i="5"/>
  <c r="G121" i="5"/>
  <c r="F121" i="5"/>
  <c r="E121" i="5"/>
  <c r="D121" i="5"/>
  <c r="C121" i="5"/>
  <c r="H116" i="5"/>
  <c r="G116" i="5"/>
  <c r="F116" i="5"/>
  <c r="E116" i="5"/>
  <c r="D116" i="5"/>
  <c r="C116" i="5"/>
  <c r="H111" i="5"/>
  <c r="G111" i="5"/>
  <c r="F111" i="5"/>
  <c r="E111" i="5"/>
  <c r="D111" i="5"/>
  <c r="C111" i="5"/>
  <c r="H106" i="5"/>
  <c r="G106" i="5"/>
  <c r="F106" i="5"/>
  <c r="E106" i="5"/>
  <c r="D106" i="5"/>
  <c r="C106" i="5"/>
  <c r="H101" i="5"/>
  <c r="G101" i="5"/>
  <c r="F101" i="5"/>
  <c r="E101" i="5"/>
  <c r="D101" i="5"/>
  <c r="C101" i="5"/>
  <c r="H96" i="5"/>
  <c r="G96" i="5"/>
  <c r="F96" i="5"/>
  <c r="E96" i="5"/>
  <c r="D96" i="5"/>
  <c r="C96" i="5"/>
  <c r="H91" i="5"/>
  <c r="G91" i="5"/>
  <c r="F91" i="5"/>
  <c r="E91" i="5"/>
  <c r="D91" i="5"/>
  <c r="C91" i="5"/>
  <c r="H86" i="5"/>
  <c r="G86" i="5"/>
  <c r="F86" i="5"/>
  <c r="E86" i="5"/>
  <c r="D86" i="5"/>
  <c r="C86" i="5"/>
  <c r="H81" i="5"/>
  <c r="G81" i="5"/>
  <c r="F81" i="5"/>
  <c r="E81" i="5"/>
  <c r="D81" i="5"/>
  <c r="C81" i="5"/>
  <c r="H76" i="5"/>
  <c r="G76" i="5"/>
  <c r="F76" i="5"/>
  <c r="E76" i="5"/>
  <c r="D76" i="5"/>
  <c r="C76" i="5"/>
  <c r="H71" i="5"/>
  <c r="G71" i="5"/>
  <c r="F71" i="5"/>
  <c r="E71" i="5"/>
  <c r="D71" i="5"/>
  <c r="C71" i="5"/>
  <c r="H66" i="5"/>
  <c r="G66" i="5"/>
  <c r="F66" i="5"/>
  <c r="E66" i="5"/>
  <c r="D66" i="5"/>
  <c r="C66" i="5"/>
  <c r="H61" i="5"/>
  <c r="G61" i="5"/>
  <c r="F61" i="5"/>
  <c r="E61" i="5"/>
  <c r="D61" i="5"/>
  <c r="C61" i="5"/>
  <c r="H56" i="5"/>
  <c r="G56" i="5"/>
  <c r="F56" i="5"/>
  <c r="E56" i="5"/>
  <c r="D56" i="5"/>
  <c r="C56" i="5"/>
  <c r="H51" i="5"/>
  <c r="G51" i="5"/>
  <c r="F51" i="5"/>
  <c r="E51" i="5"/>
  <c r="D51" i="5"/>
  <c r="C51" i="5"/>
  <c r="H46" i="5"/>
  <c r="G46" i="5"/>
  <c r="F46" i="5"/>
  <c r="E46" i="5"/>
  <c r="D46" i="5"/>
  <c r="C46" i="5"/>
  <c r="H41" i="5"/>
  <c r="G41" i="5"/>
  <c r="F41" i="5"/>
  <c r="E41" i="5"/>
  <c r="D41" i="5"/>
  <c r="C41" i="5"/>
  <c r="H36" i="5"/>
  <c r="G36" i="5"/>
  <c r="F36" i="5"/>
  <c r="E36" i="5"/>
  <c r="D36" i="5"/>
  <c r="C36" i="5"/>
  <c r="H31" i="5"/>
  <c r="G31" i="5"/>
  <c r="F31" i="5"/>
  <c r="E31" i="5"/>
  <c r="D31" i="5"/>
  <c r="C31" i="5"/>
  <c r="H26" i="5"/>
  <c r="G26" i="5"/>
  <c r="F26" i="5"/>
  <c r="E26" i="5"/>
  <c r="D26" i="5"/>
  <c r="C26" i="5"/>
  <c r="H21" i="5"/>
  <c r="G21" i="5"/>
  <c r="F21" i="5"/>
  <c r="E21" i="5"/>
  <c r="D21" i="5"/>
  <c r="C21" i="5"/>
  <c r="H16" i="5"/>
  <c r="G16" i="5"/>
  <c r="F16" i="5"/>
  <c r="E16" i="5"/>
  <c r="D16" i="5"/>
  <c r="C16" i="5"/>
  <c r="H11" i="5"/>
  <c r="G11" i="5"/>
  <c r="F11" i="5"/>
  <c r="E11" i="5"/>
  <c r="D11" i="5"/>
  <c r="C11" i="5"/>
  <c r="H6" i="5"/>
  <c r="G6" i="5"/>
  <c r="F6" i="5"/>
  <c r="E6" i="5"/>
  <c r="D6" i="5"/>
  <c r="C6" i="5"/>
  <c r="R36" i="4"/>
  <c r="R35" i="4"/>
  <c r="R34" i="4"/>
  <c r="T22" i="9" l="1"/>
  <c r="T21" i="9"/>
  <c r="AA30" i="9"/>
  <c r="AA32" i="9"/>
  <c r="T28" i="9"/>
  <c r="U26" i="9"/>
  <c r="E38" i="9"/>
  <c r="P37" i="13"/>
  <c r="L37" i="13"/>
  <c r="L38" i="9"/>
  <c r="P40" i="13"/>
  <c r="L40" i="13"/>
  <c r="P32" i="13"/>
  <c r="O66" i="13" s="1"/>
  <c r="L32" i="13"/>
  <c r="P38" i="13"/>
  <c r="L38" i="13"/>
  <c r="G38" i="9"/>
  <c r="P35" i="13"/>
  <c r="O69" i="13" s="1"/>
  <c r="L35" i="13"/>
  <c r="N38" i="9"/>
  <c r="AC33" i="9"/>
  <c r="S29" i="9"/>
  <c r="S30" i="9"/>
  <c r="AC22" i="9"/>
  <c r="S25" i="9"/>
  <c r="P34" i="13"/>
  <c r="O68" i="13" s="1"/>
  <c r="L34" i="13"/>
  <c r="H38" i="9"/>
  <c r="P36" i="13"/>
  <c r="L36" i="13"/>
  <c r="P21" i="9"/>
  <c r="AD21" i="9" s="1"/>
  <c r="J38" i="9"/>
  <c r="P39" i="13"/>
  <c r="L39" i="13"/>
  <c r="AA28" i="9"/>
  <c r="T27" i="9"/>
  <c r="AA22" i="9"/>
  <c r="T32" i="9"/>
  <c r="AC29" i="9"/>
  <c r="AA26" i="9"/>
  <c r="P25" i="9"/>
  <c r="AD25" i="9" s="1"/>
  <c r="AW21" i="9"/>
  <c r="M38" i="9"/>
  <c r="P33" i="13"/>
  <c r="O67" i="13" s="1"/>
  <c r="L33" i="13"/>
  <c r="O38" i="9"/>
  <c r="P31" i="13"/>
  <c r="O65" i="13" s="1"/>
  <c r="L31" i="13"/>
  <c r="F38" i="9"/>
  <c r="R26" i="9"/>
  <c r="AX24" i="9"/>
  <c r="AX25" i="9"/>
  <c r="AX33" i="9"/>
  <c r="AW28" i="9"/>
  <c r="I66" i="9" s="1"/>
  <c r="W66" i="9" s="1"/>
  <c r="AK66" i="9" s="1"/>
  <c r="AX26" i="9"/>
  <c r="AX21" i="9"/>
  <c r="AW29" i="9"/>
  <c r="AX27" i="9"/>
  <c r="AW22" i="9"/>
  <c r="AW30" i="9"/>
  <c r="AX28" i="9"/>
  <c r="AW23" i="9"/>
  <c r="M61" i="9" s="1"/>
  <c r="AA61" i="9" s="1"/>
  <c r="AO61" i="9" s="1"/>
  <c r="AW31" i="9"/>
  <c r="AX34" i="9"/>
  <c r="AX29" i="9"/>
  <c r="AW24" i="9"/>
  <c r="AW32" i="9"/>
  <c r="AX22" i="9"/>
  <c r="AX30" i="9"/>
  <c r="AW25" i="9"/>
  <c r="F63" i="9" s="1"/>
  <c r="T63" i="9" s="1"/>
  <c r="AH63" i="9" s="1"/>
  <c r="AW33" i="9"/>
  <c r="AX23" i="9"/>
  <c r="AX31" i="9"/>
  <c r="AW26" i="9"/>
  <c r="AW34" i="9"/>
  <c r="AX32" i="9"/>
  <c r="AW27" i="9"/>
  <c r="I143" i="5"/>
  <c r="C143" i="5" s="1"/>
  <c r="P29" i="9"/>
  <c r="AD29" i="9" s="1"/>
  <c r="P23" i="9"/>
  <c r="AD23" i="9" s="1"/>
  <c r="P28" i="9"/>
  <c r="AD28" i="9" s="1"/>
  <c r="T34" i="9"/>
  <c r="AA34" i="9"/>
  <c r="T30" i="9"/>
  <c r="T23" i="9"/>
  <c r="T24" i="9"/>
  <c r="T33" i="9"/>
  <c r="AC28" i="9"/>
  <c r="AA29" i="9"/>
  <c r="AA33" i="9"/>
  <c r="P27" i="9"/>
  <c r="AC23" i="9"/>
  <c r="T26" i="9"/>
  <c r="AC21" i="9"/>
  <c r="AQ21" i="9" s="1"/>
  <c r="P24" i="9"/>
  <c r="AC34" i="9"/>
  <c r="AA27" i="9"/>
  <c r="Y30" i="9"/>
  <c r="T29" i="9"/>
  <c r="AA21" i="9"/>
  <c r="Y32" i="9"/>
  <c r="T25" i="9"/>
  <c r="AB24" i="9"/>
  <c r="AA25" i="9"/>
  <c r="AC24" i="9"/>
  <c r="K64" i="9"/>
  <c r="Y64" i="9" s="1"/>
  <c r="AM64" i="9" s="1"/>
  <c r="U30" i="9"/>
  <c r="I13" i="10"/>
  <c r="H13" i="10"/>
  <c r="K13" i="10"/>
  <c r="AB31" i="9"/>
  <c r="I158" i="5"/>
  <c r="D159" i="5" s="1"/>
  <c r="V29" i="9"/>
  <c r="AB28" i="9"/>
  <c r="U23" i="9"/>
  <c r="U29" i="9"/>
  <c r="U21" i="9"/>
  <c r="AB21" i="9"/>
  <c r="W29" i="9"/>
  <c r="W22" i="9"/>
  <c r="U24" i="9"/>
  <c r="J13" i="10"/>
  <c r="AB34" i="9"/>
  <c r="U25" i="9"/>
  <c r="U28" i="9"/>
  <c r="AB23" i="9"/>
  <c r="Z22" i="9"/>
  <c r="W27" i="9"/>
  <c r="X33" i="9"/>
  <c r="AB32" i="9"/>
  <c r="AB30" i="9"/>
  <c r="Z30" i="9"/>
  <c r="Z29" i="9"/>
  <c r="U34" i="9"/>
  <c r="AB22" i="9"/>
  <c r="X25" i="9"/>
  <c r="U22" i="9"/>
  <c r="W26" i="9"/>
  <c r="Y27" i="9"/>
  <c r="W25" i="9"/>
  <c r="AB26" i="9"/>
  <c r="AC32" i="9"/>
  <c r="U31" i="9"/>
  <c r="AB29" i="9"/>
  <c r="AB27" i="9"/>
  <c r="U33" i="9"/>
  <c r="AB33" i="9"/>
  <c r="U27" i="9"/>
  <c r="X32" i="9"/>
  <c r="Y26" i="9"/>
  <c r="W28" i="9"/>
  <c r="K20" i="8"/>
  <c r="K18" i="8"/>
  <c r="I118" i="5"/>
  <c r="D119" i="5" s="1"/>
  <c r="T24" i="10"/>
  <c r="I153" i="5"/>
  <c r="E154" i="5" s="1"/>
  <c r="T31" i="10"/>
  <c r="I113" i="5"/>
  <c r="F114" i="5" s="1"/>
  <c r="T23" i="10"/>
  <c r="I148" i="5"/>
  <c r="F149" i="5" s="1"/>
  <c r="T30" i="10"/>
  <c r="X30" i="10" s="1"/>
  <c r="I138" i="5"/>
  <c r="D138" i="5" s="1"/>
  <c r="T28" i="10"/>
  <c r="X28" i="10" s="1"/>
  <c r="I128" i="5"/>
  <c r="F129" i="5" s="1"/>
  <c r="T26" i="10"/>
  <c r="K8" i="8"/>
  <c r="K9" i="8"/>
  <c r="K7" i="8"/>
  <c r="S32" i="9"/>
  <c r="R27" i="9"/>
  <c r="V23" i="9"/>
  <c r="S24" i="9"/>
  <c r="S31" i="9"/>
  <c r="R28" i="9"/>
  <c r="Y25" i="9"/>
  <c r="S23" i="9"/>
  <c r="V33" i="9"/>
  <c r="P32" i="9"/>
  <c r="AD32" i="9" s="1"/>
  <c r="I103" i="5"/>
  <c r="F104" i="5" s="1"/>
  <c r="T21" i="10"/>
  <c r="T2" i="10"/>
  <c r="P12" i="3"/>
  <c r="S27" i="9"/>
  <c r="R24" i="9"/>
  <c r="R25" i="9"/>
  <c r="R23" i="9"/>
  <c r="S26" i="9"/>
  <c r="V22" i="9"/>
  <c r="R33" i="9"/>
  <c r="R31" i="9"/>
  <c r="S21" i="9"/>
  <c r="R21" i="9"/>
  <c r="I123" i="5"/>
  <c r="E123" i="5" s="1"/>
  <c r="T25" i="10"/>
  <c r="I108" i="5"/>
  <c r="G109" i="5" s="1"/>
  <c r="T22" i="10"/>
  <c r="BA27" i="9"/>
  <c r="L20" i="8" s="1"/>
  <c r="E69" i="9"/>
  <c r="S69" i="9" s="1"/>
  <c r="AG69" i="9" s="1"/>
  <c r="AU13" i="9"/>
  <c r="K14" i="8" s="1"/>
  <c r="R34" i="9"/>
  <c r="R32" i="9"/>
  <c r="Z24" i="9"/>
  <c r="Z33" i="9"/>
  <c r="S22" i="9"/>
  <c r="R30" i="9"/>
  <c r="R22" i="9"/>
  <c r="R29" i="9"/>
  <c r="V32" i="9"/>
  <c r="V24" i="9"/>
  <c r="AB36" i="4"/>
  <c r="AE36" i="4"/>
  <c r="AC36" i="4"/>
  <c r="AD36" i="4"/>
  <c r="AD22" i="9"/>
  <c r="F67" i="9"/>
  <c r="T67" i="9" s="1"/>
  <c r="AH67" i="9" s="1"/>
  <c r="V31" i="9"/>
  <c r="Z23" i="9"/>
  <c r="V25" i="9"/>
  <c r="AD24" i="9"/>
  <c r="Y29" i="9"/>
  <c r="W33" i="9"/>
  <c r="X27" i="9"/>
  <c r="V30" i="9"/>
  <c r="Y33" i="9"/>
  <c r="Z28" i="9"/>
  <c r="Z31" i="9"/>
  <c r="P31" i="9"/>
  <c r="P26" i="9"/>
  <c r="P34" i="9"/>
  <c r="X34" i="9"/>
  <c r="V28" i="9"/>
  <c r="W23" i="9"/>
  <c r="Y31" i="9"/>
  <c r="X29" i="9"/>
  <c r="Y24" i="9"/>
  <c r="Z25" i="9"/>
  <c r="P33" i="9"/>
  <c r="AD33" i="9" s="1"/>
  <c r="X28" i="9"/>
  <c r="X23" i="9"/>
  <c r="AB34" i="4"/>
  <c r="AD34" i="4"/>
  <c r="AC34" i="4"/>
  <c r="AE34" i="4"/>
  <c r="N72" i="9"/>
  <c r="AB72" i="9" s="1"/>
  <c r="AP72" i="9" s="1"/>
  <c r="Z34" i="9"/>
  <c r="Z32" i="9"/>
  <c r="Z26" i="9"/>
  <c r="V21" i="9"/>
  <c r="AD27" i="9"/>
  <c r="Y22" i="9"/>
  <c r="X31" i="9"/>
  <c r="Y23" i="9"/>
  <c r="AE35" i="4"/>
  <c r="AB35" i="4"/>
  <c r="AD35" i="4"/>
  <c r="AC35" i="4"/>
  <c r="AT13" i="9"/>
  <c r="BB13" i="9" s="1"/>
  <c r="V34" i="9"/>
  <c r="Y21" i="9"/>
  <c r="V26" i="9"/>
  <c r="AD34" i="9"/>
  <c r="B19" i="8"/>
  <c r="J18" i="8"/>
  <c r="J20" i="8"/>
  <c r="O67" i="9"/>
  <c r="AC67" i="9" s="1"/>
  <c r="AQ67" i="9" s="1"/>
  <c r="O72" i="9"/>
  <c r="AC72" i="9" s="1"/>
  <c r="AQ72" i="9" s="1"/>
  <c r="B67" i="9"/>
  <c r="P67" i="9" s="1"/>
  <c r="AD67" i="9" s="1"/>
  <c r="L72" i="9"/>
  <c r="Z72" i="9" s="1"/>
  <c r="AN72" i="9" s="1"/>
  <c r="I72" i="9"/>
  <c r="W72" i="9" s="1"/>
  <c r="AK72" i="9" s="1"/>
  <c r="K72" i="9"/>
  <c r="Y72" i="9" s="1"/>
  <c r="AM72" i="9" s="1"/>
  <c r="G72" i="9"/>
  <c r="U72" i="9" s="1"/>
  <c r="AI72" i="9" s="1"/>
  <c r="C72" i="9"/>
  <c r="Q72" i="9" s="1"/>
  <c r="AE72" i="9" s="1"/>
  <c r="H69" i="9"/>
  <c r="V69" i="9" s="1"/>
  <c r="AJ69" i="9" s="1"/>
  <c r="F72" i="9"/>
  <c r="T72" i="9" s="1"/>
  <c r="AH72" i="9" s="1"/>
  <c r="M72" i="9"/>
  <c r="AA72" i="9" s="1"/>
  <c r="AO72" i="9" s="1"/>
  <c r="E72" i="9"/>
  <c r="S72" i="9" s="1"/>
  <c r="AG72" i="9" s="1"/>
  <c r="G74" i="9"/>
  <c r="U74" i="9" s="1"/>
  <c r="AI74" i="9" s="1"/>
  <c r="BA34" i="9"/>
  <c r="B20" i="8" s="1"/>
  <c r="P20" i="8"/>
  <c r="F20" i="8"/>
  <c r="N20" i="8"/>
  <c r="E20" i="8"/>
  <c r="BA33" i="9"/>
  <c r="I20" i="8"/>
  <c r="H20" i="8"/>
  <c r="D20" i="8"/>
  <c r="C20" i="8"/>
  <c r="BA25" i="9"/>
  <c r="O20" i="8" s="1"/>
  <c r="O21" i="8" s="1"/>
  <c r="BA31" i="9"/>
  <c r="G20" i="8" s="1"/>
  <c r="G21" i="8" s="1"/>
  <c r="F19" i="8"/>
  <c r="P19" i="8"/>
  <c r="F18" i="8"/>
  <c r="P18" i="8"/>
  <c r="M18" i="8"/>
  <c r="L18" i="8"/>
  <c r="N19" i="8"/>
  <c r="E19" i="8"/>
  <c r="I18" i="8"/>
  <c r="H18" i="8"/>
  <c r="D18" i="8"/>
  <c r="C18" i="8"/>
  <c r="I19" i="8"/>
  <c r="D19" i="8"/>
  <c r="C19" i="8"/>
  <c r="H19" i="8"/>
  <c r="L19" i="8"/>
  <c r="Q19" i="8"/>
  <c r="M19" i="8"/>
  <c r="E18" i="8"/>
  <c r="N18" i="8"/>
  <c r="F152" i="5"/>
  <c r="C157" i="5"/>
  <c r="D157" i="5"/>
  <c r="H147" i="5"/>
  <c r="D147" i="5"/>
  <c r="G147" i="5"/>
  <c r="F134" i="5"/>
  <c r="AB118" i="6"/>
  <c r="AC119" i="6"/>
  <c r="F124" i="5"/>
  <c r="Q14" i="8"/>
  <c r="E87" i="6"/>
  <c r="F88" i="6"/>
  <c r="E9" i="5"/>
  <c r="X140" i="6"/>
  <c r="Y141" i="6"/>
  <c r="B88" i="6"/>
  <c r="AF87" i="6" s="1"/>
  <c r="AE87" i="6" s="1"/>
  <c r="C89" i="6"/>
  <c r="C152" i="5"/>
  <c r="G14" i="8"/>
  <c r="H119" i="6"/>
  <c r="I120" i="6"/>
  <c r="H9" i="5"/>
  <c r="C159" i="5"/>
  <c r="E8" i="5"/>
  <c r="H8" i="5"/>
  <c r="G158" i="5"/>
  <c r="D143" i="5"/>
  <c r="D8" i="5"/>
  <c r="D9" i="5"/>
  <c r="H118" i="5"/>
  <c r="D153" i="5"/>
  <c r="H123" i="5"/>
  <c r="H143" i="5"/>
  <c r="C144" i="5"/>
  <c r="E133" i="5"/>
  <c r="E134" i="5"/>
  <c r="F139" i="5"/>
  <c r="C8" i="5"/>
  <c r="G8" i="5"/>
  <c r="C9" i="5"/>
  <c r="G9" i="5"/>
  <c r="D124" i="5"/>
  <c r="H128" i="5"/>
  <c r="D129" i="5"/>
  <c r="D133" i="5"/>
  <c r="H133" i="5"/>
  <c r="D134" i="5"/>
  <c r="H134" i="5"/>
  <c r="H148" i="5"/>
  <c r="D149" i="5"/>
  <c r="H149" i="5"/>
  <c r="E128" i="5"/>
  <c r="E148" i="5"/>
  <c r="F8" i="5"/>
  <c r="J8" i="5"/>
  <c r="F9" i="5"/>
  <c r="G124" i="5"/>
  <c r="C133" i="5"/>
  <c r="G133" i="5"/>
  <c r="C134" i="5"/>
  <c r="G134" i="5"/>
  <c r="D139" i="5"/>
  <c r="G148" i="5"/>
  <c r="C149" i="5"/>
  <c r="G149" i="5"/>
  <c r="J153" i="5"/>
  <c r="F154" i="5"/>
  <c r="E149" i="5"/>
  <c r="J128" i="5"/>
  <c r="F133" i="5"/>
  <c r="J133" i="5"/>
  <c r="F148" i="5"/>
  <c r="J148" i="5"/>
  <c r="E34" i="4"/>
  <c r="C34" i="4"/>
  <c r="B34" i="4"/>
  <c r="R33" i="4"/>
  <c r="B33" i="4"/>
  <c r="R32" i="4"/>
  <c r="B32" i="4"/>
  <c r="R31" i="4"/>
  <c r="R30" i="4"/>
  <c r="B30" i="4"/>
  <c r="R29" i="4"/>
  <c r="R28" i="4"/>
  <c r="R27" i="4"/>
  <c r="R26" i="4"/>
  <c r="R25" i="4"/>
  <c r="R24" i="4"/>
  <c r="R23" i="4"/>
  <c r="R22" i="4"/>
  <c r="R21" i="4"/>
  <c r="R20" i="4"/>
  <c r="R19" i="4"/>
  <c r="R18" i="4"/>
  <c r="R17" i="4"/>
  <c r="R16" i="4"/>
  <c r="R15" i="4"/>
  <c r="R14" i="4"/>
  <c r="R13" i="4"/>
  <c r="R12" i="4"/>
  <c r="R11" i="4"/>
  <c r="R10" i="4"/>
  <c r="R9" i="4"/>
  <c r="R8" i="4"/>
  <c r="R7" i="4"/>
  <c r="R6" i="4"/>
  <c r="B30" i="10" l="1"/>
  <c r="AD37" i="13"/>
  <c r="R37" i="13" s="1"/>
  <c r="B21" i="8"/>
  <c r="M39" i="13"/>
  <c r="N39" i="13"/>
  <c r="M36" i="13"/>
  <c r="N36" i="13"/>
  <c r="N32" i="13"/>
  <c r="M32" i="13"/>
  <c r="B26" i="10"/>
  <c r="AD33" i="13"/>
  <c r="R33" i="13" s="1"/>
  <c r="C30" i="10"/>
  <c r="AF36" i="13"/>
  <c r="T36" i="13" s="1"/>
  <c r="C139" i="5"/>
  <c r="F143" i="5"/>
  <c r="D144" i="5"/>
  <c r="C118" i="5"/>
  <c r="G113" i="5"/>
  <c r="F144" i="5"/>
  <c r="F65" i="9"/>
  <c r="T65" i="9" s="1"/>
  <c r="AH65" i="9" s="1"/>
  <c r="E71" i="9"/>
  <c r="S71" i="9" s="1"/>
  <c r="AG71" i="9" s="1"/>
  <c r="N33" i="13"/>
  <c r="M33" i="13"/>
  <c r="M37" i="13"/>
  <c r="N37" i="13"/>
  <c r="Q9" i="8"/>
  <c r="B29" i="10"/>
  <c r="AD36" i="13"/>
  <c r="R36" i="13" s="1"/>
  <c r="E30" i="10"/>
  <c r="AJ34" i="13"/>
  <c r="X34" i="13" s="1"/>
  <c r="E139" i="5"/>
  <c r="C119" i="5"/>
  <c r="G118" i="5"/>
  <c r="G144" i="5"/>
  <c r="G143" i="5"/>
  <c r="E118" i="5"/>
  <c r="N31" i="13"/>
  <c r="M31" i="13"/>
  <c r="M38" i="13"/>
  <c r="N38" i="13"/>
  <c r="M40" i="13"/>
  <c r="N40" i="13"/>
  <c r="B28" i="10"/>
  <c r="AD35" i="13"/>
  <c r="R35" i="13" s="1"/>
  <c r="H139" i="5"/>
  <c r="F118" i="5"/>
  <c r="H144" i="5"/>
  <c r="E144" i="5"/>
  <c r="E143" i="5"/>
  <c r="F119" i="5"/>
  <c r="M34" i="13"/>
  <c r="N34" i="13"/>
  <c r="M35" i="13"/>
  <c r="N35" i="13"/>
  <c r="C108" i="5"/>
  <c r="H109" i="5"/>
  <c r="F109" i="5"/>
  <c r="D108" i="5"/>
  <c r="C9" i="8"/>
  <c r="M7" i="8"/>
  <c r="B72" i="9"/>
  <c r="P72" i="9" s="1"/>
  <c r="AD72" i="9" s="1"/>
  <c r="H67" i="9"/>
  <c r="V67" i="9" s="1"/>
  <c r="AJ67" i="9" s="1"/>
  <c r="K63" i="9"/>
  <c r="Y63" i="9" s="1"/>
  <c r="AM63" i="9" s="1"/>
  <c r="H72" i="9"/>
  <c r="V72" i="9" s="1"/>
  <c r="AJ72" i="9" s="1"/>
  <c r="M64" i="9"/>
  <c r="AA64" i="9" s="1"/>
  <c r="AO64" i="9" s="1"/>
  <c r="F138" i="5"/>
  <c r="C109" i="5"/>
  <c r="E108" i="5"/>
  <c r="G138" i="5"/>
  <c r="D109" i="5"/>
  <c r="H138" i="5"/>
  <c r="E109" i="5"/>
  <c r="E138" i="5"/>
  <c r="G114" i="5"/>
  <c r="D118" i="5"/>
  <c r="G139" i="5"/>
  <c r="F108" i="5"/>
  <c r="C138" i="5"/>
  <c r="G108" i="5"/>
  <c r="G119" i="5"/>
  <c r="H108" i="5"/>
  <c r="E119" i="5"/>
  <c r="H119" i="5"/>
  <c r="D114" i="5"/>
  <c r="G64" i="9"/>
  <c r="U64" i="9" s="1"/>
  <c r="AI64" i="9" s="1"/>
  <c r="E67" i="9"/>
  <c r="S67" i="9" s="1"/>
  <c r="AG67" i="9" s="1"/>
  <c r="D64" i="9"/>
  <c r="R64" i="9" s="1"/>
  <c r="AF64" i="9" s="1"/>
  <c r="J67" i="9"/>
  <c r="X67" i="9" s="1"/>
  <c r="AL67" i="9" s="1"/>
  <c r="J72" i="9"/>
  <c r="X72" i="9" s="1"/>
  <c r="AL72" i="9" s="1"/>
  <c r="G67" i="9"/>
  <c r="U67" i="9" s="1"/>
  <c r="AI67" i="9" s="1"/>
  <c r="M59" i="9"/>
  <c r="AA59" i="9" s="1"/>
  <c r="AO59" i="9" s="1"/>
  <c r="B62" i="9"/>
  <c r="P62" i="9" s="1"/>
  <c r="AD62" i="9" s="1"/>
  <c r="M70" i="9"/>
  <c r="AA70" i="9" s="1"/>
  <c r="AO70" i="9" s="1"/>
  <c r="G71" i="9"/>
  <c r="U71" i="9" s="1"/>
  <c r="AI71" i="9" s="1"/>
  <c r="M8" i="8"/>
  <c r="L67" i="9"/>
  <c r="Z67" i="9" s="1"/>
  <c r="AN67" i="9" s="1"/>
  <c r="I67" i="9"/>
  <c r="W67" i="9" s="1"/>
  <c r="AK67" i="9" s="1"/>
  <c r="I70" i="9"/>
  <c r="W70" i="9" s="1"/>
  <c r="AK70" i="9" s="1"/>
  <c r="M67" i="9"/>
  <c r="AA67" i="9" s="1"/>
  <c r="AO67" i="9" s="1"/>
  <c r="H62" i="9"/>
  <c r="V62" i="9" s="1"/>
  <c r="AJ62" i="9" s="1"/>
  <c r="M71" i="9"/>
  <c r="AA71" i="9" s="1"/>
  <c r="AO71" i="9" s="1"/>
  <c r="E62" i="9"/>
  <c r="S62" i="9" s="1"/>
  <c r="AG62" i="9" s="1"/>
  <c r="N59" i="9"/>
  <c r="AB59" i="9" s="1"/>
  <c r="AP59" i="9" s="1"/>
  <c r="F103" i="5"/>
  <c r="B63" i="9"/>
  <c r="P63" i="9" s="1"/>
  <c r="AD63" i="9" s="1"/>
  <c r="E63" i="9"/>
  <c r="S63" i="9" s="1"/>
  <c r="AG63" i="9" s="1"/>
  <c r="J63" i="9"/>
  <c r="X63" i="9" s="1"/>
  <c r="AL63" i="9" s="1"/>
  <c r="M63" i="9"/>
  <c r="AA63" i="9" s="1"/>
  <c r="AO63" i="9" s="1"/>
  <c r="L62" i="9"/>
  <c r="Z62" i="9" s="1"/>
  <c r="AN62" i="9" s="1"/>
  <c r="F70" i="9"/>
  <c r="T70" i="9" s="1"/>
  <c r="AH70" i="9" s="1"/>
  <c r="E74" i="9"/>
  <c r="S74" i="9" s="1"/>
  <c r="AG74" i="9" s="1"/>
  <c r="D67" i="9"/>
  <c r="R67" i="9" s="1"/>
  <c r="AF67" i="9" s="1"/>
  <c r="L74" i="9"/>
  <c r="Z74" i="9" s="1"/>
  <c r="AN74" i="9" s="1"/>
  <c r="O69" i="9"/>
  <c r="AC69" i="9" s="1"/>
  <c r="AQ69" i="9" s="1"/>
  <c r="L63" i="9"/>
  <c r="Z63" i="9" s="1"/>
  <c r="AN63" i="9" s="1"/>
  <c r="C104" i="5"/>
  <c r="C103" i="5"/>
  <c r="N63" i="9"/>
  <c r="AB63" i="9" s="1"/>
  <c r="AP63" i="9" s="1"/>
  <c r="I62" i="9"/>
  <c r="W62" i="9" s="1"/>
  <c r="AK62" i="9" s="1"/>
  <c r="K67" i="9"/>
  <c r="Y67" i="9" s="1"/>
  <c r="AM67" i="9" s="1"/>
  <c r="C67" i="9"/>
  <c r="Q67" i="9" s="1"/>
  <c r="AE67" i="9" s="1"/>
  <c r="N67" i="9"/>
  <c r="AB67" i="9" s="1"/>
  <c r="AP67" i="9" s="1"/>
  <c r="I63" i="9"/>
  <c r="W63" i="9" s="1"/>
  <c r="AK63" i="9" s="1"/>
  <c r="O63" i="9"/>
  <c r="AC63" i="9" s="1"/>
  <c r="AQ63" i="9" s="1"/>
  <c r="B70" i="9"/>
  <c r="P70" i="9" s="1"/>
  <c r="AD70" i="9" s="1"/>
  <c r="J7" i="8"/>
  <c r="O9" i="8"/>
  <c r="F158" i="5"/>
  <c r="G69" i="9"/>
  <c r="U69" i="9" s="1"/>
  <c r="AI69" i="9" s="1"/>
  <c r="E159" i="5"/>
  <c r="L69" i="9"/>
  <c r="Z69" i="9" s="1"/>
  <c r="AN69" i="9" s="1"/>
  <c r="M65" i="9"/>
  <c r="AA65" i="9" s="1"/>
  <c r="AO65" i="9" s="1"/>
  <c r="M9" i="8"/>
  <c r="F159" i="5"/>
  <c r="D128" i="5"/>
  <c r="E129" i="5"/>
  <c r="E114" i="5"/>
  <c r="F113" i="5"/>
  <c r="I69" i="9"/>
  <c r="W69" i="9" s="1"/>
  <c r="AK69" i="9" s="1"/>
  <c r="G70" i="9"/>
  <c r="U70" i="9" s="1"/>
  <c r="AI70" i="9" s="1"/>
  <c r="C69" i="9"/>
  <c r="Q69" i="9" s="1"/>
  <c r="AE69" i="9" s="1"/>
  <c r="L8" i="8"/>
  <c r="E60" i="9"/>
  <c r="S60" i="9" s="1"/>
  <c r="AG60" i="9" s="1"/>
  <c r="L68" i="9"/>
  <c r="Z68" i="9" s="1"/>
  <c r="AN68" i="9" s="1"/>
  <c r="C158" i="5"/>
  <c r="C113" i="5"/>
  <c r="C114" i="5"/>
  <c r="M69" i="9"/>
  <c r="AA69" i="9" s="1"/>
  <c r="AO69" i="9" s="1"/>
  <c r="G61" i="9"/>
  <c r="U61" i="9" s="1"/>
  <c r="AI61" i="9" s="1"/>
  <c r="G129" i="5"/>
  <c r="G154" i="5"/>
  <c r="G159" i="5"/>
  <c r="H113" i="5"/>
  <c r="D113" i="5"/>
  <c r="H59" i="9"/>
  <c r="V59" i="9" s="1"/>
  <c r="AJ59" i="9" s="1"/>
  <c r="O71" i="9"/>
  <c r="AC71" i="9" s="1"/>
  <c r="AQ71" i="9" s="1"/>
  <c r="N70" i="9"/>
  <c r="AB70" i="9" s="1"/>
  <c r="AP70" i="9" s="1"/>
  <c r="D69" i="9"/>
  <c r="R69" i="9" s="1"/>
  <c r="AF69" i="9" s="1"/>
  <c r="K69" i="9"/>
  <c r="Y69" i="9" s="1"/>
  <c r="AM69" i="9" s="1"/>
  <c r="N69" i="9"/>
  <c r="AB69" i="9" s="1"/>
  <c r="AP69" i="9" s="1"/>
  <c r="D72" i="9"/>
  <c r="R72" i="9" s="1"/>
  <c r="AF72" i="9" s="1"/>
  <c r="L9" i="8"/>
  <c r="E59" i="9"/>
  <c r="S59" i="9" s="1"/>
  <c r="AG59" i="9" s="1"/>
  <c r="E158" i="5"/>
  <c r="L7" i="8"/>
  <c r="E113" i="5"/>
  <c r="B69" i="9"/>
  <c r="P69" i="9" s="1"/>
  <c r="AD69" i="9" s="1"/>
  <c r="E65" i="9"/>
  <c r="S65" i="9" s="1"/>
  <c r="AG65" i="9" s="1"/>
  <c r="C129" i="5"/>
  <c r="C154" i="5"/>
  <c r="H159" i="5"/>
  <c r="H158" i="5"/>
  <c r="H114" i="5"/>
  <c r="J69" i="9"/>
  <c r="X69" i="9" s="1"/>
  <c r="AL69" i="9" s="1"/>
  <c r="I59" i="9"/>
  <c r="W59" i="9" s="1"/>
  <c r="AK59" i="9" s="1"/>
  <c r="M62" i="9"/>
  <c r="AA62" i="9" s="1"/>
  <c r="AO62" i="9" s="1"/>
  <c r="K70" i="9"/>
  <c r="Y70" i="9" s="1"/>
  <c r="AM70" i="9" s="1"/>
  <c r="Q8" i="8"/>
  <c r="Q7" i="8"/>
  <c r="F59" i="9"/>
  <c r="T59" i="9" s="1"/>
  <c r="AH59" i="9" s="1"/>
  <c r="F69" i="9"/>
  <c r="T69" i="9" s="1"/>
  <c r="AH69" i="9" s="1"/>
  <c r="G128" i="5"/>
  <c r="G153" i="5"/>
  <c r="D158" i="5"/>
  <c r="Q20" i="8"/>
  <c r="Q21" i="8" s="1"/>
  <c r="D71" i="9"/>
  <c r="R71" i="9" s="1"/>
  <c r="AF71" i="9" s="1"/>
  <c r="K62" i="9"/>
  <c r="Y62" i="9" s="1"/>
  <c r="AM62" i="9" s="1"/>
  <c r="O8" i="8"/>
  <c r="H7" i="8"/>
  <c r="K13" i="8"/>
  <c r="K15" i="8" s="1"/>
  <c r="K21" i="8"/>
  <c r="F128" i="5"/>
  <c r="F153" i="5"/>
  <c r="C148" i="5"/>
  <c r="C128" i="5"/>
  <c r="G104" i="5"/>
  <c r="C153" i="5"/>
  <c r="D148" i="5"/>
  <c r="H129" i="5"/>
  <c r="H124" i="5"/>
  <c r="G103" i="5"/>
  <c r="D123" i="5"/>
  <c r="D154" i="5"/>
  <c r="D103" i="5"/>
  <c r="H103" i="5"/>
  <c r="H154" i="5"/>
  <c r="M20" i="8"/>
  <c r="M21" i="8" s="1"/>
  <c r="H70" i="9"/>
  <c r="V70" i="9" s="1"/>
  <c r="AJ70" i="9" s="1"/>
  <c r="E70" i="9"/>
  <c r="S70" i="9" s="1"/>
  <c r="AG70" i="9" s="1"/>
  <c r="B61" i="9"/>
  <c r="P61" i="9" s="1"/>
  <c r="AD61" i="9" s="1"/>
  <c r="G63" i="9"/>
  <c r="U63" i="9" s="1"/>
  <c r="AI63" i="9" s="1"/>
  <c r="F66" i="9"/>
  <c r="T66" i="9" s="1"/>
  <c r="AH66" i="9" s="1"/>
  <c r="D63" i="9"/>
  <c r="R63" i="9" s="1"/>
  <c r="AF63" i="9" s="1"/>
  <c r="H63" i="9"/>
  <c r="V63" i="9" s="1"/>
  <c r="AJ63" i="9" s="1"/>
  <c r="O70" i="9"/>
  <c r="AC70" i="9" s="1"/>
  <c r="AQ70" i="9" s="1"/>
  <c r="C63" i="9"/>
  <c r="Q63" i="9" s="1"/>
  <c r="AE63" i="9" s="1"/>
  <c r="C70" i="9"/>
  <c r="Q70" i="9" s="1"/>
  <c r="AE70" i="9" s="1"/>
  <c r="D70" i="9"/>
  <c r="R70" i="9" s="1"/>
  <c r="AF70" i="9" s="1"/>
  <c r="C8" i="8"/>
  <c r="J66" i="9"/>
  <c r="X66" i="9" s="1"/>
  <c r="AL66" i="9" s="1"/>
  <c r="F123" i="5"/>
  <c r="C123" i="5"/>
  <c r="D104" i="5"/>
  <c r="E124" i="5"/>
  <c r="E104" i="5"/>
  <c r="H153" i="5"/>
  <c r="E103" i="5"/>
  <c r="E153" i="5"/>
  <c r="D62" i="9"/>
  <c r="R62" i="9" s="1"/>
  <c r="AF62" i="9" s="1"/>
  <c r="I65" i="9"/>
  <c r="W65" i="9" s="1"/>
  <c r="AK65" i="9" s="1"/>
  <c r="F71" i="9"/>
  <c r="T71" i="9" s="1"/>
  <c r="AH71" i="9" s="1"/>
  <c r="B65" i="9"/>
  <c r="P65" i="9" s="1"/>
  <c r="AD65" i="9" s="1"/>
  <c r="N71" i="9"/>
  <c r="AB71" i="9" s="1"/>
  <c r="AP71" i="9" s="1"/>
  <c r="N62" i="9"/>
  <c r="AB62" i="9" s="1"/>
  <c r="AP62" i="9" s="1"/>
  <c r="C61" i="9"/>
  <c r="Q61" i="9" s="1"/>
  <c r="AE61" i="9" s="1"/>
  <c r="D65" i="9"/>
  <c r="R65" i="9" s="1"/>
  <c r="AF65" i="9" s="1"/>
  <c r="L70" i="9"/>
  <c r="Z70" i="9" s="1"/>
  <c r="AN70" i="9" s="1"/>
  <c r="F62" i="9"/>
  <c r="T62" i="9" s="1"/>
  <c r="AH62" i="9" s="1"/>
  <c r="C71" i="9"/>
  <c r="Q71" i="9" s="1"/>
  <c r="AE71" i="9" s="1"/>
  <c r="H66" i="9"/>
  <c r="V66" i="9" s="1"/>
  <c r="AJ66" i="9" s="1"/>
  <c r="J62" i="9"/>
  <c r="X62" i="9" s="1"/>
  <c r="AL62" i="9" s="1"/>
  <c r="K71" i="9"/>
  <c r="Y71" i="9" s="1"/>
  <c r="AM71" i="9" s="1"/>
  <c r="L61" i="9"/>
  <c r="Z61" i="9" s="1"/>
  <c r="AN61" i="9" s="1"/>
  <c r="H71" i="9"/>
  <c r="V71" i="9" s="1"/>
  <c r="AJ71" i="9" s="1"/>
  <c r="C62" i="9"/>
  <c r="Q62" i="9" s="1"/>
  <c r="AE62" i="9" s="1"/>
  <c r="B71" i="9"/>
  <c r="P71" i="9" s="1"/>
  <c r="AD71" i="9" s="1"/>
  <c r="C7" i="8"/>
  <c r="J9" i="8"/>
  <c r="C124" i="5"/>
  <c r="G123" i="5"/>
  <c r="H104" i="5"/>
  <c r="O62" i="9"/>
  <c r="AC62" i="9" s="1"/>
  <c r="AQ62" i="9" s="1"/>
  <c r="N65" i="9"/>
  <c r="AB65" i="9" s="1"/>
  <c r="AP65" i="9" s="1"/>
  <c r="G62" i="9"/>
  <c r="U62" i="9" s="1"/>
  <c r="AI62" i="9" s="1"/>
  <c r="I71" i="9"/>
  <c r="W71" i="9" s="1"/>
  <c r="AK71" i="9" s="1"/>
  <c r="J70" i="9"/>
  <c r="X70" i="9" s="1"/>
  <c r="AL70" i="9" s="1"/>
  <c r="D61" i="9"/>
  <c r="R61" i="9" s="1"/>
  <c r="AF61" i="9" s="1"/>
  <c r="N61" i="9"/>
  <c r="AB61" i="9" s="1"/>
  <c r="AP61" i="9" s="1"/>
  <c r="F61" i="9"/>
  <c r="T61" i="9" s="1"/>
  <c r="AH61" i="9" s="1"/>
  <c r="J61" i="9"/>
  <c r="X61" i="9" s="1"/>
  <c r="AL61" i="9" s="1"/>
  <c r="H61" i="9"/>
  <c r="V61" i="9" s="1"/>
  <c r="AJ61" i="9" s="1"/>
  <c r="N8" i="8"/>
  <c r="I8" i="8"/>
  <c r="O7" i="8"/>
  <c r="P21" i="8"/>
  <c r="AD23" i="4"/>
  <c r="AB23" i="4"/>
  <c r="AE23" i="4"/>
  <c r="AC23" i="4"/>
  <c r="AB18" i="4"/>
  <c r="AE18" i="4"/>
  <c r="AD18" i="4"/>
  <c r="AC18" i="4"/>
  <c r="AD32" i="4"/>
  <c r="AE32" i="4"/>
  <c r="AC32" i="4"/>
  <c r="AB32" i="4"/>
  <c r="AD11" i="4"/>
  <c r="AE11" i="4"/>
  <c r="AB11" i="4"/>
  <c r="AC11" i="4"/>
  <c r="AD27" i="4"/>
  <c r="AC27" i="4"/>
  <c r="AB27" i="4"/>
  <c r="AE27" i="4"/>
  <c r="I74" i="9"/>
  <c r="W74" i="9" s="1"/>
  <c r="AK74" i="9" s="1"/>
  <c r="G66" i="9"/>
  <c r="U66" i="9" s="1"/>
  <c r="AI66" i="9" s="1"/>
  <c r="L66" i="9"/>
  <c r="Z66" i="9" s="1"/>
  <c r="AN66" i="9" s="1"/>
  <c r="C74" i="9"/>
  <c r="Q74" i="9" s="1"/>
  <c r="AE74" i="9" s="1"/>
  <c r="I9" i="8"/>
  <c r="H8" i="8"/>
  <c r="N9" i="8"/>
  <c r="AD12" i="4"/>
  <c r="AE12" i="4"/>
  <c r="AC12" i="4"/>
  <c r="AB12" i="4"/>
  <c r="AC20" i="4"/>
  <c r="AB20" i="4"/>
  <c r="AE20" i="4"/>
  <c r="AD20" i="4"/>
  <c r="AD28" i="4"/>
  <c r="AC28" i="4"/>
  <c r="AE28" i="4"/>
  <c r="AB28" i="4"/>
  <c r="AD33" i="4"/>
  <c r="AC33" i="4"/>
  <c r="AE33" i="4"/>
  <c r="AB33" i="4"/>
  <c r="J60" i="9"/>
  <c r="X60" i="9" s="1"/>
  <c r="AL60" i="9" s="1"/>
  <c r="K61" i="9"/>
  <c r="Y61" i="9" s="1"/>
  <c r="AM61" i="9" s="1"/>
  <c r="M68" i="9"/>
  <c r="AA68" i="9" s="1"/>
  <c r="AO68" i="9" s="1"/>
  <c r="B60" i="9"/>
  <c r="P60" i="9" s="1"/>
  <c r="AD60" i="9" s="1"/>
  <c r="J71" i="9"/>
  <c r="X71" i="9" s="1"/>
  <c r="AL71" i="9" s="1"/>
  <c r="L71" i="9"/>
  <c r="Z71" i="9" s="1"/>
  <c r="AN71" i="9" s="1"/>
  <c r="C64" i="9"/>
  <c r="Q64" i="9" s="1"/>
  <c r="AE64" i="9" s="1"/>
  <c r="K59" i="9"/>
  <c r="Y59" i="9" s="1"/>
  <c r="AM59" i="9" s="1"/>
  <c r="J59" i="9"/>
  <c r="X59" i="9" s="1"/>
  <c r="AL59" i="9" s="1"/>
  <c r="N60" i="9"/>
  <c r="AB60" i="9" s="1"/>
  <c r="AP60" i="9" s="1"/>
  <c r="J65" i="9"/>
  <c r="X65" i="9" s="1"/>
  <c r="AL65" i="9" s="1"/>
  <c r="K66" i="9"/>
  <c r="Y66" i="9" s="1"/>
  <c r="AM66" i="9" s="1"/>
  <c r="C59" i="9"/>
  <c r="Q59" i="9" s="1"/>
  <c r="AE59" i="9" s="1"/>
  <c r="N64" i="9"/>
  <c r="AB64" i="9" s="1"/>
  <c r="AP64" i="9" s="1"/>
  <c r="C66" i="9"/>
  <c r="Q66" i="9" s="1"/>
  <c r="AE66" i="9" s="1"/>
  <c r="H74" i="9"/>
  <c r="V74" i="9" s="1"/>
  <c r="AJ74" i="9" s="1"/>
  <c r="B64" i="9"/>
  <c r="P64" i="9" s="1"/>
  <c r="AD64" i="9" s="1"/>
  <c r="N74" i="9"/>
  <c r="AB74" i="9" s="1"/>
  <c r="AP74" i="9" s="1"/>
  <c r="F60" i="9"/>
  <c r="T60" i="9" s="1"/>
  <c r="AH60" i="9" s="1"/>
  <c r="AD31" i="9"/>
  <c r="G7" i="8"/>
  <c r="G9" i="8"/>
  <c r="G8" i="8"/>
  <c r="D8" i="8"/>
  <c r="E9" i="8"/>
  <c r="AD6" i="4"/>
  <c r="AE6" i="4"/>
  <c r="AC6" i="4"/>
  <c r="AB22" i="4"/>
  <c r="AC22" i="4"/>
  <c r="AE22" i="4"/>
  <c r="AD22" i="4"/>
  <c r="AC15" i="4"/>
  <c r="AB15" i="4"/>
  <c r="AE15" i="4"/>
  <c r="AD15" i="4"/>
  <c r="C60" i="9"/>
  <c r="Q60" i="9" s="1"/>
  <c r="AE60" i="9" s="1"/>
  <c r="AD10" i="4"/>
  <c r="AE10" i="4"/>
  <c r="AB10" i="4"/>
  <c r="AC10" i="4"/>
  <c r="AB26" i="4"/>
  <c r="AE26" i="4"/>
  <c r="AC26" i="4"/>
  <c r="AD26" i="4"/>
  <c r="I60" i="9"/>
  <c r="W60" i="9" s="1"/>
  <c r="AK60" i="9" s="1"/>
  <c r="E68" i="9"/>
  <c r="S68" i="9" s="1"/>
  <c r="AG68" i="9" s="1"/>
  <c r="G68" i="9"/>
  <c r="U68" i="9" s="1"/>
  <c r="AI68" i="9" s="1"/>
  <c r="G59" i="9"/>
  <c r="U59" i="9" s="1"/>
  <c r="AI59" i="9" s="1"/>
  <c r="F64" i="9"/>
  <c r="T64" i="9" s="1"/>
  <c r="AH64" i="9" s="1"/>
  <c r="E66" i="9"/>
  <c r="S66" i="9" s="1"/>
  <c r="AG66" i="9" s="1"/>
  <c r="E8" i="8"/>
  <c r="AC19" i="4"/>
  <c r="AB19" i="4"/>
  <c r="AD19" i="4"/>
  <c r="AE19" i="4"/>
  <c r="K60" i="9"/>
  <c r="Y60" i="9" s="1"/>
  <c r="AM60" i="9" s="1"/>
  <c r="O60" i="9"/>
  <c r="AC60" i="9" s="1"/>
  <c r="AQ60" i="9" s="1"/>
  <c r="G65" i="9"/>
  <c r="U65" i="9" s="1"/>
  <c r="AI65" i="9" s="1"/>
  <c r="J64" i="9"/>
  <c r="X64" i="9" s="1"/>
  <c r="AL64" i="9" s="1"/>
  <c r="L65" i="9"/>
  <c r="Z65" i="9" s="1"/>
  <c r="AN65" i="9" s="1"/>
  <c r="J8" i="8"/>
  <c r="AD26" i="9"/>
  <c r="P7" i="8"/>
  <c r="P8" i="8"/>
  <c r="F9" i="8"/>
  <c r="F8" i="8"/>
  <c r="P9" i="8"/>
  <c r="F7" i="8"/>
  <c r="AC13" i="4"/>
  <c r="AD13" i="4"/>
  <c r="AB13" i="4"/>
  <c r="AE13" i="4"/>
  <c r="AE21" i="4"/>
  <c r="AC21" i="4"/>
  <c r="AB21" i="4"/>
  <c r="AD21" i="4"/>
  <c r="AD29" i="4"/>
  <c r="AE29" i="4"/>
  <c r="AB29" i="4"/>
  <c r="AC29" i="4"/>
  <c r="H64" i="9"/>
  <c r="V64" i="9" s="1"/>
  <c r="AJ64" i="9" s="1"/>
  <c r="E61" i="9"/>
  <c r="S61" i="9" s="1"/>
  <c r="AG61" i="9" s="1"/>
  <c r="L59" i="9"/>
  <c r="Z59" i="9" s="1"/>
  <c r="AN59" i="9" s="1"/>
  <c r="E64" i="9"/>
  <c r="S64" i="9" s="1"/>
  <c r="AG64" i="9" s="1"/>
  <c r="M74" i="9"/>
  <c r="AA74" i="9" s="1"/>
  <c r="AO74" i="9" s="1"/>
  <c r="O66" i="9"/>
  <c r="AC66" i="9" s="1"/>
  <c r="AQ66" i="9" s="1"/>
  <c r="B68" i="9"/>
  <c r="P68" i="9" s="1"/>
  <c r="AD68" i="9" s="1"/>
  <c r="L60" i="9"/>
  <c r="Z60" i="9" s="1"/>
  <c r="AN60" i="9" s="1"/>
  <c r="D59" i="9"/>
  <c r="R59" i="9" s="1"/>
  <c r="AF59" i="9" s="1"/>
  <c r="C68" i="9"/>
  <c r="Q68" i="9" s="1"/>
  <c r="AE68" i="9" s="1"/>
  <c r="O59" i="9"/>
  <c r="AC59" i="9" s="1"/>
  <c r="AQ59" i="9" s="1"/>
  <c r="I61" i="9"/>
  <c r="W61" i="9" s="1"/>
  <c r="AK61" i="9" s="1"/>
  <c r="D60" i="9"/>
  <c r="R60" i="9" s="1"/>
  <c r="AF60" i="9" s="1"/>
  <c r="I64" i="9"/>
  <c r="W64" i="9" s="1"/>
  <c r="AK64" i="9" s="1"/>
  <c r="N66" i="9"/>
  <c r="AB66" i="9" s="1"/>
  <c r="AP66" i="9" s="1"/>
  <c r="B59" i="9"/>
  <c r="P59" i="9" s="1"/>
  <c r="AD59" i="9" s="1"/>
  <c r="D9" i="8"/>
  <c r="AD14" i="4"/>
  <c r="AE14" i="4"/>
  <c r="AB14" i="4"/>
  <c r="AC14" i="4"/>
  <c r="AE7" i="4"/>
  <c r="AC7" i="4"/>
  <c r="AB7" i="4"/>
  <c r="AD7" i="4"/>
  <c r="AD30" i="4"/>
  <c r="AE30" i="4"/>
  <c r="AB30" i="4"/>
  <c r="AC30" i="4"/>
  <c r="H68" i="9"/>
  <c r="V68" i="9" s="1"/>
  <c r="AJ68" i="9" s="1"/>
  <c r="D66" i="9"/>
  <c r="R66" i="9" s="1"/>
  <c r="AF66" i="9" s="1"/>
  <c r="F68" i="9"/>
  <c r="T68" i="9" s="1"/>
  <c r="AH68" i="9" s="1"/>
  <c r="I68" i="9"/>
  <c r="W68" i="9" s="1"/>
  <c r="AK68" i="9" s="1"/>
  <c r="M60" i="9"/>
  <c r="AA60" i="9" s="1"/>
  <c r="AO60" i="9" s="1"/>
  <c r="H60" i="9"/>
  <c r="V60" i="9" s="1"/>
  <c r="AJ60" i="9" s="1"/>
  <c r="D68" i="9"/>
  <c r="R68" i="9" s="1"/>
  <c r="AF68" i="9" s="1"/>
  <c r="E7" i="8"/>
  <c r="AC8" i="4"/>
  <c r="AE8" i="4"/>
  <c r="AD8" i="4"/>
  <c r="AB8" i="4"/>
  <c r="AD16" i="4"/>
  <c r="AE16" i="4"/>
  <c r="AB16" i="4"/>
  <c r="AC16" i="4"/>
  <c r="AD24" i="4"/>
  <c r="AC24" i="4"/>
  <c r="AE24" i="4"/>
  <c r="AB24" i="4"/>
  <c r="AB31" i="4"/>
  <c r="AD31" i="4"/>
  <c r="AE31" i="4"/>
  <c r="AC31" i="4"/>
  <c r="M66" i="9"/>
  <c r="AA66" i="9" s="1"/>
  <c r="AO66" i="9" s="1"/>
  <c r="G60" i="9"/>
  <c r="U60" i="9" s="1"/>
  <c r="AI60" i="9" s="1"/>
  <c r="N68" i="9"/>
  <c r="AB68" i="9" s="1"/>
  <c r="AP68" i="9" s="1"/>
  <c r="J68" i="9"/>
  <c r="X68" i="9" s="1"/>
  <c r="AL68" i="9" s="1"/>
  <c r="B66" i="9"/>
  <c r="P66" i="9" s="1"/>
  <c r="AD66" i="9" s="1"/>
  <c r="O68" i="9"/>
  <c r="AC68" i="9" s="1"/>
  <c r="AQ68" i="9" s="1"/>
  <c r="C65" i="9"/>
  <c r="Q65" i="9" s="1"/>
  <c r="AE65" i="9" s="1"/>
  <c r="J74" i="9"/>
  <c r="X74" i="9" s="1"/>
  <c r="AL74" i="9" s="1"/>
  <c r="F74" i="9"/>
  <c r="T74" i="9" s="1"/>
  <c r="AH74" i="9" s="1"/>
  <c r="K74" i="9"/>
  <c r="Y74" i="9" s="1"/>
  <c r="AM74" i="9" s="1"/>
  <c r="O65" i="9"/>
  <c r="AC65" i="9" s="1"/>
  <c r="AQ65" i="9" s="1"/>
  <c r="H9" i="8"/>
  <c r="I7" i="8"/>
  <c r="N7" i="8"/>
  <c r="AC9" i="4"/>
  <c r="AE9" i="4"/>
  <c r="AD9" i="4"/>
  <c r="AB9" i="4"/>
  <c r="AE17" i="4"/>
  <c r="AD17" i="4"/>
  <c r="AB17" i="4"/>
  <c r="AC17" i="4"/>
  <c r="AE25" i="4"/>
  <c r="AC25" i="4"/>
  <c r="AD25" i="4"/>
  <c r="AB25" i="4"/>
  <c r="L64" i="9"/>
  <c r="Z64" i="9" s="1"/>
  <c r="AN64" i="9" s="1"/>
  <c r="K68" i="9"/>
  <c r="Y68" i="9" s="1"/>
  <c r="AM68" i="9" s="1"/>
  <c r="B74" i="9"/>
  <c r="P74" i="9" s="1"/>
  <c r="AD74" i="9" s="1"/>
  <c r="O64" i="9"/>
  <c r="AC64" i="9" s="1"/>
  <c r="AQ64" i="9" s="1"/>
  <c r="H65" i="9"/>
  <c r="V65" i="9" s="1"/>
  <c r="AJ65" i="9" s="1"/>
  <c r="K65" i="9"/>
  <c r="Y65" i="9" s="1"/>
  <c r="AM65" i="9" s="1"/>
  <c r="D74" i="9"/>
  <c r="R74" i="9" s="1"/>
  <c r="AF74" i="9" s="1"/>
  <c r="O61" i="9"/>
  <c r="AC61" i="9" s="1"/>
  <c r="AQ61" i="9" s="1"/>
  <c r="B8" i="8"/>
  <c r="B9" i="8"/>
  <c r="B7" i="8"/>
  <c r="D7" i="8"/>
  <c r="L21" i="8"/>
  <c r="N21" i="8"/>
  <c r="E21" i="8"/>
  <c r="D21" i="8"/>
  <c r="J21" i="8"/>
  <c r="H21" i="8"/>
  <c r="F21" i="8"/>
  <c r="C21" i="8"/>
  <c r="I21" i="8"/>
  <c r="M14" i="8"/>
  <c r="L14" i="8"/>
  <c r="J14" i="8"/>
  <c r="E14" i="8"/>
  <c r="N14" i="8"/>
  <c r="F14" i="8"/>
  <c r="E152" i="5"/>
  <c r="H152" i="5"/>
  <c r="H157" i="5"/>
  <c r="J158" i="5"/>
  <c r="J143" i="5"/>
  <c r="H127" i="5"/>
  <c r="F147" i="5"/>
  <c r="H137" i="5"/>
  <c r="H142" i="5"/>
  <c r="C147" i="5"/>
  <c r="J138" i="5"/>
  <c r="H132" i="5"/>
  <c r="H112" i="5"/>
  <c r="J113" i="5"/>
  <c r="J108" i="5"/>
  <c r="J123" i="5"/>
  <c r="H117" i="5"/>
  <c r="H107" i="5"/>
  <c r="J118" i="5"/>
  <c r="H122" i="5"/>
  <c r="H102" i="5"/>
  <c r="J103" i="5"/>
  <c r="H7" i="5"/>
  <c r="D27" i="4"/>
  <c r="B27" i="4"/>
  <c r="E28" i="4"/>
  <c r="E30" i="4"/>
  <c r="D6" i="4"/>
  <c r="D2" i="10" s="1"/>
  <c r="J2" i="10" s="1"/>
  <c r="B31" i="4"/>
  <c r="E6" i="4"/>
  <c r="E2" i="10" s="1"/>
  <c r="K2" i="10" s="1"/>
  <c r="B28" i="4"/>
  <c r="H120" i="6"/>
  <c r="I121" i="6"/>
  <c r="X6" i="4"/>
  <c r="B6" i="4" s="1"/>
  <c r="B2" i="10" s="1"/>
  <c r="H2" i="10" s="1"/>
  <c r="B89" i="6"/>
  <c r="AF88" i="6" s="1"/>
  <c r="AE88" i="6" s="1"/>
  <c r="C90" i="6"/>
  <c r="E88" i="6"/>
  <c r="F89" i="6"/>
  <c r="D35" i="4"/>
  <c r="D14" i="8"/>
  <c r="C14" i="8"/>
  <c r="B14" i="8" s="1"/>
  <c r="I14" i="8"/>
  <c r="H14" i="8"/>
  <c r="P13" i="8"/>
  <c r="F13" i="8"/>
  <c r="AB119" i="6"/>
  <c r="AC120" i="6"/>
  <c r="C35" i="4"/>
  <c r="D13" i="8"/>
  <c r="H13" i="8"/>
  <c r="C13" i="8"/>
  <c r="I13" i="8"/>
  <c r="E13" i="8"/>
  <c r="N13" i="8"/>
  <c r="P14" i="8"/>
  <c r="O14" i="8" s="1"/>
  <c r="X141" i="6"/>
  <c r="Y142" i="6"/>
  <c r="B35" i="4"/>
  <c r="M13" i="8"/>
  <c r="M15" i="8" s="1"/>
  <c r="J26" i="13" s="1"/>
  <c r="Q13" i="8"/>
  <c r="Q15" i="8" s="1"/>
  <c r="J30" i="13" s="1"/>
  <c r="L13" i="8"/>
  <c r="I98" i="2"/>
  <c r="U11" i="10" s="1"/>
  <c r="C31" i="10" l="1"/>
  <c r="AF37" i="13"/>
  <c r="D31" i="10"/>
  <c r="AH36" i="13"/>
  <c r="B24" i="10"/>
  <c r="AD31" i="13"/>
  <c r="R31" i="13" s="1"/>
  <c r="E26" i="10"/>
  <c r="AJ30" i="13"/>
  <c r="X30" i="13" s="1"/>
  <c r="AR72" i="9"/>
  <c r="BB34" i="9" s="1"/>
  <c r="B17" i="8" s="1"/>
  <c r="B22" i="8" s="1"/>
  <c r="D23" i="10"/>
  <c r="AH28" i="13"/>
  <c r="V28" i="13" s="1"/>
  <c r="B31" i="10"/>
  <c r="AD38" i="13"/>
  <c r="E24" i="10"/>
  <c r="AJ28" i="13"/>
  <c r="X28" i="13" s="1"/>
  <c r="B27" i="10"/>
  <c r="AD34" i="13"/>
  <c r="R34" i="13" s="1"/>
  <c r="B23" i="10"/>
  <c r="AD30" i="13"/>
  <c r="R30" i="13" s="1"/>
  <c r="P26" i="13"/>
  <c r="O60" i="13" s="1"/>
  <c r="L26" i="13"/>
  <c r="J24" i="3"/>
  <c r="J24" i="13"/>
  <c r="P30" i="13"/>
  <c r="L30" i="13"/>
  <c r="T14" i="10"/>
  <c r="AR66" i="9"/>
  <c r="BB28" i="9" s="1"/>
  <c r="AR67" i="9"/>
  <c r="BB29" i="9" s="1"/>
  <c r="AR65" i="9"/>
  <c r="BB27" i="9" s="1"/>
  <c r="L17" i="8" s="1"/>
  <c r="AR69" i="9"/>
  <c r="BB31" i="9" s="1"/>
  <c r="G17" i="8" s="1"/>
  <c r="AR61" i="9"/>
  <c r="BB23" i="9" s="1"/>
  <c r="AR71" i="9"/>
  <c r="BB33" i="9" s="1"/>
  <c r="AR62" i="9"/>
  <c r="BB24" i="9" s="1"/>
  <c r="I17" i="8" s="1"/>
  <c r="AR64" i="9"/>
  <c r="BB26" i="9" s="1"/>
  <c r="F17" i="8" s="1"/>
  <c r="AR63" i="9"/>
  <c r="BB25" i="9" s="1"/>
  <c r="O17" i="8" s="1"/>
  <c r="O22" i="8" s="1"/>
  <c r="AR70" i="9"/>
  <c r="BB32" i="9" s="1"/>
  <c r="AR74" i="9"/>
  <c r="AY13" i="9" s="1"/>
  <c r="K17" i="8" s="1"/>
  <c r="K22" i="8" s="1"/>
  <c r="K27" i="8" s="1"/>
  <c r="K24" i="3" s="1"/>
  <c r="AR60" i="9"/>
  <c r="BB22" i="9" s="1"/>
  <c r="N17" i="8" s="1"/>
  <c r="AR68" i="9"/>
  <c r="BB30" i="9" s="1"/>
  <c r="AR59" i="9"/>
  <c r="D15" i="8"/>
  <c r="J15" i="13" s="1"/>
  <c r="L15" i="8"/>
  <c r="J25" i="13" s="1"/>
  <c r="F15" i="8"/>
  <c r="J17" i="13" s="1"/>
  <c r="I15" i="8"/>
  <c r="J20" i="13" s="1"/>
  <c r="P20" i="13" s="1"/>
  <c r="O54" i="13" s="1"/>
  <c r="P15" i="8"/>
  <c r="J29" i="13" s="1"/>
  <c r="N15" i="8"/>
  <c r="J27" i="13" s="1"/>
  <c r="E15" i="8"/>
  <c r="J16" i="13" s="1"/>
  <c r="B13" i="8"/>
  <c r="B15" i="8" s="1"/>
  <c r="C15" i="8"/>
  <c r="H15" i="8"/>
  <c r="J19" i="13" s="1"/>
  <c r="AS70" i="9"/>
  <c r="BD32" i="9" s="1"/>
  <c r="BE32" i="9" s="1"/>
  <c r="AS66" i="9"/>
  <c r="BD28" i="9" s="1"/>
  <c r="BE28" i="9" s="1"/>
  <c r="G13" i="8"/>
  <c r="G15" i="8" s="1"/>
  <c r="J18" i="13" s="1"/>
  <c r="O13" i="8"/>
  <c r="O15" i="8" s="1"/>
  <c r="J28" i="13" s="1"/>
  <c r="J13" i="8"/>
  <c r="J15" i="8" s="1"/>
  <c r="J21" i="13" s="1"/>
  <c r="D152" i="5"/>
  <c r="G157" i="5"/>
  <c r="G152" i="5"/>
  <c r="G132" i="5"/>
  <c r="G137" i="5"/>
  <c r="G127" i="5"/>
  <c r="E147" i="5"/>
  <c r="G142" i="5"/>
  <c r="G122" i="5"/>
  <c r="G107" i="5"/>
  <c r="G117" i="5"/>
  <c r="G112" i="5"/>
  <c r="G102" i="5"/>
  <c r="G7" i="5"/>
  <c r="D34" i="4"/>
  <c r="AH35" i="13" s="1"/>
  <c r="V35" i="13" s="1"/>
  <c r="C32" i="4"/>
  <c r="B29" i="4"/>
  <c r="AB6" i="4"/>
  <c r="C6" i="4"/>
  <c r="C2" i="10" s="1"/>
  <c r="I2" i="10" s="1"/>
  <c r="H121" i="6"/>
  <c r="I122" i="6"/>
  <c r="E89" i="6"/>
  <c r="F90" i="6"/>
  <c r="C26" i="4"/>
  <c r="X142" i="6"/>
  <c r="Y143" i="6"/>
  <c r="C33" i="4"/>
  <c r="E27" i="4"/>
  <c r="C31" i="4"/>
  <c r="C30" i="4"/>
  <c r="E31" i="4"/>
  <c r="D33" i="4"/>
  <c r="C25" i="4"/>
  <c r="AB120" i="6"/>
  <c r="AC121" i="6"/>
  <c r="B90" i="6"/>
  <c r="AF89" i="6" s="1"/>
  <c r="AE89" i="6" s="1"/>
  <c r="C91" i="6"/>
  <c r="C27" i="4"/>
  <c r="D30" i="4"/>
  <c r="D28" i="4"/>
  <c r="D32" i="4"/>
  <c r="B25" i="4"/>
  <c r="C28" i="4"/>
  <c r="C29" i="4"/>
  <c r="E35" i="4"/>
  <c r="AJ35" i="13" s="1"/>
  <c r="D24" i="10" l="1"/>
  <c r="AH29" i="13"/>
  <c r="V29" i="13" s="1"/>
  <c r="C25" i="10"/>
  <c r="AF31" i="13"/>
  <c r="T31" i="13" s="1"/>
  <c r="D29" i="10"/>
  <c r="AH34" i="13"/>
  <c r="V34" i="13" s="1"/>
  <c r="C22" i="10"/>
  <c r="AF28" i="13"/>
  <c r="T28" i="13" s="1"/>
  <c r="C28" i="10"/>
  <c r="AF34" i="13"/>
  <c r="T34" i="13" s="1"/>
  <c r="Y34" i="13"/>
  <c r="D26" i="10"/>
  <c r="AH31" i="13"/>
  <c r="V31" i="13" s="1"/>
  <c r="E27" i="10"/>
  <c r="AJ31" i="13"/>
  <c r="X31" i="13" s="1"/>
  <c r="AS67" i="9"/>
  <c r="BD29" i="9" s="1"/>
  <c r="BE29" i="9" s="1"/>
  <c r="B21" i="10"/>
  <c r="AD28" i="13"/>
  <c r="R28" i="13" s="1"/>
  <c r="Y28" i="13" s="1"/>
  <c r="C23" i="10"/>
  <c r="AF29" i="13"/>
  <c r="T29" i="13" s="1"/>
  <c r="C26" i="10"/>
  <c r="AF32" i="13"/>
  <c r="T32" i="13" s="1"/>
  <c r="AB61" i="13"/>
  <c r="Y31" i="13"/>
  <c r="E23" i="10"/>
  <c r="AJ27" i="13"/>
  <c r="X27" i="13" s="1"/>
  <c r="J17" i="8"/>
  <c r="BB21" i="9"/>
  <c r="C24" i="10"/>
  <c r="AF30" i="13"/>
  <c r="T30" i="13" s="1"/>
  <c r="C29" i="10"/>
  <c r="AF35" i="13"/>
  <c r="T35" i="13" s="1"/>
  <c r="D28" i="10"/>
  <c r="AH33" i="13"/>
  <c r="V33" i="13" s="1"/>
  <c r="C21" i="10"/>
  <c r="AF27" i="13"/>
  <c r="T27" i="13" s="1"/>
  <c r="C27" i="10"/>
  <c r="AF33" i="13"/>
  <c r="T33" i="13" s="1"/>
  <c r="B25" i="10"/>
  <c r="AD32" i="13"/>
  <c r="R32" i="13" s="1"/>
  <c r="P25" i="13"/>
  <c r="O59" i="13" s="1"/>
  <c r="L25" i="13"/>
  <c r="J14" i="3"/>
  <c r="T4" i="10" s="1"/>
  <c r="J14" i="13"/>
  <c r="P14" i="13" s="1"/>
  <c r="O48" i="13" s="1"/>
  <c r="P15" i="13"/>
  <c r="O49" i="13" s="1"/>
  <c r="L15" i="13"/>
  <c r="L21" i="13"/>
  <c r="P21" i="13"/>
  <c r="O55" i="13" s="1"/>
  <c r="B23" i="8"/>
  <c r="B24" i="8"/>
  <c r="J13" i="13"/>
  <c r="P13" i="13" s="1"/>
  <c r="O47" i="13" s="1"/>
  <c r="B27" i="8"/>
  <c r="K13" i="3" s="1"/>
  <c r="M30" i="13"/>
  <c r="N30" i="13"/>
  <c r="P19" i="13"/>
  <c r="O53" i="13" s="1"/>
  <c r="L19" i="13"/>
  <c r="P16" i="13"/>
  <c r="O50" i="13" s="1"/>
  <c r="L16" i="13"/>
  <c r="P18" i="13"/>
  <c r="O52" i="13" s="1"/>
  <c r="L18" i="13"/>
  <c r="M26" i="13"/>
  <c r="N26" i="13"/>
  <c r="P28" i="13"/>
  <c r="L28" i="13"/>
  <c r="O64" i="13"/>
  <c r="P27" i="13"/>
  <c r="O61" i="13" s="1"/>
  <c r="L27" i="13"/>
  <c r="P24" i="13"/>
  <c r="O58" i="13" s="1"/>
  <c r="L24" i="13"/>
  <c r="P29" i="13"/>
  <c r="L29" i="13"/>
  <c r="P17" i="13"/>
  <c r="O51" i="13" s="1"/>
  <c r="L17" i="13"/>
  <c r="O27" i="8"/>
  <c r="K28" i="3" s="1"/>
  <c r="AS68" i="9"/>
  <c r="BD30" i="9" s="1"/>
  <c r="BE30" i="9" s="1"/>
  <c r="B25" i="8"/>
  <c r="O25" i="8"/>
  <c r="D17" i="8"/>
  <c r="AS65" i="9"/>
  <c r="BD27" i="9" s="1"/>
  <c r="BE27" i="9" s="1"/>
  <c r="AS72" i="9"/>
  <c r="BD34" i="9" s="1"/>
  <c r="BE34" i="9" s="1"/>
  <c r="M17" i="8"/>
  <c r="Q17" i="8"/>
  <c r="F24" i="10"/>
  <c r="C17" i="8"/>
  <c r="AS62" i="9"/>
  <c r="BD24" i="9" s="1"/>
  <c r="BE24" i="9" s="1"/>
  <c r="AS61" i="9"/>
  <c r="BD23" i="9" s="1"/>
  <c r="BE23" i="9" s="1"/>
  <c r="H17" i="8"/>
  <c r="AS69" i="9"/>
  <c r="BD31" i="9" s="1"/>
  <c r="BE31" i="9" s="1"/>
  <c r="G26" i="8" s="1"/>
  <c r="P17" i="8"/>
  <c r="P22" i="8" s="1"/>
  <c r="P27" i="8" s="1"/>
  <c r="K29" i="3" s="1"/>
  <c r="AS71" i="9"/>
  <c r="BD33" i="9" s="1"/>
  <c r="BE33" i="9" s="1"/>
  <c r="AS59" i="9"/>
  <c r="BD21" i="9" s="1"/>
  <c r="E17" i="8"/>
  <c r="AS64" i="9"/>
  <c r="BD26" i="9" s="1"/>
  <c r="BE26" i="9" s="1"/>
  <c r="AS60" i="9"/>
  <c r="BD22" i="9" s="1"/>
  <c r="BE22" i="9" s="1"/>
  <c r="AS63" i="9"/>
  <c r="BD25" i="9" s="1"/>
  <c r="BE25" i="9" s="1"/>
  <c r="O26" i="8" s="1"/>
  <c r="O28" i="8" s="1"/>
  <c r="AS74" i="9"/>
  <c r="BA13" i="9" s="1"/>
  <c r="BE13" i="9" s="1"/>
  <c r="K26" i="8" s="1"/>
  <c r="K28" i="8" s="1"/>
  <c r="K25" i="8"/>
  <c r="K23" i="8"/>
  <c r="K24" i="8"/>
  <c r="K24" i="10"/>
  <c r="Q24" i="10" s="1"/>
  <c r="AF24" i="10" s="1"/>
  <c r="H24" i="10"/>
  <c r="J24" i="10"/>
  <c r="O24" i="10" s="1"/>
  <c r="F34" i="4"/>
  <c r="D30" i="10"/>
  <c r="F30" i="10" s="1"/>
  <c r="F35" i="4"/>
  <c r="E31" i="10"/>
  <c r="I24" i="10"/>
  <c r="J26" i="10"/>
  <c r="O26" i="10" s="1"/>
  <c r="I26" i="10"/>
  <c r="F26" i="10"/>
  <c r="Q22" i="8"/>
  <c r="Q27" i="8" s="1"/>
  <c r="K30" i="3" s="1"/>
  <c r="O23" i="8"/>
  <c r="F6" i="4"/>
  <c r="F157" i="5"/>
  <c r="F127" i="5"/>
  <c r="F137" i="5"/>
  <c r="F142" i="5"/>
  <c r="F132" i="5"/>
  <c r="F107" i="5"/>
  <c r="F122" i="5"/>
  <c r="F112" i="5"/>
  <c r="F117" i="5"/>
  <c r="F102" i="5"/>
  <c r="F7" i="5"/>
  <c r="F30" i="4"/>
  <c r="X143" i="6"/>
  <c r="Y144" i="6"/>
  <c r="B26" i="4"/>
  <c r="E25" i="4"/>
  <c r="AJ25" i="13" s="1"/>
  <c r="X25" i="13" s="1"/>
  <c r="AB121" i="6"/>
  <c r="AC122" i="6"/>
  <c r="E26" i="4"/>
  <c r="D26" i="4"/>
  <c r="E29" i="4"/>
  <c r="AJ29" i="13" s="1"/>
  <c r="X29" i="13" s="1"/>
  <c r="F28" i="4"/>
  <c r="B91" i="6"/>
  <c r="AF90" i="6" s="1"/>
  <c r="AE90" i="6" s="1"/>
  <c r="C92" i="6"/>
  <c r="D31" i="4"/>
  <c r="AH32" i="13" s="1"/>
  <c r="V32" i="13" s="1"/>
  <c r="E33" i="4"/>
  <c r="AJ33" i="13" s="1"/>
  <c r="X33" i="13" s="1"/>
  <c r="H122" i="6"/>
  <c r="I123" i="6"/>
  <c r="F27" i="4"/>
  <c r="E90" i="6"/>
  <c r="F91" i="6"/>
  <c r="E32" i="4"/>
  <c r="AJ32" i="13" s="1"/>
  <c r="X32" i="13" s="1"/>
  <c r="M86" i="2"/>
  <c r="L86" i="2"/>
  <c r="K86" i="2"/>
  <c r="J86" i="2"/>
  <c r="M83" i="2"/>
  <c r="L83" i="2"/>
  <c r="K83" i="2"/>
  <c r="J83" i="2"/>
  <c r="M80" i="2"/>
  <c r="L80" i="2"/>
  <c r="K80" i="2"/>
  <c r="J80" i="2"/>
  <c r="M77" i="2"/>
  <c r="L77" i="2"/>
  <c r="K77" i="2"/>
  <c r="J77" i="2"/>
  <c r="M74" i="2"/>
  <c r="L74" i="2"/>
  <c r="K74" i="2"/>
  <c r="J74" i="2"/>
  <c r="M71" i="2"/>
  <c r="L71" i="2"/>
  <c r="K71" i="2"/>
  <c r="J71" i="2"/>
  <c r="M68" i="2"/>
  <c r="L68" i="2"/>
  <c r="K68" i="2"/>
  <c r="J68" i="2"/>
  <c r="M65" i="2"/>
  <c r="L65" i="2"/>
  <c r="K65" i="2"/>
  <c r="J65" i="2"/>
  <c r="M62" i="2"/>
  <c r="L62" i="2"/>
  <c r="K62" i="2"/>
  <c r="J62" i="2"/>
  <c r="M59" i="2"/>
  <c r="L59" i="2"/>
  <c r="K59" i="2"/>
  <c r="J59" i="2"/>
  <c r="M56" i="2"/>
  <c r="L56" i="2"/>
  <c r="K56" i="2"/>
  <c r="J56" i="2"/>
  <c r="M53" i="2"/>
  <c r="L53" i="2"/>
  <c r="K53" i="2"/>
  <c r="J53" i="2"/>
  <c r="M50" i="2"/>
  <c r="L50" i="2"/>
  <c r="K50" i="2"/>
  <c r="J50" i="2"/>
  <c r="M47" i="2"/>
  <c r="L47" i="2"/>
  <c r="K47" i="2"/>
  <c r="J47" i="2"/>
  <c r="M44" i="2"/>
  <c r="L44" i="2"/>
  <c r="K44" i="2"/>
  <c r="J44" i="2"/>
  <c r="M41" i="2"/>
  <c r="L41" i="2"/>
  <c r="K41" i="2"/>
  <c r="J41" i="2"/>
  <c r="M38" i="2"/>
  <c r="L38" i="2"/>
  <c r="K38" i="2"/>
  <c r="J38" i="2"/>
  <c r="M35" i="2"/>
  <c r="L35" i="2"/>
  <c r="K35" i="2"/>
  <c r="J35" i="2"/>
  <c r="M32" i="2"/>
  <c r="L32" i="2"/>
  <c r="K32" i="2"/>
  <c r="K33" i="2" s="1"/>
  <c r="J32" i="2"/>
  <c r="M29" i="2"/>
  <c r="L29" i="2"/>
  <c r="K29" i="2"/>
  <c r="K30" i="2" s="1"/>
  <c r="J29" i="2"/>
  <c r="M23" i="2"/>
  <c r="L23" i="2"/>
  <c r="K23" i="2"/>
  <c r="K24" i="2" s="1"/>
  <c r="J23" i="2"/>
  <c r="M20" i="2"/>
  <c r="L20" i="2"/>
  <c r="K20" i="2"/>
  <c r="K21" i="2" s="1"/>
  <c r="J20" i="2"/>
  <c r="M17" i="2"/>
  <c r="L17" i="2"/>
  <c r="K17" i="2"/>
  <c r="K18" i="2" s="1"/>
  <c r="J17" i="2"/>
  <c r="M14" i="2"/>
  <c r="L14" i="2"/>
  <c r="K14" i="2"/>
  <c r="K15" i="2" s="1"/>
  <c r="J14" i="2"/>
  <c r="M11" i="2"/>
  <c r="L11" i="2"/>
  <c r="L12" i="2" s="1"/>
  <c r="K11" i="2"/>
  <c r="J11" i="2"/>
  <c r="D22" i="10" l="1"/>
  <c r="AH27" i="13"/>
  <c r="V27" i="13" s="1"/>
  <c r="Y33" i="13"/>
  <c r="B22" i="10"/>
  <c r="AD29" i="13"/>
  <c r="R29" i="13" s="1"/>
  <c r="Y29" i="13" s="1"/>
  <c r="F23" i="10"/>
  <c r="Z34" i="13"/>
  <c r="P68" i="13"/>
  <c r="AA34" i="13"/>
  <c r="AB67" i="13"/>
  <c r="BE21" i="9"/>
  <c r="J26" i="8" s="1"/>
  <c r="K21" i="13" s="1"/>
  <c r="Y32" i="13"/>
  <c r="P62" i="13"/>
  <c r="Z28" i="13"/>
  <c r="E22" i="10"/>
  <c r="AJ26" i="13"/>
  <c r="X26" i="13" s="1"/>
  <c r="AB66" i="13"/>
  <c r="AB64" i="13"/>
  <c r="P65" i="13"/>
  <c r="AA31" i="13"/>
  <c r="Z31" i="13"/>
  <c r="M16" i="13"/>
  <c r="N16" i="13"/>
  <c r="K18" i="13"/>
  <c r="K28" i="13"/>
  <c r="M29" i="13"/>
  <c r="N29" i="13"/>
  <c r="M28" i="13"/>
  <c r="N28" i="13"/>
  <c r="M19" i="13"/>
  <c r="N19" i="13"/>
  <c r="M17" i="13"/>
  <c r="N17" i="13"/>
  <c r="K24" i="13"/>
  <c r="O63" i="13"/>
  <c r="O62" i="13"/>
  <c r="AA28" i="13"/>
  <c r="M21" i="13"/>
  <c r="N21" i="13"/>
  <c r="M24" i="13"/>
  <c r="N24" i="13"/>
  <c r="M15" i="13"/>
  <c r="N15" i="13"/>
  <c r="N27" i="13"/>
  <c r="M27" i="13"/>
  <c r="M18" i="13"/>
  <c r="N18" i="13"/>
  <c r="M25" i="13"/>
  <c r="N25" i="13"/>
  <c r="B26" i="8"/>
  <c r="B28" i="8" s="1"/>
  <c r="Q25" i="8"/>
  <c r="P25" i="8"/>
  <c r="N26" i="8"/>
  <c r="E26" i="8"/>
  <c r="L26" i="8"/>
  <c r="Q26" i="8"/>
  <c r="Q28" i="8" s="1"/>
  <c r="M26" i="8"/>
  <c r="P26" i="8"/>
  <c r="P28" i="8" s="1"/>
  <c r="F26" i="8"/>
  <c r="C26" i="8"/>
  <c r="I26" i="8"/>
  <c r="H26" i="8"/>
  <c r="D26" i="8"/>
  <c r="P24" i="8"/>
  <c r="P23" i="8"/>
  <c r="M24" i="10"/>
  <c r="J26" i="2"/>
  <c r="F31" i="10"/>
  <c r="K31" i="10" s="1"/>
  <c r="J30" i="10"/>
  <c r="O30" i="10" s="1"/>
  <c r="V30" i="10"/>
  <c r="I30" i="10"/>
  <c r="K30" i="10"/>
  <c r="Q30" i="10" s="1"/>
  <c r="AF30" i="10" s="1"/>
  <c r="H30" i="10"/>
  <c r="F33" i="4"/>
  <c r="E29" i="10"/>
  <c r="F22" i="10"/>
  <c r="J22" i="10" s="1"/>
  <c r="O22" i="10" s="1"/>
  <c r="F32" i="4"/>
  <c r="E28" i="10"/>
  <c r="D25" i="4"/>
  <c r="AH26" i="13" s="1"/>
  <c r="V26" i="13" s="1"/>
  <c r="E21" i="10"/>
  <c r="F31" i="4"/>
  <c r="D27" i="10"/>
  <c r="D29" i="4"/>
  <c r="AH30" i="13" s="1"/>
  <c r="V30" i="13" s="1"/>
  <c r="Y30" i="13" s="1"/>
  <c r="E25" i="10"/>
  <c r="H26" i="10"/>
  <c r="M26" i="10" s="1"/>
  <c r="K26" i="10"/>
  <c r="Q26" i="10" s="1"/>
  <c r="AF26" i="10" s="1"/>
  <c r="J13" i="3"/>
  <c r="K26" i="2"/>
  <c r="O24" i="8"/>
  <c r="N22" i="8"/>
  <c r="N27" i="8" s="1"/>
  <c r="K27" i="3" s="1"/>
  <c r="Q23" i="8"/>
  <c r="Q24" i="8"/>
  <c r="E157" i="5"/>
  <c r="E137" i="5"/>
  <c r="E127" i="5"/>
  <c r="E132" i="5"/>
  <c r="E142" i="5"/>
  <c r="E122" i="5"/>
  <c r="E107" i="5"/>
  <c r="E117" i="5"/>
  <c r="E112" i="5"/>
  <c r="E102" i="5"/>
  <c r="E7" i="5"/>
  <c r="M26" i="2"/>
  <c r="B92" i="6"/>
  <c r="AF91" i="6" s="1"/>
  <c r="AE91" i="6" s="1"/>
  <c r="C93" i="6"/>
  <c r="F26" i="4"/>
  <c r="J30" i="2"/>
  <c r="AB122" i="6"/>
  <c r="AC123" i="6"/>
  <c r="X144" i="6"/>
  <c r="Y145" i="6"/>
  <c r="K12" i="2"/>
  <c r="H123" i="6"/>
  <c r="I124" i="6"/>
  <c r="J12" i="2"/>
  <c r="L26" i="2"/>
  <c r="J33" i="2"/>
  <c r="E91" i="6"/>
  <c r="F92" i="6"/>
  <c r="F93" i="2"/>
  <c r="F11" i="2"/>
  <c r="G93" i="2"/>
  <c r="E94" i="2"/>
  <c r="AN13" i="13" s="1"/>
  <c r="J18" i="2"/>
  <c r="G95" i="2"/>
  <c r="AR12" i="13" s="1"/>
  <c r="G96" i="2"/>
  <c r="AR13" i="13" s="1"/>
  <c r="E95" i="2"/>
  <c r="AN14" i="13" s="1"/>
  <c r="J21" i="2"/>
  <c r="E96" i="2"/>
  <c r="AN15" i="13" s="1"/>
  <c r="G94" i="2"/>
  <c r="E93" i="2"/>
  <c r="AN12" i="13" s="1"/>
  <c r="AS12" i="13" s="1"/>
  <c r="J15" i="2"/>
  <c r="J24" i="2"/>
  <c r="F94" i="2"/>
  <c r="AP12" i="13" s="1"/>
  <c r="F95" i="2"/>
  <c r="AP13" i="13" s="1"/>
  <c r="F96" i="2"/>
  <c r="AP14" i="13" s="1"/>
  <c r="Z30" i="13" l="1"/>
  <c r="P64" i="13"/>
  <c r="AB63" i="13"/>
  <c r="AA30" i="13"/>
  <c r="Q65" i="13"/>
  <c r="AB31" i="13"/>
  <c r="R65" i="13" s="1"/>
  <c r="I23" i="10"/>
  <c r="K23" i="10"/>
  <c r="Q23" i="10" s="1"/>
  <c r="AF23" i="10" s="1"/>
  <c r="H23" i="10"/>
  <c r="J23" i="10"/>
  <c r="O23" i="10" s="1"/>
  <c r="Z32" i="13"/>
  <c r="P66" i="13"/>
  <c r="AA32" i="13"/>
  <c r="Q68" i="13"/>
  <c r="AB34" i="13"/>
  <c r="R68" i="13" s="1"/>
  <c r="Z29" i="13"/>
  <c r="P63" i="13"/>
  <c r="AA29" i="13"/>
  <c r="Q63" i="13" s="1"/>
  <c r="AB65" i="13"/>
  <c r="AS13" i="13"/>
  <c r="N28" i="8"/>
  <c r="AB62" i="13"/>
  <c r="P67" i="13"/>
  <c r="AA33" i="13"/>
  <c r="Z33" i="13"/>
  <c r="T3" i="10"/>
  <c r="K17" i="13"/>
  <c r="Q62" i="13"/>
  <c r="AB28" i="13"/>
  <c r="R62" i="13" s="1"/>
  <c r="M20" i="13"/>
  <c r="K20" i="13"/>
  <c r="K27" i="13"/>
  <c r="K13" i="13"/>
  <c r="K26" i="13"/>
  <c r="M23" i="13"/>
  <c r="M22" i="13"/>
  <c r="N20" i="13"/>
  <c r="L20" i="13" s="1"/>
  <c r="F20" i="13" s="1"/>
  <c r="N23" i="13"/>
  <c r="J23" i="13" s="1"/>
  <c r="N22" i="13"/>
  <c r="J22" i="13" s="1"/>
  <c r="K30" i="13"/>
  <c r="K15" i="13"/>
  <c r="K25" i="13"/>
  <c r="K14" i="13"/>
  <c r="K29" i="13"/>
  <c r="K19" i="13"/>
  <c r="K16" i="13"/>
  <c r="N25" i="8"/>
  <c r="F27" i="10"/>
  <c r="J27" i="10" s="1"/>
  <c r="O27" i="10" s="1"/>
  <c r="F28" i="10"/>
  <c r="K28" i="10" s="1"/>
  <c r="Q28" i="10" s="1"/>
  <c r="AF28" i="10" s="1"/>
  <c r="F29" i="10"/>
  <c r="K29" i="10" s="1"/>
  <c r="Q29" i="10" s="1"/>
  <c r="AF29" i="10" s="1"/>
  <c r="H31" i="10"/>
  <c r="I31" i="10"/>
  <c r="J31" i="10"/>
  <c r="F29" i="4"/>
  <c r="D25" i="10"/>
  <c r="F25" i="4"/>
  <c r="D21" i="10"/>
  <c r="I22" i="10"/>
  <c r="K22" i="10"/>
  <c r="Q22" i="10" s="1"/>
  <c r="AF22" i="10" s="1"/>
  <c r="H22" i="10"/>
  <c r="M30" i="10"/>
  <c r="F12" i="2"/>
  <c r="G92" i="2" s="1"/>
  <c r="N23" i="8"/>
  <c r="N24" i="8"/>
  <c r="M22" i="8"/>
  <c r="M27" i="8" s="1"/>
  <c r="K26" i="3" s="1"/>
  <c r="I94" i="2"/>
  <c r="U7" i="10" s="1"/>
  <c r="F92" i="2"/>
  <c r="D127" i="5"/>
  <c r="D137" i="5"/>
  <c r="D142" i="5"/>
  <c r="D132" i="5"/>
  <c r="D107" i="5"/>
  <c r="D122" i="5"/>
  <c r="D112" i="5"/>
  <c r="D117" i="5"/>
  <c r="D102" i="5"/>
  <c r="D7" i="5"/>
  <c r="H124" i="6"/>
  <c r="I125" i="6"/>
  <c r="E92" i="6"/>
  <c r="F93" i="6"/>
  <c r="B93" i="6"/>
  <c r="AF92" i="6" s="1"/>
  <c r="AE92" i="6" s="1"/>
  <c r="C94" i="6"/>
  <c r="X145" i="6"/>
  <c r="Y146" i="6"/>
  <c r="AB123" i="6"/>
  <c r="AC124" i="6"/>
  <c r="I93" i="2"/>
  <c r="U6" i="10" s="1"/>
  <c r="I95" i="2"/>
  <c r="U8" i="10" s="1"/>
  <c r="I96" i="2"/>
  <c r="U9" i="10" s="1"/>
  <c r="AB29" i="13" l="1"/>
  <c r="R63" i="13" s="1"/>
  <c r="AB33" i="13"/>
  <c r="R67" i="13" s="1"/>
  <c r="Q67" i="13"/>
  <c r="AB32" i="13"/>
  <c r="R66" i="13" s="1"/>
  <c r="Q66" i="13"/>
  <c r="M23" i="10"/>
  <c r="AB30" i="13"/>
  <c r="R64" i="13" s="1"/>
  <c r="Q64" i="13"/>
  <c r="M28" i="8"/>
  <c r="D16" i="4"/>
  <c r="AH17" i="13" s="1"/>
  <c r="V17" i="13" s="1"/>
  <c r="P22" i="13"/>
  <c r="O56" i="13" s="1"/>
  <c r="B16" i="4"/>
  <c r="C16" i="4"/>
  <c r="AF18" i="13" s="1"/>
  <c r="T18" i="13" s="1"/>
  <c r="E16" i="4"/>
  <c r="AJ16" i="13" s="1"/>
  <c r="X16" i="13" s="1"/>
  <c r="D17" i="4"/>
  <c r="AH18" i="13" s="1"/>
  <c r="V18" i="13" s="1"/>
  <c r="P23" i="13"/>
  <c r="O57" i="13" s="1"/>
  <c r="E17" i="4"/>
  <c r="AJ17" i="13" s="1"/>
  <c r="X17" i="13" s="1"/>
  <c r="C17" i="4"/>
  <c r="AF19" i="13" s="1"/>
  <c r="T19" i="13" s="1"/>
  <c r="B17" i="4"/>
  <c r="M25" i="8"/>
  <c r="M22" i="10"/>
  <c r="I12" i="2"/>
  <c r="F21" i="10"/>
  <c r="J21" i="10" s="1"/>
  <c r="O21" i="10" s="1"/>
  <c r="V29" i="10"/>
  <c r="H29" i="10"/>
  <c r="I29" i="10"/>
  <c r="J29" i="10"/>
  <c r="O29" i="10" s="1"/>
  <c r="K27" i="10"/>
  <c r="Q27" i="10" s="1"/>
  <c r="AF27" i="10" s="1"/>
  <c r="H27" i="10"/>
  <c r="I27" i="10"/>
  <c r="F25" i="10"/>
  <c r="J25" i="10" s="1"/>
  <c r="O25" i="10" s="1"/>
  <c r="J28" i="10"/>
  <c r="O28" i="10" s="1"/>
  <c r="V28" i="10"/>
  <c r="H28" i="10"/>
  <c r="I28" i="10"/>
  <c r="L22" i="8"/>
  <c r="L27" i="8" s="1"/>
  <c r="M23" i="8"/>
  <c r="M24" i="8"/>
  <c r="I92" i="2"/>
  <c r="C137" i="5"/>
  <c r="C127" i="5"/>
  <c r="C132" i="5"/>
  <c r="C142" i="5"/>
  <c r="C122" i="5"/>
  <c r="C107" i="5"/>
  <c r="C117" i="5"/>
  <c r="C112" i="5"/>
  <c r="C102" i="5"/>
  <c r="C7" i="5"/>
  <c r="X146" i="6"/>
  <c r="Y147" i="6"/>
  <c r="B94" i="6"/>
  <c r="AF93" i="6" s="1"/>
  <c r="AE93" i="6" s="1"/>
  <c r="C95" i="6"/>
  <c r="AB124" i="6"/>
  <c r="AC125" i="6"/>
  <c r="H125" i="6"/>
  <c r="I126" i="6"/>
  <c r="E93" i="6"/>
  <c r="F94" i="6"/>
  <c r="K25" i="3" l="1"/>
  <c r="L28" i="8"/>
  <c r="F16" i="4"/>
  <c r="AD19" i="13"/>
  <c r="R19" i="13" s="1"/>
  <c r="F17" i="4"/>
  <c r="AD20" i="13"/>
  <c r="R20" i="13" s="1"/>
  <c r="L25" i="8"/>
  <c r="M28" i="10"/>
  <c r="U5" i="10"/>
  <c r="J92" i="2"/>
  <c r="J106" i="2"/>
  <c r="L111" i="2"/>
  <c r="L107" i="2"/>
  <c r="L110" i="2"/>
  <c r="L104" i="2"/>
  <c r="L105" i="2"/>
  <c r="L99" i="2"/>
  <c r="J115" i="2"/>
  <c r="L102" i="2"/>
  <c r="L103" i="2"/>
  <c r="J110" i="2"/>
  <c r="J102" i="2"/>
  <c r="J111" i="2"/>
  <c r="J104" i="2"/>
  <c r="L100" i="2"/>
  <c r="L117" i="2"/>
  <c r="L113" i="2"/>
  <c r="J113" i="2"/>
  <c r="J105" i="2"/>
  <c r="J107" i="2"/>
  <c r="L109" i="2"/>
  <c r="K116" i="2"/>
  <c r="L114" i="2"/>
  <c r="J100" i="2"/>
  <c r="L108" i="2"/>
  <c r="J98" i="2"/>
  <c r="L115" i="2"/>
  <c r="J114" i="2"/>
  <c r="L112" i="2"/>
  <c r="J99" i="2"/>
  <c r="L101" i="2"/>
  <c r="J109" i="2"/>
  <c r="L106" i="2"/>
  <c r="J103" i="2"/>
  <c r="J112" i="2"/>
  <c r="K113" i="2"/>
  <c r="J117" i="2"/>
  <c r="J116" i="2"/>
  <c r="J108" i="2"/>
  <c r="L98" i="2"/>
  <c r="J101" i="2"/>
  <c r="L116" i="2"/>
  <c r="K106" i="2"/>
  <c r="K98" i="2"/>
  <c r="K100" i="2"/>
  <c r="K112" i="2"/>
  <c r="K102" i="2"/>
  <c r="K111" i="2"/>
  <c r="K107" i="2"/>
  <c r="K108" i="2"/>
  <c r="K114" i="2"/>
  <c r="K109" i="2"/>
  <c r="K105" i="2"/>
  <c r="K117" i="2"/>
  <c r="K103" i="2"/>
  <c r="K110" i="2"/>
  <c r="K99" i="2"/>
  <c r="K101" i="2"/>
  <c r="K104" i="2"/>
  <c r="K115" i="2"/>
  <c r="K94" i="2"/>
  <c r="K96" i="2"/>
  <c r="L96" i="2"/>
  <c r="K93" i="2"/>
  <c r="L95" i="2"/>
  <c r="K95" i="2"/>
  <c r="L93" i="2"/>
  <c r="J95" i="2"/>
  <c r="L94" i="2"/>
  <c r="J93" i="2"/>
  <c r="J94" i="2"/>
  <c r="J96" i="2"/>
  <c r="M27" i="10"/>
  <c r="K92" i="2"/>
  <c r="L92" i="2"/>
  <c r="I21" i="10"/>
  <c r="H21" i="10"/>
  <c r="K21" i="10"/>
  <c r="Q21" i="10" s="1"/>
  <c r="AF21" i="10" s="1"/>
  <c r="I25" i="10"/>
  <c r="H25" i="10"/>
  <c r="K25" i="10"/>
  <c r="Q25" i="10" s="1"/>
  <c r="AF25" i="10" s="1"/>
  <c r="M29" i="10"/>
  <c r="L24" i="8"/>
  <c r="L23" i="8"/>
  <c r="J22" i="8"/>
  <c r="J27" i="8" s="1"/>
  <c r="H126" i="6"/>
  <c r="I127" i="6"/>
  <c r="AB125" i="6"/>
  <c r="AC126" i="6"/>
  <c r="B95" i="6"/>
  <c r="AF94" i="6" s="1"/>
  <c r="C96" i="6"/>
  <c r="E94" i="6"/>
  <c r="F95" i="6"/>
  <c r="X147" i="6"/>
  <c r="Y148" i="6"/>
  <c r="P42" i="3"/>
  <c r="P41" i="3"/>
  <c r="P40" i="3"/>
  <c r="P39" i="3"/>
  <c r="K21" i="3" l="1"/>
  <c r="J28" i="8"/>
  <c r="J25" i="8"/>
  <c r="M21" i="10"/>
  <c r="M25" i="10"/>
  <c r="I22" i="8"/>
  <c r="I27" i="8" s="1"/>
  <c r="K20" i="3" s="1"/>
  <c r="J24" i="8"/>
  <c r="J23" i="8"/>
  <c r="E95" i="6"/>
  <c r="F96" i="6"/>
  <c r="AE94" i="6"/>
  <c r="AF95" i="6"/>
  <c r="B96" i="6"/>
  <c r="C97" i="6"/>
  <c r="AB126" i="6"/>
  <c r="AC127" i="6"/>
  <c r="X148" i="6"/>
  <c r="Y149" i="6"/>
  <c r="H127" i="6"/>
  <c r="I128" i="6"/>
  <c r="L40" i="3"/>
  <c r="F39" i="3"/>
  <c r="L39" i="3" s="1"/>
  <c r="P38" i="3"/>
  <c r="F38" i="3"/>
  <c r="L38" i="3" s="1"/>
  <c r="P37" i="3"/>
  <c r="F37" i="3"/>
  <c r="L37" i="3" s="1"/>
  <c r="AF36" i="3"/>
  <c r="T36" i="3" s="1"/>
  <c r="AD36" i="3"/>
  <c r="R36" i="3" s="1"/>
  <c r="P36" i="3"/>
  <c r="F36" i="3"/>
  <c r="AJ35" i="3" s="1"/>
  <c r="AH35" i="3" s="1"/>
  <c r="V35" i="3" s="1"/>
  <c r="AF35" i="3"/>
  <c r="T35" i="3" s="1"/>
  <c r="AD35" i="3"/>
  <c r="R35" i="3" s="1"/>
  <c r="P35" i="3"/>
  <c r="O69" i="3" s="1"/>
  <c r="F35" i="3"/>
  <c r="L35" i="3" s="1"/>
  <c r="AL34" i="3"/>
  <c r="AH34" i="3"/>
  <c r="V34" i="3" s="1"/>
  <c r="AF34" i="3"/>
  <c r="T34" i="3" s="1"/>
  <c r="AD34" i="3"/>
  <c r="P34" i="3"/>
  <c r="O68" i="3" s="1"/>
  <c r="F34" i="3"/>
  <c r="L34" i="3" s="1"/>
  <c r="AL33" i="3"/>
  <c r="AJ33" i="3"/>
  <c r="X33" i="3" s="1"/>
  <c r="AH33" i="3"/>
  <c r="V33" i="3" s="1"/>
  <c r="AF33" i="3"/>
  <c r="AD33" i="3"/>
  <c r="P33" i="3"/>
  <c r="O67" i="3" s="1"/>
  <c r="F33" i="3"/>
  <c r="L33" i="3" s="1"/>
  <c r="AL32" i="3"/>
  <c r="AJ32" i="3" s="1"/>
  <c r="X32" i="3" s="1"/>
  <c r="AH32" i="3"/>
  <c r="AF32" i="3" s="1"/>
  <c r="AD32" i="3"/>
  <c r="P32" i="3"/>
  <c r="O66" i="3" s="1"/>
  <c r="F32" i="3"/>
  <c r="L32" i="3" s="1"/>
  <c r="AL31" i="3"/>
  <c r="AJ31" i="3"/>
  <c r="AH31" i="3" s="1"/>
  <c r="AF31" i="3" s="1"/>
  <c r="AD31" i="3"/>
  <c r="I25" i="8" l="1"/>
  <c r="M32" i="3"/>
  <c r="W22" i="10"/>
  <c r="M34" i="3"/>
  <c r="W24" i="10"/>
  <c r="N38" i="3"/>
  <c r="M38" i="3" s="1"/>
  <c r="W28" i="10"/>
  <c r="M40" i="3"/>
  <c r="W30" i="10"/>
  <c r="M33" i="3"/>
  <c r="W23" i="10"/>
  <c r="M35" i="3"/>
  <c r="W25" i="10"/>
  <c r="M37" i="3"/>
  <c r="W27" i="10"/>
  <c r="N39" i="3"/>
  <c r="M39" i="3" s="1"/>
  <c r="W29" i="10"/>
  <c r="H22" i="8"/>
  <c r="H27" i="8" s="1"/>
  <c r="I23" i="8"/>
  <c r="I24" i="8"/>
  <c r="B97" i="6"/>
  <c r="C98" i="6"/>
  <c r="X149" i="6"/>
  <c r="Y150" i="6"/>
  <c r="E96" i="6"/>
  <c r="F97" i="6"/>
  <c r="H128" i="6"/>
  <c r="I129" i="6"/>
  <c r="AE95" i="6"/>
  <c r="AF96" i="6"/>
  <c r="AB127" i="6"/>
  <c r="AC128" i="6"/>
  <c r="N40" i="3"/>
  <c r="N33" i="3"/>
  <c r="L36" i="3"/>
  <c r="AJ34" i="3"/>
  <c r="X34" i="3" s="1"/>
  <c r="AS34" i="3"/>
  <c r="R34" i="3"/>
  <c r="N32" i="3"/>
  <c r="N34" i="3"/>
  <c r="N35" i="3"/>
  <c r="N37" i="3"/>
  <c r="P31" i="3"/>
  <c r="O65" i="3" s="1"/>
  <c r="F31" i="3"/>
  <c r="L31" i="3" s="1"/>
  <c r="AL30" i="3"/>
  <c r="AJ30" i="3" s="1"/>
  <c r="AH30" i="3" s="1"/>
  <c r="AF30" i="3" s="1"/>
  <c r="AD30" i="3"/>
  <c r="F30" i="3"/>
  <c r="AL29" i="3"/>
  <c r="AJ29" i="3" s="1"/>
  <c r="AH29" i="3" s="1"/>
  <c r="AF29" i="3" s="1"/>
  <c r="AD29" i="3"/>
  <c r="F29" i="3"/>
  <c r="AL28" i="3"/>
  <c r="AJ28" i="3" s="1"/>
  <c r="AH28" i="3" s="1"/>
  <c r="AF28" i="3" s="1"/>
  <c r="AD28" i="3"/>
  <c r="F28" i="3"/>
  <c r="AL27" i="3"/>
  <c r="AJ27" i="3" s="1"/>
  <c r="AH27" i="3" s="1"/>
  <c r="AF27" i="3" s="1"/>
  <c r="F27" i="3"/>
  <c r="AL26" i="3"/>
  <c r="AJ26" i="3" s="1"/>
  <c r="AH26" i="3" s="1"/>
  <c r="F26" i="3"/>
  <c r="AL25" i="3"/>
  <c r="AJ25" i="3" s="1"/>
  <c r="AL24" i="3"/>
  <c r="F24" i="3"/>
  <c r="AL23" i="3"/>
  <c r="L24" i="3" l="1"/>
  <c r="W14" i="10" s="1"/>
  <c r="K19" i="3"/>
  <c r="H28" i="8"/>
  <c r="H25" i="8"/>
  <c r="AE96" i="6"/>
  <c r="M36" i="3"/>
  <c r="W26" i="10"/>
  <c r="M31" i="3"/>
  <c r="W21" i="10"/>
  <c r="G22" i="8"/>
  <c r="G27" i="8" s="1"/>
  <c r="H24" i="8"/>
  <c r="H23" i="8"/>
  <c r="E97" i="6"/>
  <c r="F98" i="6"/>
  <c r="AB128" i="6"/>
  <c r="AC129" i="6"/>
  <c r="X150" i="6"/>
  <c r="Y151" i="6"/>
  <c r="H129" i="6"/>
  <c r="I130" i="6"/>
  <c r="B98" i="6"/>
  <c r="AF97" i="6" s="1"/>
  <c r="AE97" i="6" s="1"/>
  <c r="C99" i="6"/>
  <c r="N36" i="3"/>
  <c r="N31" i="3"/>
  <c r="Y34" i="3"/>
  <c r="Z34" i="3" s="1"/>
  <c r="R28" i="3"/>
  <c r="R29" i="3"/>
  <c r="R31" i="3"/>
  <c r="F23" i="3"/>
  <c r="AL22" i="3"/>
  <c r="F22" i="3"/>
  <c r="AL21" i="3"/>
  <c r="F21" i="3"/>
  <c r="K18" i="3" l="1"/>
  <c r="G28" i="8"/>
  <c r="G25" i="8"/>
  <c r="AB67" i="3"/>
  <c r="E22" i="8"/>
  <c r="E27" i="8" s="1"/>
  <c r="G24" i="8"/>
  <c r="G23" i="8"/>
  <c r="H130" i="6"/>
  <c r="I131" i="6"/>
  <c r="X151" i="6"/>
  <c r="Y152" i="6"/>
  <c r="AB129" i="6"/>
  <c r="AC130" i="6"/>
  <c r="B99" i="6"/>
  <c r="AF98" i="6" s="1"/>
  <c r="AE98" i="6" s="1"/>
  <c r="C100" i="6"/>
  <c r="E98" i="6"/>
  <c r="F99" i="6"/>
  <c r="AA34" i="3"/>
  <c r="P68" i="3"/>
  <c r="R30" i="3"/>
  <c r="J21" i="3"/>
  <c r="AL19" i="3"/>
  <c r="F19" i="3"/>
  <c r="AN18" i="3"/>
  <c r="AL18" i="3"/>
  <c r="F18" i="3"/>
  <c r="AN17" i="3"/>
  <c r="AL17" i="3"/>
  <c r="F17" i="3"/>
  <c r="AL16" i="3"/>
  <c r="F16" i="3"/>
  <c r="AN15" i="3"/>
  <c r="AL15" i="3"/>
  <c r="AN14" i="3"/>
  <c r="AL14" i="3"/>
  <c r="K16" i="3" l="1"/>
  <c r="E28" i="8"/>
  <c r="E25" i="8"/>
  <c r="L21" i="3"/>
  <c r="W11" i="10" s="1"/>
  <c r="T11" i="10"/>
  <c r="X11" i="10" s="1"/>
  <c r="F22" i="8"/>
  <c r="F27" i="8" s="1"/>
  <c r="K17" i="3" s="1"/>
  <c r="D22" i="8"/>
  <c r="D27" i="8" s="1"/>
  <c r="E23" i="8"/>
  <c r="E24" i="8"/>
  <c r="J17" i="3"/>
  <c r="B100" i="6"/>
  <c r="AF99" i="6" s="1"/>
  <c r="AE99" i="6" s="1"/>
  <c r="C101" i="6"/>
  <c r="E99" i="6"/>
  <c r="F100" i="6"/>
  <c r="H131" i="6"/>
  <c r="I132" i="6"/>
  <c r="AB130" i="6"/>
  <c r="AC131" i="6"/>
  <c r="X152" i="6"/>
  <c r="Y153" i="6"/>
  <c r="AB34" i="3"/>
  <c r="R68" i="3" s="1"/>
  <c r="Q68" i="3"/>
  <c r="I53" i="5"/>
  <c r="D15" i="4"/>
  <c r="E15" i="4"/>
  <c r="AJ15" i="13" s="1"/>
  <c r="X15" i="13" s="1"/>
  <c r="B15" i="4"/>
  <c r="C15" i="4"/>
  <c r="P21" i="3"/>
  <c r="O55" i="3" s="1"/>
  <c r="K15" i="3" l="1"/>
  <c r="D28" i="8"/>
  <c r="B11" i="10"/>
  <c r="AD18" i="13"/>
  <c r="R18" i="13" s="1"/>
  <c r="D11" i="10"/>
  <c r="AH16" i="13"/>
  <c r="V16" i="13" s="1"/>
  <c r="C11" i="10"/>
  <c r="AF17" i="13"/>
  <c r="T17" i="13" s="1"/>
  <c r="F23" i="8"/>
  <c r="D25" i="8"/>
  <c r="M21" i="3"/>
  <c r="N21" i="3"/>
  <c r="AJ15" i="3"/>
  <c r="E11" i="10"/>
  <c r="L17" i="3"/>
  <c r="W7" i="10" s="1"/>
  <c r="T7" i="10"/>
  <c r="X7" i="10" s="1"/>
  <c r="F24" i="8"/>
  <c r="F25" i="8"/>
  <c r="C22" i="8"/>
  <c r="C27" i="8" s="1"/>
  <c r="D24" i="8"/>
  <c r="D23" i="8"/>
  <c r="AB131" i="6"/>
  <c r="AC132" i="6"/>
  <c r="X153" i="6"/>
  <c r="Y154" i="6"/>
  <c r="B101" i="6"/>
  <c r="AF100" i="6" s="1"/>
  <c r="AE100" i="6" s="1"/>
  <c r="C102" i="6"/>
  <c r="H132" i="6"/>
  <c r="I133" i="6"/>
  <c r="E100" i="6"/>
  <c r="F101" i="6"/>
  <c r="F15" i="4"/>
  <c r="AD18" i="3"/>
  <c r="H54" i="5"/>
  <c r="D54" i="5"/>
  <c r="H53" i="5"/>
  <c r="D53" i="5"/>
  <c r="C54" i="5"/>
  <c r="E54" i="5"/>
  <c r="E53" i="5"/>
  <c r="G53" i="5"/>
  <c r="F54" i="5"/>
  <c r="J53" i="5"/>
  <c r="F53" i="5"/>
  <c r="G54" i="5"/>
  <c r="C53" i="5"/>
  <c r="AN13" i="3"/>
  <c r="AL13" i="3"/>
  <c r="AN12" i="3"/>
  <c r="AL12" i="3"/>
  <c r="O46" i="3"/>
  <c r="K14" i="3" l="1"/>
  <c r="C28" i="8"/>
  <c r="F11" i="10"/>
  <c r="I11" i="10" s="1"/>
  <c r="C25" i="8"/>
  <c r="K11" i="10"/>
  <c r="Q11" i="10" s="1"/>
  <c r="AF11" i="10" s="1"/>
  <c r="C24" i="8"/>
  <c r="C23" i="8"/>
  <c r="H52" i="5"/>
  <c r="B102" i="6"/>
  <c r="AF101" i="6" s="1"/>
  <c r="AE101" i="6" s="1"/>
  <c r="C103" i="6"/>
  <c r="E101" i="6"/>
  <c r="F102" i="6"/>
  <c r="AB132" i="6"/>
  <c r="AC133" i="6"/>
  <c r="H133" i="6"/>
  <c r="I134" i="6"/>
  <c r="X154" i="6"/>
  <c r="Y155" i="6"/>
  <c r="V11" i="10" l="1"/>
  <c r="J11" i="10"/>
  <c r="O11" i="10" s="1"/>
  <c r="H11" i="10"/>
  <c r="M11" i="10" s="1"/>
  <c r="H31" i="8"/>
  <c r="H30" i="8"/>
  <c r="G52" i="5"/>
  <c r="AB133" i="6"/>
  <c r="AC134" i="6"/>
  <c r="H134" i="6"/>
  <c r="I135" i="6"/>
  <c r="E102" i="6"/>
  <c r="F103" i="6"/>
  <c r="X155" i="6"/>
  <c r="Y156" i="6"/>
  <c r="B103" i="6"/>
  <c r="AF102" i="6" s="1"/>
  <c r="AE102" i="6" s="1"/>
  <c r="C104" i="6"/>
  <c r="R18" i="3"/>
  <c r="F52" i="5" l="1"/>
  <c r="H135" i="6"/>
  <c r="I136" i="6"/>
  <c r="X156" i="6"/>
  <c r="Y157" i="6"/>
  <c r="E103" i="6"/>
  <c r="F104" i="6"/>
  <c r="B104" i="6"/>
  <c r="AF103" i="6" s="1"/>
  <c r="AE103" i="6" s="1"/>
  <c r="C105" i="6"/>
  <c r="AB134" i="6"/>
  <c r="AC135" i="6"/>
  <c r="H32" i="5"/>
  <c r="G32" i="5"/>
  <c r="F32" i="5"/>
  <c r="E32" i="5"/>
  <c r="D32" i="5"/>
  <c r="C32" i="5"/>
  <c r="J25" i="3"/>
  <c r="T15" i="10" s="1"/>
  <c r="P24" i="3"/>
  <c r="O58" i="3" s="1"/>
  <c r="J15" i="3"/>
  <c r="J16" i="3"/>
  <c r="T6" i="10" s="1"/>
  <c r="X6" i="10" s="1"/>
  <c r="J18" i="3"/>
  <c r="T8" i="10" s="1"/>
  <c r="X8" i="10" s="1"/>
  <c r="J19" i="3"/>
  <c r="AH16" i="3"/>
  <c r="AP12" i="3"/>
  <c r="B7" i="4"/>
  <c r="B3" i="10" s="1"/>
  <c r="H3" i="10" s="1"/>
  <c r="AR12" i="3"/>
  <c r="AP16" i="3"/>
  <c r="AP13" i="3"/>
  <c r="AR13" i="3"/>
  <c r="J26" i="3"/>
  <c r="T16" i="10" s="1"/>
  <c r="J27" i="3"/>
  <c r="J28" i="3"/>
  <c r="J29" i="3"/>
  <c r="J30" i="3"/>
  <c r="AR15" i="3"/>
  <c r="X15" i="3" s="1"/>
  <c r="AP14" i="3"/>
  <c r="J20" i="3"/>
  <c r="T10" i="10" s="1"/>
  <c r="AF17" i="3"/>
  <c r="T17" i="3" s="1"/>
  <c r="D8" i="4"/>
  <c r="D4" i="10" s="1"/>
  <c r="H57" i="5"/>
  <c r="G57" i="5"/>
  <c r="F57" i="5"/>
  <c r="E57" i="5"/>
  <c r="D57" i="5"/>
  <c r="C57" i="5"/>
  <c r="H62" i="5"/>
  <c r="G62" i="5"/>
  <c r="F62" i="5"/>
  <c r="E62" i="5"/>
  <c r="D62" i="5"/>
  <c r="C62" i="5"/>
  <c r="AH36" i="3"/>
  <c r="AF37" i="3"/>
  <c r="AD37" i="3"/>
  <c r="R37" i="3" s="1"/>
  <c r="AD38" i="3"/>
  <c r="AF28" i="9"/>
  <c r="AG28" i="9"/>
  <c r="AH28" i="9"/>
  <c r="AI28" i="9"/>
  <c r="AJ28" i="9"/>
  <c r="AK28" i="9"/>
  <c r="AL28" i="9"/>
  <c r="AM28" i="9"/>
  <c r="AN28" i="9"/>
  <c r="AO28" i="9"/>
  <c r="AP28" i="9"/>
  <c r="AQ28" i="9"/>
  <c r="AF26" i="9"/>
  <c r="AG26" i="9"/>
  <c r="AH26" i="9"/>
  <c r="AI26" i="9"/>
  <c r="AJ26" i="9"/>
  <c r="AK26" i="9"/>
  <c r="AL26" i="9"/>
  <c r="AM26" i="9"/>
  <c r="AN26" i="9"/>
  <c r="AO26" i="9"/>
  <c r="AP26" i="9"/>
  <c r="AQ26" i="9"/>
  <c r="AC13" i="9"/>
  <c r="AD13" i="9"/>
  <c r="AE13" i="9"/>
  <c r="AF13" i="9"/>
  <c r="AG13" i="9"/>
  <c r="AH13" i="9"/>
  <c r="AI13" i="9"/>
  <c r="AJ13" i="9"/>
  <c r="AK13" i="9"/>
  <c r="AL13" i="9"/>
  <c r="AM13" i="9"/>
  <c r="AN13" i="9"/>
  <c r="AF33" i="9"/>
  <c r="AG33" i="9"/>
  <c r="AH33" i="9"/>
  <c r="AI33" i="9"/>
  <c r="AJ33" i="9"/>
  <c r="AK33" i="9"/>
  <c r="AL33" i="9"/>
  <c r="AM33" i="9"/>
  <c r="AN33" i="9"/>
  <c r="AO33" i="9"/>
  <c r="AP33" i="9"/>
  <c r="AQ33" i="9"/>
  <c r="AF27" i="9"/>
  <c r="AG27" i="9"/>
  <c r="AH27" i="9"/>
  <c r="AI27" i="9"/>
  <c r="AJ27" i="9"/>
  <c r="AK27" i="9"/>
  <c r="AL27" i="9"/>
  <c r="AM27" i="9"/>
  <c r="AN27" i="9"/>
  <c r="AO27" i="9"/>
  <c r="AP27" i="9"/>
  <c r="AQ27" i="9"/>
  <c r="AF23" i="9"/>
  <c r="AG23" i="9"/>
  <c r="AH23" i="9"/>
  <c r="AI23" i="9"/>
  <c r="AJ23" i="9"/>
  <c r="AK23" i="9"/>
  <c r="AL23" i="9"/>
  <c r="AM23" i="9"/>
  <c r="AN23" i="9"/>
  <c r="AO23" i="9"/>
  <c r="AP23" i="9"/>
  <c r="AQ23" i="9"/>
  <c r="AF21" i="9"/>
  <c r="AG21" i="9"/>
  <c r="AH21" i="9"/>
  <c r="AI21" i="9"/>
  <c r="AJ21" i="9"/>
  <c r="AK21" i="9"/>
  <c r="AL21" i="9"/>
  <c r="AM21" i="9"/>
  <c r="AN21" i="9"/>
  <c r="AO21" i="9"/>
  <c r="AP21" i="9"/>
  <c r="AF34" i="9"/>
  <c r="AG34" i="9"/>
  <c r="AH34" i="9"/>
  <c r="AI34" i="9"/>
  <c r="AJ34" i="9"/>
  <c r="AK34" i="9"/>
  <c r="AL34" i="9"/>
  <c r="AM34" i="9"/>
  <c r="AN34" i="9"/>
  <c r="AO34" i="9"/>
  <c r="AP34" i="9"/>
  <c r="AQ34" i="9"/>
  <c r="AF32" i="9"/>
  <c r="AG32" i="9"/>
  <c r="AH32" i="9"/>
  <c r="AI32" i="9"/>
  <c r="AJ32" i="9"/>
  <c r="AK32" i="9"/>
  <c r="AL32" i="9"/>
  <c r="AM32" i="9"/>
  <c r="AN32" i="9"/>
  <c r="AO32" i="9"/>
  <c r="AP32" i="9"/>
  <c r="AQ32" i="9"/>
  <c r="AF30" i="9"/>
  <c r="AG30" i="9"/>
  <c r="AH30" i="9"/>
  <c r="AI30" i="9"/>
  <c r="AJ30" i="9"/>
  <c r="AK30" i="9"/>
  <c r="AL30" i="9"/>
  <c r="AM30" i="9"/>
  <c r="AN30" i="9"/>
  <c r="AO30" i="9"/>
  <c r="AP30" i="9"/>
  <c r="AQ30" i="9"/>
  <c r="AF24" i="9"/>
  <c r="AG24" i="9"/>
  <c r="AH24" i="9"/>
  <c r="AI24" i="9"/>
  <c r="AJ24" i="9"/>
  <c r="AK24" i="9"/>
  <c r="AL24" i="9"/>
  <c r="AM24" i="9"/>
  <c r="AN24" i="9"/>
  <c r="AO24" i="9"/>
  <c r="AP24" i="9"/>
  <c r="AQ24" i="9"/>
  <c r="AF22" i="9"/>
  <c r="AG22" i="9"/>
  <c r="AH22" i="9"/>
  <c r="AI22" i="9"/>
  <c r="AJ22" i="9"/>
  <c r="AK22" i="9"/>
  <c r="AL22" i="9"/>
  <c r="AM22" i="9"/>
  <c r="AN22" i="9"/>
  <c r="AO22" i="9"/>
  <c r="AP22" i="9"/>
  <c r="AQ22" i="9"/>
  <c r="AF29" i="9"/>
  <c r="AG29" i="9"/>
  <c r="AH29" i="9"/>
  <c r="AI29" i="9"/>
  <c r="AJ29" i="9"/>
  <c r="AK29" i="9"/>
  <c r="AL29" i="9"/>
  <c r="AM29" i="9"/>
  <c r="AN29" i="9"/>
  <c r="AO29" i="9"/>
  <c r="AP29" i="9"/>
  <c r="AQ29" i="9"/>
  <c r="AF25" i="9"/>
  <c r="AG25" i="9"/>
  <c r="AH25" i="9"/>
  <c r="AI25" i="9"/>
  <c r="AJ25" i="9"/>
  <c r="AK25" i="9"/>
  <c r="AL25" i="9"/>
  <c r="AM25" i="9"/>
  <c r="AN25" i="9"/>
  <c r="AO25" i="9"/>
  <c r="AP25" i="9"/>
  <c r="AQ25" i="9"/>
  <c r="H12" i="5"/>
  <c r="G12" i="5"/>
  <c r="F12" i="5"/>
  <c r="E12" i="5"/>
  <c r="D12" i="5"/>
  <c r="C12" i="5"/>
  <c r="H17" i="5"/>
  <c r="G17" i="5"/>
  <c r="F17" i="5"/>
  <c r="E17" i="5"/>
  <c r="D17" i="5"/>
  <c r="C17" i="5"/>
  <c r="H22" i="5"/>
  <c r="G22" i="5"/>
  <c r="F22" i="5"/>
  <c r="E22" i="5"/>
  <c r="D22" i="5"/>
  <c r="C22" i="5"/>
  <c r="H27" i="5"/>
  <c r="G27" i="5"/>
  <c r="F27" i="5"/>
  <c r="E27" i="5"/>
  <c r="D27" i="5"/>
  <c r="C27" i="5"/>
  <c r="H37" i="5"/>
  <c r="G37" i="5"/>
  <c r="F37" i="5"/>
  <c r="E37" i="5"/>
  <c r="D37" i="5"/>
  <c r="C37" i="5"/>
  <c r="H42" i="5"/>
  <c r="G42" i="5"/>
  <c r="F42" i="5"/>
  <c r="E42" i="5"/>
  <c r="D42" i="5"/>
  <c r="C42" i="5"/>
  <c r="H47" i="5"/>
  <c r="G47" i="5"/>
  <c r="F47" i="5"/>
  <c r="E47" i="5"/>
  <c r="D47" i="5"/>
  <c r="C47" i="5"/>
  <c r="H67" i="5"/>
  <c r="G67" i="5"/>
  <c r="F67" i="5"/>
  <c r="E67" i="5"/>
  <c r="D67" i="5"/>
  <c r="C67" i="5"/>
  <c r="H72" i="5"/>
  <c r="G72" i="5"/>
  <c r="F72" i="5"/>
  <c r="E72" i="5"/>
  <c r="D72" i="5"/>
  <c r="C72" i="5"/>
  <c r="H77" i="5"/>
  <c r="G77" i="5"/>
  <c r="F77" i="5"/>
  <c r="E77" i="5"/>
  <c r="D77" i="5"/>
  <c r="C77" i="5"/>
  <c r="H82" i="5"/>
  <c r="G82" i="5"/>
  <c r="F82" i="5"/>
  <c r="E82" i="5"/>
  <c r="D82" i="5"/>
  <c r="C82" i="5"/>
  <c r="H87" i="5"/>
  <c r="G87" i="5"/>
  <c r="F87" i="5"/>
  <c r="E87" i="5"/>
  <c r="D87" i="5"/>
  <c r="C87" i="5"/>
  <c r="H92" i="5"/>
  <c r="G92" i="5"/>
  <c r="F92" i="5"/>
  <c r="E92" i="5"/>
  <c r="D92" i="5"/>
  <c r="C92" i="5"/>
  <c r="H97" i="5"/>
  <c r="G97" i="5"/>
  <c r="F97" i="5"/>
  <c r="E97" i="5"/>
  <c r="D97" i="5"/>
  <c r="C97" i="5"/>
  <c r="AF31" i="9"/>
  <c r="AG31" i="9"/>
  <c r="AH31" i="9"/>
  <c r="AI31" i="9"/>
  <c r="AJ31" i="9"/>
  <c r="AK31" i="9"/>
  <c r="AL31" i="9"/>
  <c r="AM31" i="9"/>
  <c r="AN31" i="9"/>
  <c r="AO31" i="9"/>
  <c r="AP31" i="9"/>
  <c r="AQ31" i="9"/>
  <c r="AR21" i="9" l="1"/>
  <c r="AO13" i="9"/>
  <c r="AR13" i="9"/>
  <c r="K44" i="3"/>
  <c r="J44" i="3"/>
  <c r="J43" i="3"/>
  <c r="X157" i="6"/>
  <c r="B23" i="4"/>
  <c r="T19" i="10"/>
  <c r="I88" i="5"/>
  <c r="F88" i="5" s="1"/>
  <c r="T18" i="10"/>
  <c r="L27" i="3"/>
  <c r="W17" i="10" s="1"/>
  <c r="T17" i="10"/>
  <c r="L19" i="3"/>
  <c r="W9" i="10" s="1"/>
  <c r="B13" i="4"/>
  <c r="T9" i="10"/>
  <c r="X9" i="10" s="1"/>
  <c r="B9" i="4"/>
  <c r="L15" i="3"/>
  <c r="W5" i="10" s="1"/>
  <c r="T5" i="10"/>
  <c r="X5" i="10" s="1"/>
  <c r="D24" i="4"/>
  <c r="AH25" i="13" s="1"/>
  <c r="V25" i="13" s="1"/>
  <c r="T20" i="10"/>
  <c r="L25" i="3"/>
  <c r="P26" i="3"/>
  <c r="O60" i="3" s="1"/>
  <c r="L26" i="3"/>
  <c r="C14" i="4"/>
  <c r="AF16" i="13" s="1"/>
  <c r="L18" i="3"/>
  <c r="B10" i="4"/>
  <c r="AD13" i="13" s="1"/>
  <c r="R13" i="13" s="1"/>
  <c r="L16" i="3"/>
  <c r="W6" i="10" s="1"/>
  <c r="AS21" i="9"/>
  <c r="AS13" i="9"/>
  <c r="AP13" i="9"/>
  <c r="AV21" i="9"/>
  <c r="AU21" i="9"/>
  <c r="AU31" i="9"/>
  <c r="AV31" i="9"/>
  <c r="AS31" i="9"/>
  <c r="AV22" i="9"/>
  <c r="AS22" i="9"/>
  <c r="AU22" i="9"/>
  <c r="AU34" i="9"/>
  <c r="AV34" i="9"/>
  <c r="AS34" i="9"/>
  <c r="AV23" i="9"/>
  <c r="AS23" i="9"/>
  <c r="AU23" i="9"/>
  <c r="AS33" i="9"/>
  <c r="AU33" i="9"/>
  <c r="AV33" i="9"/>
  <c r="AS26" i="9"/>
  <c r="AU26" i="9"/>
  <c r="AV26" i="9"/>
  <c r="AU25" i="9"/>
  <c r="AV25" i="9"/>
  <c r="AS25" i="9"/>
  <c r="AS30" i="9"/>
  <c r="AU30" i="9"/>
  <c r="AV30" i="9"/>
  <c r="AU29" i="9"/>
  <c r="AS29" i="9"/>
  <c r="AV29" i="9"/>
  <c r="AV24" i="9"/>
  <c r="AU24" i="9"/>
  <c r="AS24" i="9"/>
  <c r="AV32" i="9"/>
  <c r="AS32" i="9"/>
  <c r="AU32" i="9"/>
  <c r="AV27" i="9"/>
  <c r="AS27" i="9"/>
  <c r="AU27" i="9"/>
  <c r="AV28" i="9"/>
  <c r="AU28" i="9"/>
  <c r="AS28" i="9"/>
  <c r="AR26" i="9"/>
  <c r="AR23" i="9"/>
  <c r="AR27" i="9"/>
  <c r="AR24" i="9"/>
  <c r="AR30" i="9"/>
  <c r="AR33" i="9"/>
  <c r="AR29" i="9"/>
  <c r="D19" i="4"/>
  <c r="AH20" i="13" s="1"/>
  <c r="V20" i="13" s="1"/>
  <c r="AS12" i="3"/>
  <c r="AR32" i="9"/>
  <c r="AR25" i="9"/>
  <c r="AR22" i="9"/>
  <c r="E52" i="5"/>
  <c r="AR28" i="9"/>
  <c r="B105" i="6"/>
  <c r="AF104" i="6" s="1"/>
  <c r="AE104" i="6" s="1"/>
  <c r="C106" i="6"/>
  <c r="AR31" i="9"/>
  <c r="AR34" i="9"/>
  <c r="B10" i="8" s="1"/>
  <c r="B16" i="8" s="1"/>
  <c r="E104" i="6"/>
  <c r="F105" i="6"/>
  <c r="AB135" i="6"/>
  <c r="AC136" i="6"/>
  <c r="H136" i="6"/>
  <c r="I137" i="6"/>
  <c r="C9" i="4"/>
  <c r="C5" i="10" s="1"/>
  <c r="B20" i="4"/>
  <c r="AD23" i="13" s="1"/>
  <c r="R23" i="13" s="1"/>
  <c r="I93" i="5"/>
  <c r="D93" i="5" s="1"/>
  <c r="I68" i="5"/>
  <c r="F68" i="5" s="1"/>
  <c r="B8" i="4"/>
  <c r="B4" i="10" s="1"/>
  <c r="P28" i="3"/>
  <c r="O62" i="3" s="1"/>
  <c r="C22" i="4"/>
  <c r="AF24" i="13" s="1"/>
  <c r="T24" i="13" s="1"/>
  <c r="E18" i="4"/>
  <c r="AJ18" i="13" s="1"/>
  <c r="X18" i="13" s="1"/>
  <c r="I13" i="5"/>
  <c r="D14" i="5" s="1"/>
  <c r="C7" i="4"/>
  <c r="C3" i="10" s="1"/>
  <c r="I3" i="10" s="1"/>
  <c r="D20" i="4"/>
  <c r="AH21" i="13" s="1"/>
  <c r="V21" i="13" s="1"/>
  <c r="C24" i="4"/>
  <c r="AF26" i="13" s="1"/>
  <c r="T26" i="13" s="1"/>
  <c r="I78" i="5"/>
  <c r="F79" i="5" s="1"/>
  <c r="I38" i="5"/>
  <c r="G38" i="5" s="1"/>
  <c r="P18" i="3"/>
  <c r="O52" i="3" s="1"/>
  <c r="C12" i="4"/>
  <c r="AF14" i="13" s="1"/>
  <c r="T14" i="13" s="1"/>
  <c r="B24" i="4"/>
  <c r="AD27" i="13" s="1"/>
  <c r="R27" i="13" s="1"/>
  <c r="Y27" i="13" s="1"/>
  <c r="C20" i="4"/>
  <c r="E20" i="4"/>
  <c r="AJ20" i="13" s="1"/>
  <c r="X20" i="13" s="1"/>
  <c r="D12" i="4"/>
  <c r="AH13" i="13" s="1"/>
  <c r="V13" i="13" s="1"/>
  <c r="N24" i="3"/>
  <c r="I18" i="5"/>
  <c r="D19" i="5" s="1"/>
  <c r="D7" i="4"/>
  <c r="D3" i="10" s="1"/>
  <c r="J3" i="10" s="1"/>
  <c r="P30" i="3"/>
  <c r="O64" i="3" s="1"/>
  <c r="P19" i="3"/>
  <c r="O53" i="3" s="1"/>
  <c r="B12" i="4"/>
  <c r="AD15" i="13" s="1"/>
  <c r="R15" i="13" s="1"/>
  <c r="D23" i="4"/>
  <c r="AH24" i="13" s="1"/>
  <c r="V24" i="13" s="1"/>
  <c r="B18" i="4"/>
  <c r="AD21" i="13" s="1"/>
  <c r="R21" i="13" s="1"/>
  <c r="E12" i="4"/>
  <c r="AJ12" i="13" s="1"/>
  <c r="X12" i="13" s="1"/>
  <c r="D13" i="4"/>
  <c r="AH14" i="13" s="1"/>
  <c r="V14" i="13" s="1"/>
  <c r="I23" i="5"/>
  <c r="D24" i="5" s="1"/>
  <c r="I43" i="5"/>
  <c r="F44" i="5" s="1"/>
  <c r="C13" i="4"/>
  <c r="AF15" i="13" s="1"/>
  <c r="T15" i="13" s="1"/>
  <c r="E24" i="4"/>
  <c r="AJ24" i="13" s="1"/>
  <c r="X24" i="13" s="1"/>
  <c r="D21" i="4"/>
  <c r="AH22" i="13" s="1"/>
  <c r="V22" i="13" s="1"/>
  <c r="C18" i="4"/>
  <c r="D18" i="4"/>
  <c r="AH19" i="13" s="1"/>
  <c r="V19" i="13" s="1"/>
  <c r="P15" i="3"/>
  <c r="O49" i="3" s="1"/>
  <c r="I98" i="5"/>
  <c r="E99" i="5" s="1"/>
  <c r="L30" i="3"/>
  <c r="I73" i="5"/>
  <c r="E74" i="5" s="1"/>
  <c r="I48" i="5"/>
  <c r="G48" i="5" s="1"/>
  <c r="L28" i="3"/>
  <c r="D22" i="4"/>
  <c r="AH23" i="13" s="1"/>
  <c r="V23" i="13" s="1"/>
  <c r="E22" i="4"/>
  <c r="AJ22" i="13" s="1"/>
  <c r="X22" i="13" s="1"/>
  <c r="E19" i="4"/>
  <c r="AJ19" i="13" s="1"/>
  <c r="X19" i="13" s="1"/>
  <c r="E7" i="4"/>
  <c r="E3" i="10" s="1"/>
  <c r="K3" i="10" s="1"/>
  <c r="P25" i="3"/>
  <c r="O59" i="3" s="1"/>
  <c r="B22" i="4"/>
  <c r="B19" i="4"/>
  <c r="AD22" i="13" s="1"/>
  <c r="R22" i="13" s="1"/>
  <c r="C19" i="4"/>
  <c r="AF21" i="13" s="1"/>
  <c r="T21" i="13" s="1"/>
  <c r="E13" i="4"/>
  <c r="AJ13" i="13" s="1"/>
  <c r="X13" i="13" s="1"/>
  <c r="V16" i="3"/>
  <c r="P13" i="3"/>
  <c r="B14" i="4"/>
  <c r="C8" i="4"/>
  <c r="C4" i="10" s="1"/>
  <c r="P29" i="3"/>
  <c r="O63" i="3" s="1"/>
  <c r="P14" i="3"/>
  <c r="O48" i="3" s="1"/>
  <c r="P20" i="3"/>
  <c r="O54" i="3" s="1"/>
  <c r="C23" i="4"/>
  <c r="AF25" i="13" s="1"/>
  <c r="T25" i="13" s="1"/>
  <c r="B21" i="4"/>
  <c r="C21" i="4"/>
  <c r="AF23" i="13" s="1"/>
  <c r="T23" i="13" s="1"/>
  <c r="E21" i="4"/>
  <c r="AJ21" i="13" s="1"/>
  <c r="X21" i="13" s="1"/>
  <c r="C10" i="4"/>
  <c r="AF12" i="13" s="1"/>
  <c r="T12" i="13" s="1"/>
  <c r="P16" i="3"/>
  <c r="O50" i="3" s="1"/>
  <c r="E9" i="4"/>
  <c r="E5" i="10" s="1"/>
  <c r="E10" i="4"/>
  <c r="E6" i="10" s="1"/>
  <c r="E8" i="4"/>
  <c r="E4" i="10" s="1"/>
  <c r="P27" i="3"/>
  <c r="O61" i="3" s="1"/>
  <c r="E23" i="4"/>
  <c r="AJ23" i="13" s="1"/>
  <c r="X23" i="13" s="1"/>
  <c r="I28" i="5"/>
  <c r="H28" i="5" s="1"/>
  <c r="I83" i="5"/>
  <c r="D9" i="4"/>
  <c r="D5" i="10" s="1"/>
  <c r="D10" i="4"/>
  <c r="D6" i="10" s="1"/>
  <c r="L29" i="3"/>
  <c r="W19" i="10" s="1"/>
  <c r="E14" i="4"/>
  <c r="AJ14" i="13" s="1"/>
  <c r="D14" i="4"/>
  <c r="AH15" i="13" s="1"/>
  <c r="AS13" i="3"/>
  <c r="K11" i="8" l="1"/>
  <c r="AQ13" i="9"/>
  <c r="O47" i="3"/>
  <c r="B10" i="10"/>
  <c r="AD17" i="13"/>
  <c r="R17" i="13" s="1"/>
  <c r="Y17" i="13" s="1"/>
  <c r="Y21" i="13"/>
  <c r="C16" i="10"/>
  <c r="AF22" i="13"/>
  <c r="T22" i="13" s="1"/>
  <c r="Y22" i="13" s="1"/>
  <c r="Y23" i="13"/>
  <c r="AB56" i="13" s="1"/>
  <c r="B18" i="10"/>
  <c r="AD25" i="13"/>
  <c r="R25" i="13" s="1"/>
  <c r="Y25" i="13" s="1"/>
  <c r="AB60" i="13"/>
  <c r="P61" i="13"/>
  <c r="Z27" i="13"/>
  <c r="AA27" i="13"/>
  <c r="C14" i="10"/>
  <c r="AF20" i="13"/>
  <c r="T20" i="13" s="1"/>
  <c r="Y20" i="13" s="1"/>
  <c r="Y18" i="13"/>
  <c r="AB51" i="13" s="1"/>
  <c r="B5" i="10"/>
  <c r="AD12" i="13"/>
  <c r="R12" i="13" s="1"/>
  <c r="B17" i="10"/>
  <c r="AD24" i="13"/>
  <c r="R24" i="13" s="1"/>
  <c r="Y24" i="13" s="1"/>
  <c r="AB57" i="13" s="1"/>
  <c r="Y19" i="13"/>
  <c r="B19" i="10"/>
  <c r="AD26" i="13"/>
  <c r="R26" i="13" s="1"/>
  <c r="Y26" i="13" s="1"/>
  <c r="B9" i="10"/>
  <c r="AD16" i="13"/>
  <c r="R16" i="13" s="1"/>
  <c r="N27" i="3"/>
  <c r="N15" i="3"/>
  <c r="D88" i="5"/>
  <c r="AH19" i="3"/>
  <c r="D14" i="10"/>
  <c r="AJ18" i="3"/>
  <c r="E14" i="10"/>
  <c r="AD21" i="3"/>
  <c r="R21" i="3" s="1"/>
  <c r="B14" i="10"/>
  <c r="BC13" i="9"/>
  <c r="K10" i="8"/>
  <c r="M19" i="3"/>
  <c r="N19" i="3"/>
  <c r="F89" i="5"/>
  <c r="AH13" i="3"/>
  <c r="V13" i="3" s="1"/>
  <c r="D8" i="10"/>
  <c r="AH21" i="3"/>
  <c r="D16" i="10"/>
  <c r="AF15" i="3"/>
  <c r="T15" i="3" s="1"/>
  <c r="C9" i="10"/>
  <c r="J88" i="5"/>
  <c r="AF14" i="3"/>
  <c r="T14" i="3" s="1"/>
  <c r="C8" i="10"/>
  <c r="AH20" i="3"/>
  <c r="D15" i="10"/>
  <c r="AD13" i="3"/>
  <c r="R13" i="3" s="1"/>
  <c r="B6" i="10"/>
  <c r="AJ22" i="3"/>
  <c r="E18" i="10"/>
  <c r="AH24" i="3"/>
  <c r="D19" i="10"/>
  <c r="AH23" i="3"/>
  <c r="D18" i="10"/>
  <c r="AD15" i="3"/>
  <c r="R15" i="3" s="1"/>
  <c r="B8" i="10"/>
  <c r="AD23" i="3"/>
  <c r="R23" i="3" s="1"/>
  <c r="B16" i="10"/>
  <c r="H89" i="5"/>
  <c r="H88" i="5"/>
  <c r="F5" i="10"/>
  <c r="J5" i="10" s="1"/>
  <c r="O5" i="10" s="1"/>
  <c r="C89" i="5"/>
  <c r="AJ13" i="3"/>
  <c r="X13" i="3" s="1"/>
  <c r="E9" i="10"/>
  <c r="E88" i="5"/>
  <c r="AD12" i="3"/>
  <c r="R12" i="3" s="1"/>
  <c r="G89" i="5"/>
  <c r="AF23" i="3"/>
  <c r="C17" i="10"/>
  <c r="AD16" i="3"/>
  <c r="R16" i="3" s="1"/>
  <c r="AJ19" i="3"/>
  <c r="E15" i="10"/>
  <c r="AH22" i="3"/>
  <c r="D17" i="10"/>
  <c r="AJ20" i="3"/>
  <c r="E16" i="10"/>
  <c r="N25" i="3"/>
  <c r="W15" i="10"/>
  <c r="AF12" i="3"/>
  <c r="T12" i="3" s="1"/>
  <c r="C6" i="10"/>
  <c r="AF21" i="3"/>
  <c r="C15" i="10"/>
  <c r="M28" i="3"/>
  <c r="W18" i="10"/>
  <c r="AJ21" i="3"/>
  <c r="E17" i="10"/>
  <c r="AD22" i="3"/>
  <c r="R22" i="3" s="1"/>
  <c r="B15" i="10"/>
  <c r="AJ23" i="3"/>
  <c r="E19" i="10"/>
  <c r="C88" i="5"/>
  <c r="AF24" i="3"/>
  <c r="C18" i="10"/>
  <c r="N18" i="3"/>
  <c r="W8" i="10"/>
  <c r="AH15" i="3"/>
  <c r="D10" i="10"/>
  <c r="M27" i="3"/>
  <c r="G88" i="5"/>
  <c r="E89" i="5"/>
  <c r="AH14" i="3"/>
  <c r="V14" i="3" s="1"/>
  <c r="D9" i="10"/>
  <c r="AF16" i="3"/>
  <c r="C10" i="10"/>
  <c r="AJ14" i="3"/>
  <c r="E10" i="10"/>
  <c r="AF25" i="3"/>
  <c r="C19" i="10"/>
  <c r="AD26" i="3"/>
  <c r="R26" i="3" s="1"/>
  <c r="D89" i="5"/>
  <c r="AJ12" i="3"/>
  <c r="X12" i="3" s="1"/>
  <c r="E8" i="10"/>
  <c r="N26" i="3"/>
  <c r="W16" i="10"/>
  <c r="AJ24" i="3"/>
  <c r="E20" i="10"/>
  <c r="AF26" i="3"/>
  <c r="C20" i="10"/>
  <c r="M30" i="3"/>
  <c r="W20" i="10"/>
  <c r="AD27" i="3"/>
  <c r="R27" i="3" s="1"/>
  <c r="B20" i="10"/>
  <c r="AH25" i="3"/>
  <c r="D20" i="10"/>
  <c r="M15" i="3"/>
  <c r="M18" i="3"/>
  <c r="M25" i="3"/>
  <c r="D11" i="8"/>
  <c r="C11" i="8"/>
  <c r="I11" i="8"/>
  <c r="H11" i="8"/>
  <c r="O11" i="8"/>
  <c r="N11" i="8"/>
  <c r="E11" i="8"/>
  <c r="M11" i="8"/>
  <c r="L11" i="8"/>
  <c r="Q11" i="8"/>
  <c r="G11" i="8"/>
  <c r="F11" i="8"/>
  <c r="P11" i="8"/>
  <c r="B11" i="8"/>
  <c r="B12" i="8" s="1"/>
  <c r="J11" i="8"/>
  <c r="AT21" i="9"/>
  <c r="C48" i="9"/>
  <c r="Q48" i="9" s="1"/>
  <c r="AE48" i="9" s="1"/>
  <c r="H48" i="9"/>
  <c r="V48" i="9" s="1"/>
  <c r="AJ48" i="9" s="1"/>
  <c r="M48" i="9"/>
  <c r="AA48" i="9" s="1"/>
  <c r="AO48" i="9" s="1"/>
  <c r="G48" i="9"/>
  <c r="U48" i="9" s="1"/>
  <c r="AI48" i="9" s="1"/>
  <c r="N48" i="9"/>
  <c r="AB48" i="9" s="1"/>
  <c r="AP48" i="9" s="1"/>
  <c r="O48" i="9"/>
  <c r="AC48" i="9" s="1"/>
  <c r="AQ48" i="9" s="1"/>
  <c r="I48" i="9"/>
  <c r="W48" i="9" s="1"/>
  <c r="AK48" i="9" s="1"/>
  <c r="D48" i="9"/>
  <c r="R48" i="9" s="1"/>
  <c r="AF48" i="9" s="1"/>
  <c r="B48" i="9"/>
  <c r="P48" i="9" s="1"/>
  <c r="AD48" i="9" s="1"/>
  <c r="J48" i="9"/>
  <c r="X48" i="9" s="1"/>
  <c r="AL48" i="9" s="1"/>
  <c r="K48" i="9"/>
  <c r="Y48" i="9" s="1"/>
  <c r="AM48" i="9" s="1"/>
  <c r="F48" i="9"/>
  <c r="T48" i="9" s="1"/>
  <c r="AH48" i="9" s="1"/>
  <c r="L48" i="9"/>
  <c r="Z48" i="9" s="1"/>
  <c r="AN48" i="9" s="1"/>
  <c r="E48" i="9"/>
  <c r="S48" i="9" s="1"/>
  <c r="AG48" i="9" s="1"/>
  <c r="C54" i="9"/>
  <c r="Q54" i="9" s="1"/>
  <c r="AE54" i="9" s="1"/>
  <c r="D54" i="9"/>
  <c r="R54" i="9" s="1"/>
  <c r="AF54" i="9" s="1"/>
  <c r="F54" i="9"/>
  <c r="T54" i="9" s="1"/>
  <c r="AH54" i="9" s="1"/>
  <c r="E54" i="9"/>
  <c r="S54" i="9" s="1"/>
  <c r="AG54" i="9" s="1"/>
  <c r="O54" i="9"/>
  <c r="AC54" i="9" s="1"/>
  <c r="AQ54" i="9" s="1"/>
  <c r="H54" i="9"/>
  <c r="V54" i="9" s="1"/>
  <c r="AJ54" i="9" s="1"/>
  <c r="B54" i="9"/>
  <c r="P54" i="9" s="1"/>
  <c r="AD54" i="9" s="1"/>
  <c r="M54" i="9"/>
  <c r="AA54" i="9" s="1"/>
  <c r="AO54" i="9" s="1"/>
  <c r="J54" i="9"/>
  <c r="X54" i="9" s="1"/>
  <c r="AL54" i="9" s="1"/>
  <c r="N54" i="9"/>
  <c r="AB54" i="9" s="1"/>
  <c r="AP54" i="9" s="1"/>
  <c r="G54" i="9"/>
  <c r="U54" i="9" s="1"/>
  <c r="AI54" i="9" s="1"/>
  <c r="K54" i="9"/>
  <c r="Y54" i="9" s="1"/>
  <c r="AM54" i="9" s="1"/>
  <c r="I54" i="9"/>
  <c r="W54" i="9" s="1"/>
  <c r="AK54" i="9" s="1"/>
  <c r="L54" i="9"/>
  <c r="Z54" i="9" s="1"/>
  <c r="AN54" i="9" s="1"/>
  <c r="C47" i="9"/>
  <c r="Q47" i="9" s="1"/>
  <c r="AE47" i="9" s="1"/>
  <c r="N47" i="9"/>
  <c r="AB47" i="9" s="1"/>
  <c r="AP47" i="9" s="1"/>
  <c r="G47" i="9"/>
  <c r="U47" i="9" s="1"/>
  <c r="AI47" i="9" s="1"/>
  <c r="F47" i="9"/>
  <c r="T47" i="9" s="1"/>
  <c r="AH47" i="9" s="1"/>
  <c r="L47" i="9"/>
  <c r="Z47" i="9" s="1"/>
  <c r="AN47" i="9" s="1"/>
  <c r="I47" i="9"/>
  <c r="W47" i="9" s="1"/>
  <c r="AK47" i="9" s="1"/>
  <c r="E47" i="9"/>
  <c r="S47" i="9" s="1"/>
  <c r="AG47" i="9" s="1"/>
  <c r="O47" i="9"/>
  <c r="AC47" i="9" s="1"/>
  <c r="AQ47" i="9" s="1"/>
  <c r="H47" i="9"/>
  <c r="V47" i="9" s="1"/>
  <c r="AJ47" i="9" s="1"/>
  <c r="B47" i="9"/>
  <c r="P47" i="9" s="1"/>
  <c r="AD47" i="9" s="1"/>
  <c r="K47" i="9"/>
  <c r="Y47" i="9" s="1"/>
  <c r="AM47" i="9" s="1"/>
  <c r="M47" i="9"/>
  <c r="AA47" i="9" s="1"/>
  <c r="AO47" i="9" s="1"/>
  <c r="J47" i="9"/>
  <c r="X47" i="9" s="1"/>
  <c r="AL47" i="9" s="1"/>
  <c r="D47" i="9"/>
  <c r="R47" i="9" s="1"/>
  <c r="AF47" i="9" s="1"/>
  <c r="C42" i="9"/>
  <c r="Q42" i="9" s="1"/>
  <c r="AE42" i="9" s="1"/>
  <c r="G42" i="9"/>
  <c r="U42" i="9" s="1"/>
  <c r="AI42" i="9" s="1"/>
  <c r="I42" i="9"/>
  <c r="W42" i="9" s="1"/>
  <c r="AK42" i="9" s="1"/>
  <c r="J42" i="9"/>
  <c r="X42" i="9" s="1"/>
  <c r="AL42" i="9" s="1"/>
  <c r="F42" i="9"/>
  <c r="T42" i="9" s="1"/>
  <c r="AH42" i="9" s="1"/>
  <c r="B42" i="9"/>
  <c r="P42" i="9" s="1"/>
  <c r="AD42" i="9" s="1"/>
  <c r="H42" i="9"/>
  <c r="V42" i="9" s="1"/>
  <c r="AJ42" i="9" s="1"/>
  <c r="D42" i="9"/>
  <c r="R42" i="9" s="1"/>
  <c r="AF42" i="9" s="1"/>
  <c r="N42" i="9"/>
  <c r="AB42" i="9" s="1"/>
  <c r="AP42" i="9" s="1"/>
  <c r="K42" i="9"/>
  <c r="Y42" i="9" s="1"/>
  <c r="AM42" i="9" s="1"/>
  <c r="O42" i="9"/>
  <c r="AC42" i="9" s="1"/>
  <c r="AQ42" i="9" s="1"/>
  <c r="L42" i="9"/>
  <c r="Z42" i="9" s="1"/>
  <c r="AN42" i="9" s="1"/>
  <c r="E42" i="9"/>
  <c r="S42" i="9" s="1"/>
  <c r="AG42" i="9" s="1"/>
  <c r="M42" i="9"/>
  <c r="AA42" i="9" s="1"/>
  <c r="AO42" i="9" s="1"/>
  <c r="C49" i="9"/>
  <c r="Q49" i="9" s="1"/>
  <c r="AE49" i="9" s="1"/>
  <c r="G49" i="9"/>
  <c r="U49" i="9" s="1"/>
  <c r="AI49" i="9" s="1"/>
  <c r="L49" i="9"/>
  <c r="Z49" i="9" s="1"/>
  <c r="AN49" i="9" s="1"/>
  <c r="B49" i="9"/>
  <c r="P49" i="9" s="1"/>
  <c r="AD49" i="9" s="1"/>
  <c r="O49" i="9"/>
  <c r="AC49" i="9" s="1"/>
  <c r="AQ49" i="9" s="1"/>
  <c r="M49" i="9"/>
  <c r="AA49" i="9" s="1"/>
  <c r="AO49" i="9" s="1"/>
  <c r="E49" i="9"/>
  <c r="S49" i="9" s="1"/>
  <c r="AG49" i="9" s="1"/>
  <c r="H49" i="9"/>
  <c r="V49" i="9" s="1"/>
  <c r="AJ49" i="9" s="1"/>
  <c r="K49" i="9"/>
  <c r="Y49" i="9" s="1"/>
  <c r="AM49" i="9" s="1"/>
  <c r="N49" i="9"/>
  <c r="AB49" i="9" s="1"/>
  <c r="AP49" i="9" s="1"/>
  <c r="J49" i="9"/>
  <c r="X49" i="9" s="1"/>
  <c r="AL49" i="9" s="1"/>
  <c r="F49" i="9"/>
  <c r="T49" i="9" s="1"/>
  <c r="AH49" i="9" s="1"/>
  <c r="D49" i="9"/>
  <c r="R49" i="9" s="1"/>
  <c r="AF49" i="9" s="1"/>
  <c r="I49" i="9"/>
  <c r="W49" i="9" s="1"/>
  <c r="AK49" i="9" s="1"/>
  <c r="C52" i="9"/>
  <c r="Q52" i="9" s="1"/>
  <c r="AE52" i="9" s="1"/>
  <c r="O52" i="9"/>
  <c r="AC52" i="9" s="1"/>
  <c r="AQ52" i="9" s="1"/>
  <c r="H52" i="9"/>
  <c r="V52" i="9" s="1"/>
  <c r="AJ52" i="9" s="1"/>
  <c r="G52" i="9"/>
  <c r="U52" i="9" s="1"/>
  <c r="AI52" i="9" s="1"/>
  <c r="E52" i="9"/>
  <c r="S52" i="9" s="1"/>
  <c r="AG52" i="9" s="1"/>
  <c r="N52" i="9"/>
  <c r="AB52" i="9" s="1"/>
  <c r="AP52" i="9" s="1"/>
  <c r="D52" i="9"/>
  <c r="R52" i="9" s="1"/>
  <c r="AF52" i="9" s="1"/>
  <c r="M52" i="9"/>
  <c r="AA52" i="9" s="1"/>
  <c r="AO52" i="9" s="1"/>
  <c r="B52" i="9"/>
  <c r="P52" i="9" s="1"/>
  <c r="AD52" i="9" s="1"/>
  <c r="F52" i="9"/>
  <c r="T52" i="9" s="1"/>
  <c r="AH52" i="9" s="1"/>
  <c r="J52" i="9"/>
  <c r="X52" i="9" s="1"/>
  <c r="AL52" i="9" s="1"/>
  <c r="L52" i="9"/>
  <c r="Z52" i="9" s="1"/>
  <c r="AN52" i="9" s="1"/>
  <c r="I52" i="9"/>
  <c r="W52" i="9" s="1"/>
  <c r="AK52" i="9" s="1"/>
  <c r="K52" i="9"/>
  <c r="Y52" i="9" s="1"/>
  <c r="AM52" i="9" s="1"/>
  <c r="C53" i="9"/>
  <c r="Q53" i="9" s="1"/>
  <c r="AE53" i="9" s="1"/>
  <c r="K53" i="9"/>
  <c r="Y53" i="9" s="1"/>
  <c r="AM53" i="9" s="1"/>
  <c r="F53" i="9"/>
  <c r="T53" i="9" s="1"/>
  <c r="AH53" i="9" s="1"/>
  <c r="H53" i="9"/>
  <c r="V53" i="9" s="1"/>
  <c r="AJ53" i="9" s="1"/>
  <c r="D53" i="9"/>
  <c r="R53" i="9" s="1"/>
  <c r="AF53" i="9" s="1"/>
  <c r="O53" i="9"/>
  <c r="AC53" i="9" s="1"/>
  <c r="AQ53" i="9" s="1"/>
  <c r="G53" i="9"/>
  <c r="U53" i="9" s="1"/>
  <c r="AI53" i="9" s="1"/>
  <c r="J53" i="9"/>
  <c r="X53" i="9" s="1"/>
  <c r="AL53" i="9" s="1"/>
  <c r="L53" i="9"/>
  <c r="Z53" i="9" s="1"/>
  <c r="AN53" i="9" s="1"/>
  <c r="I53" i="9"/>
  <c r="W53" i="9" s="1"/>
  <c r="AK53" i="9" s="1"/>
  <c r="N53" i="9"/>
  <c r="AB53" i="9" s="1"/>
  <c r="AP53" i="9" s="1"/>
  <c r="B53" i="9"/>
  <c r="P53" i="9" s="1"/>
  <c r="AD53" i="9" s="1"/>
  <c r="E53" i="9"/>
  <c r="S53" i="9" s="1"/>
  <c r="AG53" i="9" s="1"/>
  <c r="M53" i="9"/>
  <c r="AA53" i="9" s="1"/>
  <c r="AO53" i="9" s="1"/>
  <c r="C50" i="9"/>
  <c r="Q50" i="9" s="1"/>
  <c r="AE50" i="9" s="1"/>
  <c r="H50" i="9"/>
  <c r="V50" i="9" s="1"/>
  <c r="AJ50" i="9" s="1"/>
  <c r="D50" i="9"/>
  <c r="R50" i="9" s="1"/>
  <c r="AF50" i="9" s="1"/>
  <c r="B50" i="9"/>
  <c r="P50" i="9" s="1"/>
  <c r="AD50" i="9" s="1"/>
  <c r="K50" i="9"/>
  <c r="Y50" i="9" s="1"/>
  <c r="AM50" i="9" s="1"/>
  <c r="L50" i="9"/>
  <c r="Z50" i="9" s="1"/>
  <c r="AN50" i="9" s="1"/>
  <c r="M50" i="9"/>
  <c r="AA50" i="9" s="1"/>
  <c r="AO50" i="9" s="1"/>
  <c r="N50" i="9"/>
  <c r="AB50" i="9" s="1"/>
  <c r="AP50" i="9" s="1"/>
  <c r="G50" i="9"/>
  <c r="U50" i="9" s="1"/>
  <c r="AI50" i="9" s="1"/>
  <c r="O50" i="9"/>
  <c r="AC50" i="9" s="1"/>
  <c r="AQ50" i="9" s="1"/>
  <c r="J50" i="9"/>
  <c r="X50" i="9" s="1"/>
  <c r="AL50" i="9" s="1"/>
  <c r="I50" i="9"/>
  <c r="W50" i="9" s="1"/>
  <c r="AK50" i="9" s="1"/>
  <c r="F50" i="9"/>
  <c r="T50" i="9" s="1"/>
  <c r="AH50" i="9" s="1"/>
  <c r="E50" i="9"/>
  <c r="S50" i="9" s="1"/>
  <c r="AG50" i="9" s="1"/>
  <c r="C43" i="9"/>
  <c r="Q43" i="9" s="1"/>
  <c r="AE43" i="9" s="1"/>
  <c r="D43" i="9"/>
  <c r="R43" i="9" s="1"/>
  <c r="AF43" i="9" s="1"/>
  <c r="I43" i="9"/>
  <c r="W43" i="9" s="1"/>
  <c r="AK43" i="9" s="1"/>
  <c r="N43" i="9"/>
  <c r="AB43" i="9" s="1"/>
  <c r="AP43" i="9" s="1"/>
  <c r="K43" i="9"/>
  <c r="Y43" i="9" s="1"/>
  <c r="AM43" i="9" s="1"/>
  <c r="B43" i="9"/>
  <c r="P43" i="9" s="1"/>
  <c r="AD43" i="9" s="1"/>
  <c r="L43" i="9"/>
  <c r="Z43" i="9" s="1"/>
  <c r="AN43" i="9" s="1"/>
  <c r="H43" i="9"/>
  <c r="V43" i="9" s="1"/>
  <c r="AJ43" i="9" s="1"/>
  <c r="G43" i="9"/>
  <c r="U43" i="9" s="1"/>
  <c r="AI43" i="9" s="1"/>
  <c r="O43" i="9"/>
  <c r="AC43" i="9" s="1"/>
  <c r="AQ43" i="9" s="1"/>
  <c r="E43" i="9"/>
  <c r="S43" i="9" s="1"/>
  <c r="AG43" i="9" s="1"/>
  <c r="M43" i="9"/>
  <c r="AA43" i="9" s="1"/>
  <c r="AO43" i="9" s="1"/>
  <c r="J43" i="9"/>
  <c r="X43" i="9" s="1"/>
  <c r="AL43" i="9" s="1"/>
  <c r="F43" i="9"/>
  <c r="T43" i="9" s="1"/>
  <c r="AH43" i="9" s="1"/>
  <c r="C44" i="9"/>
  <c r="Q44" i="9" s="1"/>
  <c r="AE44" i="9" s="1"/>
  <c r="J44" i="9"/>
  <c r="X44" i="9" s="1"/>
  <c r="AL44" i="9" s="1"/>
  <c r="O44" i="9"/>
  <c r="AC44" i="9" s="1"/>
  <c r="AQ44" i="9" s="1"/>
  <c r="L44" i="9"/>
  <c r="Z44" i="9" s="1"/>
  <c r="AN44" i="9" s="1"/>
  <c r="F44" i="9"/>
  <c r="T44" i="9" s="1"/>
  <c r="AH44" i="9" s="1"/>
  <c r="D44" i="9"/>
  <c r="R44" i="9" s="1"/>
  <c r="AF44" i="9" s="1"/>
  <c r="M44" i="9"/>
  <c r="AA44" i="9" s="1"/>
  <c r="AO44" i="9" s="1"/>
  <c r="N44" i="9"/>
  <c r="AB44" i="9" s="1"/>
  <c r="AP44" i="9" s="1"/>
  <c r="G44" i="9"/>
  <c r="U44" i="9" s="1"/>
  <c r="AI44" i="9" s="1"/>
  <c r="I44" i="9"/>
  <c r="W44" i="9" s="1"/>
  <c r="AK44" i="9" s="1"/>
  <c r="B44" i="9"/>
  <c r="P44" i="9" s="1"/>
  <c r="AD44" i="9" s="1"/>
  <c r="E44" i="9"/>
  <c r="S44" i="9" s="1"/>
  <c r="AG44" i="9" s="1"/>
  <c r="K44" i="9"/>
  <c r="Y44" i="9" s="1"/>
  <c r="AM44" i="9" s="1"/>
  <c r="H44" i="9"/>
  <c r="V44" i="9" s="1"/>
  <c r="AJ44" i="9" s="1"/>
  <c r="B56" i="9"/>
  <c r="P56" i="9" s="1"/>
  <c r="AD56" i="9" s="1"/>
  <c r="L56" i="9"/>
  <c r="Z56" i="9" s="1"/>
  <c r="AN56" i="9" s="1"/>
  <c r="I56" i="9"/>
  <c r="W56" i="9" s="1"/>
  <c r="AK56" i="9" s="1"/>
  <c r="G56" i="9"/>
  <c r="U56" i="9" s="1"/>
  <c r="AI56" i="9" s="1"/>
  <c r="J56" i="9"/>
  <c r="X56" i="9" s="1"/>
  <c r="AL56" i="9" s="1"/>
  <c r="M56" i="9"/>
  <c r="AA56" i="9" s="1"/>
  <c r="AO56" i="9" s="1"/>
  <c r="C56" i="9"/>
  <c r="Q56" i="9" s="1"/>
  <c r="AE56" i="9" s="1"/>
  <c r="K56" i="9"/>
  <c r="Y56" i="9" s="1"/>
  <c r="AM56" i="9" s="1"/>
  <c r="F56" i="9"/>
  <c r="T56" i="9" s="1"/>
  <c r="AH56" i="9" s="1"/>
  <c r="N56" i="9"/>
  <c r="AB56" i="9" s="1"/>
  <c r="AP56" i="9" s="1"/>
  <c r="D56" i="9"/>
  <c r="R56" i="9" s="1"/>
  <c r="AF56" i="9" s="1"/>
  <c r="H56" i="9"/>
  <c r="V56" i="9" s="1"/>
  <c r="AJ56" i="9" s="1"/>
  <c r="E56" i="9"/>
  <c r="S56" i="9" s="1"/>
  <c r="AG56" i="9" s="1"/>
  <c r="C41" i="9"/>
  <c r="Q41" i="9" s="1"/>
  <c r="AE41" i="9" s="1"/>
  <c r="K41" i="9"/>
  <c r="Y41" i="9" s="1"/>
  <c r="AM41" i="9" s="1"/>
  <c r="E41" i="9"/>
  <c r="S41" i="9" s="1"/>
  <c r="AG41" i="9" s="1"/>
  <c r="N41" i="9"/>
  <c r="AB41" i="9" s="1"/>
  <c r="AP41" i="9" s="1"/>
  <c r="J41" i="9"/>
  <c r="X41" i="9" s="1"/>
  <c r="AL41" i="9" s="1"/>
  <c r="L41" i="9"/>
  <c r="Z41" i="9" s="1"/>
  <c r="AN41" i="9" s="1"/>
  <c r="I41" i="9"/>
  <c r="W41" i="9" s="1"/>
  <c r="AK41" i="9" s="1"/>
  <c r="M41" i="9"/>
  <c r="AA41" i="9" s="1"/>
  <c r="AO41" i="9" s="1"/>
  <c r="B41" i="9"/>
  <c r="P41" i="9" s="1"/>
  <c r="AD41" i="9" s="1"/>
  <c r="G41" i="9"/>
  <c r="U41" i="9" s="1"/>
  <c r="AI41" i="9" s="1"/>
  <c r="D41" i="9"/>
  <c r="R41" i="9" s="1"/>
  <c r="AF41" i="9" s="1"/>
  <c r="F41" i="9"/>
  <c r="T41" i="9" s="1"/>
  <c r="AH41" i="9" s="1"/>
  <c r="O41" i="9"/>
  <c r="AC41" i="9" s="1"/>
  <c r="AQ41" i="9" s="1"/>
  <c r="H41" i="9"/>
  <c r="V41" i="9" s="1"/>
  <c r="AJ41" i="9" s="1"/>
  <c r="C51" i="9"/>
  <c r="Q51" i="9" s="1"/>
  <c r="AE51" i="9" s="1"/>
  <c r="J51" i="9"/>
  <c r="X51" i="9" s="1"/>
  <c r="AL51" i="9" s="1"/>
  <c r="M51" i="9"/>
  <c r="AA51" i="9" s="1"/>
  <c r="AO51" i="9" s="1"/>
  <c r="L51" i="9"/>
  <c r="Z51" i="9" s="1"/>
  <c r="AN51" i="9" s="1"/>
  <c r="B51" i="9"/>
  <c r="P51" i="9" s="1"/>
  <c r="AD51" i="9" s="1"/>
  <c r="I51" i="9"/>
  <c r="W51" i="9" s="1"/>
  <c r="AK51" i="9" s="1"/>
  <c r="G51" i="9"/>
  <c r="U51" i="9" s="1"/>
  <c r="AI51" i="9" s="1"/>
  <c r="F51" i="9"/>
  <c r="T51" i="9" s="1"/>
  <c r="AH51" i="9" s="1"/>
  <c r="O51" i="9"/>
  <c r="AC51" i="9" s="1"/>
  <c r="AQ51" i="9" s="1"/>
  <c r="H51" i="9"/>
  <c r="V51" i="9" s="1"/>
  <c r="AJ51" i="9" s="1"/>
  <c r="N51" i="9"/>
  <c r="AB51" i="9" s="1"/>
  <c r="AP51" i="9" s="1"/>
  <c r="K51" i="9"/>
  <c r="Y51" i="9" s="1"/>
  <c r="AM51" i="9" s="1"/>
  <c r="E51" i="9"/>
  <c r="S51" i="9" s="1"/>
  <c r="AG51" i="9" s="1"/>
  <c r="D51" i="9"/>
  <c r="R51" i="9" s="1"/>
  <c r="AF51" i="9" s="1"/>
  <c r="C45" i="9"/>
  <c r="Q45" i="9" s="1"/>
  <c r="AE45" i="9" s="1"/>
  <c r="F45" i="9"/>
  <c r="T45" i="9" s="1"/>
  <c r="AH45" i="9" s="1"/>
  <c r="B45" i="9"/>
  <c r="P45" i="9" s="1"/>
  <c r="AD45" i="9" s="1"/>
  <c r="E45" i="9"/>
  <c r="S45" i="9" s="1"/>
  <c r="AG45" i="9" s="1"/>
  <c r="N45" i="9"/>
  <c r="AB45" i="9" s="1"/>
  <c r="AP45" i="9" s="1"/>
  <c r="O45" i="9"/>
  <c r="AC45" i="9" s="1"/>
  <c r="AQ45" i="9" s="1"/>
  <c r="J45" i="9"/>
  <c r="X45" i="9" s="1"/>
  <c r="AL45" i="9" s="1"/>
  <c r="M45" i="9"/>
  <c r="AA45" i="9" s="1"/>
  <c r="AO45" i="9" s="1"/>
  <c r="K45" i="9"/>
  <c r="Y45" i="9" s="1"/>
  <c r="AM45" i="9" s="1"/>
  <c r="D45" i="9"/>
  <c r="R45" i="9" s="1"/>
  <c r="AF45" i="9" s="1"/>
  <c r="I45" i="9"/>
  <c r="W45" i="9" s="1"/>
  <c r="AK45" i="9" s="1"/>
  <c r="G45" i="9"/>
  <c r="U45" i="9" s="1"/>
  <c r="AI45" i="9" s="1"/>
  <c r="L45" i="9"/>
  <c r="Z45" i="9" s="1"/>
  <c r="AN45" i="9" s="1"/>
  <c r="H45" i="9"/>
  <c r="V45" i="9" s="1"/>
  <c r="AJ45" i="9" s="1"/>
  <c r="C46" i="9"/>
  <c r="Q46" i="9" s="1"/>
  <c r="AE46" i="9" s="1"/>
  <c r="N46" i="9"/>
  <c r="AB46" i="9" s="1"/>
  <c r="AP46" i="9" s="1"/>
  <c r="J46" i="9"/>
  <c r="X46" i="9" s="1"/>
  <c r="AL46" i="9" s="1"/>
  <c r="L46" i="9"/>
  <c r="Z46" i="9" s="1"/>
  <c r="AN46" i="9" s="1"/>
  <c r="G46" i="9"/>
  <c r="U46" i="9" s="1"/>
  <c r="AI46" i="9" s="1"/>
  <c r="B46" i="9"/>
  <c r="P46" i="9" s="1"/>
  <c r="AD46" i="9" s="1"/>
  <c r="I46" i="9"/>
  <c r="W46" i="9" s="1"/>
  <c r="AK46" i="9" s="1"/>
  <c r="H46" i="9"/>
  <c r="V46" i="9" s="1"/>
  <c r="AJ46" i="9" s="1"/>
  <c r="O46" i="9"/>
  <c r="AC46" i="9" s="1"/>
  <c r="AQ46" i="9" s="1"/>
  <c r="D46" i="9"/>
  <c r="R46" i="9" s="1"/>
  <c r="AF46" i="9" s="1"/>
  <c r="E46" i="9"/>
  <c r="S46" i="9" s="1"/>
  <c r="AG46" i="9" s="1"/>
  <c r="K46" i="9"/>
  <c r="Y46" i="9" s="1"/>
  <c r="AM46" i="9" s="1"/>
  <c r="M46" i="9"/>
  <c r="AA46" i="9" s="1"/>
  <c r="AO46" i="9" s="1"/>
  <c r="F46" i="9"/>
  <c r="T46" i="9" s="1"/>
  <c r="AH46" i="9" s="1"/>
  <c r="C10" i="8"/>
  <c r="C16" i="8" s="1"/>
  <c r="H69" i="5"/>
  <c r="Q10" i="8"/>
  <c r="Q16" i="8" s="1"/>
  <c r="AT30" i="9"/>
  <c r="L10" i="8"/>
  <c r="L16" i="8" s="1"/>
  <c r="I10" i="8"/>
  <c r="I16" i="8" s="1"/>
  <c r="AT29" i="9"/>
  <c r="AT22" i="9"/>
  <c r="AT27" i="9"/>
  <c r="AT32" i="9"/>
  <c r="AT23" i="9"/>
  <c r="H10" i="8"/>
  <c r="H16" i="8" s="1"/>
  <c r="D10" i="8"/>
  <c r="D16" i="8" s="1"/>
  <c r="AT26" i="9"/>
  <c r="M10" i="8"/>
  <c r="M16" i="8" s="1"/>
  <c r="AT33" i="9"/>
  <c r="E10" i="8"/>
  <c r="E16" i="8" s="1"/>
  <c r="F10" i="8"/>
  <c r="F16" i="8" s="1"/>
  <c r="O10" i="8"/>
  <c r="O16" i="8" s="1"/>
  <c r="P10" i="8"/>
  <c r="P16" i="8" s="1"/>
  <c r="H39" i="5"/>
  <c r="N10" i="8"/>
  <c r="N16" i="8" s="1"/>
  <c r="D52" i="5"/>
  <c r="AT34" i="9"/>
  <c r="AT28" i="9"/>
  <c r="E105" i="6"/>
  <c r="F106" i="6"/>
  <c r="M26" i="3"/>
  <c r="H137" i="6"/>
  <c r="I138" i="6"/>
  <c r="AT24" i="9"/>
  <c r="J10" i="8"/>
  <c r="J16" i="8" s="1"/>
  <c r="B106" i="6"/>
  <c r="AF105" i="6" s="1"/>
  <c r="AE105" i="6" s="1"/>
  <c r="C107" i="6"/>
  <c r="E94" i="5"/>
  <c r="G10" i="8"/>
  <c r="G16" i="8" s="1"/>
  <c r="AB136" i="6"/>
  <c r="AC137" i="6"/>
  <c r="AT25" i="9"/>
  <c r="AT31" i="9"/>
  <c r="G69" i="5"/>
  <c r="E13" i="5"/>
  <c r="H68" i="5"/>
  <c r="E69" i="5"/>
  <c r="F19" i="5"/>
  <c r="F98" i="5"/>
  <c r="H44" i="5"/>
  <c r="E43" i="5"/>
  <c r="G68" i="5"/>
  <c r="J68" i="5"/>
  <c r="G44" i="5"/>
  <c r="D68" i="5"/>
  <c r="G99" i="5"/>
  <c r="F20" i="4"/>
  <c r="H94" i="5"/>
  <c r="C93" i="5"/>
  <c r="F18" i="5"/>
  <c r="C14" i="5"/>
  <c r="C79" i="5"/>
  <c r="C94" i="5"/>
  <c r="D94" i="5"/>
  <c r="AF22" i="3"/>
  <c r="D38" i="5"/>
  <c r="G14" i="5"/>
  <c r="C13" i="5"/>
  <c r="F12" i="4"/>
  <c r="J13" i="5"/>
  <c r="C98" i="5"/>
  <c r="J93" i="5"/>
  <c r="G94" i="5"/>
  <c r="H14" i="5"/>
  <c r="D79" i="5"/>
  <c r="F93" i="5"/>
  <c r="H93" i="5"/>
  <c r="F14" i="5"/>
  <c r="F94" i="5"/>
  <c r="F13" i="5"/>
  <c r="E93" i="5"/>
  <c r="G93" i="5"/>
  <c r="G13" i="5"/>
  <c r="F18" i="4"/>
  <c r="H18" i="5"/>
  <c r="C19" i="5"/>
  <c r="E18" i="5"/>
  <c r="G98" i="5"/>
  <c r="C18" i="5"/>
  <c r="D44" i="5"/>
  <c r="E68" i="5"/>
  <c r="F69" i="5"/>
  <c r="N30" i="3"/>
  <c r="E19" i="5"/>
  <c r="D18" i="5"/>
  <c r="J43" i="5"/>
  <c r="G43" i="5"/>
  <c r="C69" i="5"/>
  <c r="G19" i="5"/>
  <c r="D69" i="5"/>
  <c r="H13" i="5"/>
  <c r="H19" i="5"/>
  <c r="H24" i="5"/>
  <c r="C68" i="5"/>
  <c r="C43" i="5"/>
  <c r="J18" i="5"/>
  <c r="F13" i="4"/>
  <c r="E14" i="5"/>
  <c r="D13" i="5"/>
  <c r="G18" i="5"/>
  <c r="D43" i="5"/>
  <c r="D98" i="5"/>
  <c r="F43" i="5"/>
  <c r="J78" i="5"/>
  <c r="C78" i="5"/>
  <c r="F78" i="5"/>
  <c r="H78" i="5"/>
  <c r="G79" i="5"/>
  <c r="D78" i="5"/>
  <c r="E78" i="5"/>
  <c r="G78" i="5"/>
  <c r="J38" i="5"/>
  <c r="E39" i="5"/>
  <c r="E38" i="5"/>
  <c r="C38" i="5"/>
  <c r="G39" i="5"/>
  <c r="D39" i="5"/>
  <c r="C39" i="5"/>
  <c r="H38" i="5"/>
  <c r="G24" i="5"/>
  <c r="C24" i="5"/>
  <c r="H99" i="5"/>
  <c r="C44" i="5"/>
  <c r="E44" i="5"/>
  <c r="M24" i="3"/>
  <c r="F9" i="4"/>
  <c r="C23" i="5"/>
  <c r="E79" i="5"/>
  <c r="G23" i="5"/>
  <c r="D73" i="5"/>
  <c r="E24" i="5"/>
  <c r="F24" i="5"/>
  <c r="F7" i="4"/>
  <c r="D48" i="5"/>
  <c r="J98" i="5"/>
  <c r="H43" i="5"/>
  <c r="J73" i="5"/>
  <c r="E73" i="5"/>
  <c r="D99" i="5"/>
  <c r="H79" i="5"/>
  <c r="E98" i="5"/>
  <c r="D23" i="5"/>
  <c r="AF20" i="3"/>
  <c r="F38" i="5"/>
  <c r="F39" i="5"/>
  <c r="H98" i="5"/>
  <c r="F99" i="5"/>
  <c r="C99" i="5"/>
  <c r="E23" i="5"/>
  <c r="H23" i="5"/>
  <c r="H49" i="5"/>
  <c r="F19" i="4"/>
  <c r="F10" i="4"/>
  <c r="J23" i="5"/>
  <c r="F24" i="4"/>
  <c r="F23" i="5"/>
  <c r="N28" i="3"/>
  <c r="F48" i="5"/>
  <c r="F49" i="5"/>
  <c r="F8" i="4"/>
  <c r="F4" i="10" s="1"/>
  <c r="J4" i="10" s="1"/>
  <c r="D49" i="5"/>
  <c r="H74" i="5"/>
  <c r="G49" i="5"/>
  <c r="D74" i="5"/>
  <c r="E49" i="5"/>
  <c r="C49" i="5"/>
  <c r="C74" i="5"/>
  <c r="G74" i="5"/>
  <c r="C48" i="5"/>
  <c r="G73" i="5"/>
  <c r="J48" i="5"/>
  <c r="E48" i="5"/>
  <c r="H48" i="5"/>
  <c r="AD25" i="3"/>
  <c r="R25" i="3" s="1"/>
  <c r="F22" i="4"/>
  <c r="F74" i="5"/>
  <c r="C73" i="5"/>
  <c r="H73" i="5"/>
  <c r="F73" i="5"/>
  <c r="C28" i="5"/>
  <c r="D28" i="5"/>
  <c r="G29" i="5"/>
  <c r="F29" i="5"/>
  <c r="J28" i="5"/>
  <c r="E29" i="5"/>
  <c r="AD24" i="3"/>
  <c r="R24" i="3" s="1"/>
  <c r="F21" i="4"/>
  <c r="AD17" i="3"/>
  <c r="R17" i="3" s="1"/>
  <c r="F14" i="4"/>
  <c r="M29" i="3"/>
  <c r="N29" i="3"/>
  <c r="J83" i="5"/>
  <c r="D84" i="5"/>
  <c r="E84" i="5"/>
  <c r="F84" i="5"/>
  <c r="G83" i="5"/>
  <c r="E83" i="5"/>
  <c r="G84" i="5"/>
  <c r="H84" i="5"/>
  <c r="C84" i="5"/>
  <c r="F83" i="5"/>
  <c r="H83" i="5"/>
  <c r="C83" i="5"/>
  <c r="D83" i="5"/>
  <c r="N16" i="3"/>
  <c r="M16" i="3"/>
  <c r="H29" i="5"/>
  <c r="F28" i="5"/>
  <c r="D29" i="5"/>
  <c r="C29" i="5"/>
  <c r="G28" i="5"/>
  <c r="F23" i="4"/>
  <c r="E28" i="5"/>
  <c r="L33" i="2"/>
  <c r="AP17" i="3"/>
  <c r="M33" i="2"/>
  <c r="AR16" i="3"/>
  <c r="I99" i="2"/>
  <c r="U12" i="10" s="1"/>
  <c r="K36" i="2"/>
  <c r="L36" i="2"/>
  <c r="AP18" i="3"/>
  <c r="J36" i="2"/>
  <c r="AN19" i="3"/>
  <c r="M36" i="2"/>
  <c r="AR17" i="3"/>
  <c r="I100" i="2"/>
  <c r="U13" i="10" s="1"/>
  <c r="M39" i="2"/>
  <c r="AR18" i="3" s="1"/>
  <c r="K39" i="2"/>
  <c r="L39" i="2"/>
  <c r="J39" i="2"/>
  <c r="AN20" i="3"/>
  <c r="Z20" i="13" l="1"/>
  <c r="P54" i="13"/>
  <c r="AA20" i="13"/>
  <c r="AA22" i="13"/>
  <c r="P56" i="13"/>
  <c r="Z22" i="13"/>
  <c r="P55" i="13"/>
  <c r="AA21" i="13"/>
  <c r="Z21" i="13"/>
  <c r="P53" i="13"/>
  <c r="Z19" i="13"/>
  <c r="AA19" i="13"/>
  <c r="AA25" i="13"/>
  <c r="AB58" i="13"/>
  <c r="P59" i="13"/>
  <c r="Z25" i="13"/>
  <c r="AB55" i="13"/>
  <c r="P52" i="13"/>
  <c r="AA18" i="13"/>
  <c r="Z18" i="13"/>
  <c r="AA24" i="13"/>
  <c r="Z24" i="13"/>
  <c r="P58" i="13"/>
  <c r="AB53" i="13"/>
  <c r="AB50" i="13"/>
  <c r="Z17" i="13"/>
  <c r="P51" i="13"/>
  <c r="AA17" i="13"/>
  <c r="AB59" i="13"/>
  <c r="P60" i="13"/>
  <c r="AA26" i="13"/>
  <c r="Z26" i="13"/>
  <c r="H5" i="10"/>
  <c r="P57" i="13"/>
  <c r="AA23" i="13"/>
  <c r="Z23" i="13"/>
  <c r="AB52" i="13"/>
  <c r="AB27" i="13"/>
  <c r="R61" i="13" s="1"/>
  <c r="Q61" i="13"/>
  <c r="AB54" i="13"/>
  <c r="K12" i="8"/>
  <c r="K16" i="8"/>
  <c r="F18" i="10"/>
  <c r="H18" i="10" s="1"/>
  <c r="P33" i="2"/>
  <c r="F14" i="10"/>
  <c r="K14" i="10" s="1"/>
  <c r="Q14" i="10" s="1"/>
  <c r="AF14" i="10" s="1"/>
  <c r="F10" i="10"/>
  <c r="H10" i="10" s="1"/>
  <c r="F9" i="10"/>
  <c r="I9" i="10" s="1"/>
  <c r="I4" i="10"/>
  <c r="K5" i="10"/>
  <c r="Q5" i="10" s="1"/>
  <c r="AF5" i="10" s="1"/>
  <c r="F15" i="10"/>
  <c r="J15" i="10" s="1"/>
  <c r="O15" i="10" s="1"/>
  <c r="F8" i="10"/>
  <c r="V8" i="10" s="1"/>
  <c r="K4" i="10"/>
  <c r="F6" i="10"/>
  <c r="H6" i="10" s="1"/>
  <c r="H4" i="10"/>
  <c r="F19" i="10"/>
  <c r="J19" i="10" s="1"/>
  <c r="O19" i="10" s="1"/>
  <c r="I5" i="10"/>
  <c r="V5" i="10"/>
  <c r="F17" i="10"/>
  <c r="I17" i="10" s="1"/>
  <c r="F16" i="10"/>
  <c r="J16" i="10" s="1"/>
  <c r="O16" i="10" s="1"/>
  <c r="F20" i="10"/>
  <c r="C12" i="8"/>
  <c r="Q12" i="8"/>
  <c r="D12" i="8"/>
  <c r="O12" i="8"/>
  <c r="J12" i="8"/>
  <c r="E12" i="8"/>
  <c r="F12" i="8"/>
  <c r="I12" i="8"/>
  <c r="M12" i="8"/>
  <c r="N12" i="8"/>
  <c r="G12" i="8"/>
  <c r="L12" i="8"/>
  <c r="P12" i="8"/>
  <c r="H12" i="8"/>
  <c r="AR52" i="9"/>
  <c r="AS52" i="9" s="1"/>
  <c r="BC32" i="9" s="1"/>
  <c r="AR43" i="9"/>
  <c r="AS43" i="9" s="1"/>
  <c r="BC23" i="9" s="1"/>
  <c r="AR47" i="9"/>
  <c r="AS47" i="9" s="1"/>
  <c r="BC27" i="9" s="1"/>
  <c r="AR51" i="9"/>
  <c r="AS51" i="9" s="1"/>
  <c r="BC31" i="9" s="1"/>
  <c r="AR46" i="9"/>
  <c r="AS46" i="9" s="1"/>
  <c r="BC26" i="9" s="1"/>
  <c r="AR45" i="9"/>
  <c r="AS45" i="9" s="1"/>
  <c r="BC25" i="9" s="1"/>
  <c r="AR53" i="9"/>
  <c r="AS53" i="9" s="1"/>
  <c r="BC33" i="9" s="1"/>
  <c r="AR42" i="9"/>
  <c r="AS42" i="9" s="1"/>
  <c r="BC22" i="9" s="1"/>
  <c r="AR50" i="9"/>
  <c r="AS50" i="9" s="1"/>
  <c r="BC30" i="9" s="1"/>
  <c r="AR56" i="9"/>
  <c r="AS56" i="9" s="1"/>
  <c r="AZ13" i="9" s="1"/>
  <c r="AR54" i="9"/>
  <c r="AS54" i="9" s="1"/>
  <c r="BC34" i="9" s="1"/>
  <c r="AR49" i="9"/>
  <c r="AS49" i="9" s="1"/>
  <c r="BC29" i="9" s="1"/>
  <c r="AR41" i="9"/>
  <c r="AS41" i="9" s="1"/>
  <c r="BC21" i="9" s="1"/>
  <c r="AR44" i="9"/>
  <c r="AS44" i="9" s="1"/>
  <c r="BC24" i="9" s="1"/>
  <c r="AR48" i="9"/>
  <c r="AS48" i="9" s="1"/>
  <c r="BC28" i="9" s="1"/>
  <c r="C52" i="5"/>
  <c r="H138" i="6"/>
  <c r="I139" i="6"/>
  <c r="B107" i="6"/>
  <c r="AF106" i="6" s="1"/>
  <c r="AE106" i="6" s="1"/>
  <c r="C108" i="6"/>
  <c r="E106" i="6"/>
  <c r="F107" i="6"/>
  <c r="AB137" i="6"/>
  <c r="AC138" i="6"/>
  <c r="I33" i="5"/>
  <c r="D11" i="4"/>
  <c r="AH12" i="13" s="1"/>
  <c r="V12" i="13" s="1"/>
  <c r="Y12" i="13" s="1"/>
  <c r="B11" i="4"/>
  <c r="E11" i="4"/>
  <c r="E7" i="10" s="1"/>
  <c r="C11" i="4"/>
  <c r="AF13" i="13" s="1"/>
  <c r="T13" i="13" s="1"/>
  <c r="Y13" i="13" s="1"/>
  <c r="P17" i="3"/>
  <c r="P36" i="2"/>
  <c r="P39" i="2"/>
  <c r="AS17" i="3"/>
  <c r="T20" i="3"/>
  <c r="X18" i="3"/>
  <c r="AS18" i="3"/>
  <c r="O51" i="3" l="1"/>
  <c r="P43" i="3"/>
  <c r="AA12" i="13"/>
  <c r="Z12" i="13"/>
  <c r="P46" i="13"/>
  <c r="AB45" i="13"/>
  <c r="AB21" i="13"/>
  <c r="R55" i="13" s="1"/>
  <c r="Q55" i="13"/>
  <c r="Q52" i="13"/>
  <c r="AB18" i="13"/>
  <c r="R52" i="13" s="1"/>
  <c r="AA13" i="13"/>
  <c r="Z13" i="13"/>
  <c r="P47" i="13"/>
  <c r="AB46" i="13"/>
  <c r="Q60" i="13"/>
  <c r="AB26" i="13"/>
  <c r="R60" i="13" s="1"/>
  <c r="B7" i="10"/>
  <c r="AD14" i="13"/>
  <c r="R14" i="13" s="1"/>
  <c r="Q51" i="13"/>
  <c r="AB17" i="13"/>
  <c r="R51" i="13" s="1"/>
  <c r="Q57" i="13"/>
  <c r="AB23" i="13"/>
  <c r="R57" i="13" s="1"/>
  <c r="Q53" i="13"/>
  <c r="AB19" i="13"/>
  <c r="R53" i="13" s="1"/>
  <c r="Q56" i="13"/>
  <c r="AB22" i="13"/>
  <c r="R56" i="13" s="1"/>
  <c r="AB20" i="13"/>
  <c r="R54" i="13" s="1"/>
  <c r="Q54" i="13"/>
  <c r="AB24" i="13"/>
  <c r="R58" i="13" s="1"/>
  <c r="Q58" i="13"/>
  <c r="Q59" i="13"/>
  <c r="AB25" i="13"/>
  <c r="R59" i="13" s="1"/>
  <c r="H8" i="10"/>
  <c r="J18" i="10"/>
  <c r="O18" i="10" s="1"/>
  <c r="I18" i="10"/>
  <c r="M18" i="10" s="1"/>
  <c r="K18" i="10"/>
  <c r="Q18" i="10" s="1"/>
  <c r="AF18" i="10" s="1"/>
  <c r="J10" i="10"/>
  <c r="J8" i="10"/>
  <c r="O8" i="10" s="1"/>
  <c r="I10" i="10"/>
  <c r="K10" i="10"/>
  <c r="K8" i="10"/>
  <c r="Q8" i="10" s="1"/>
  <c r="AF8" i="10" s="1"/>
  <c r="I14" i="10"/>
  <c r="K15" i="10"/>
  <c r="Q15" i="10" s="1"/>
  <c r="AF15" i="10" s="1"/>
  <c r="H14" i="10"/>
  <c r="I15" i="10"/>
  <c r="K19" i="10"/>
  <c r="Q19" i="10" s="1"/>
  <c r="AF19" i="10" s="1"/>
  <c r="H15" i="10"/>
  <c r="J14" i="10"/>
  <c r="O14" i="10" s="1"/>
  <c r="H9" i="10"/>
  <c r="M9" i="10" s="1"/>
  <c r="K9" i="10"/>
  <c r="Q9" i="10" s="1"/>
  <c r="AF9" i="10" s="1"/>
  <c r="V9" i="10"/>
  <c r="J9" i="10"/>
  <c r="O9" i="10" s="1"/>
  <c r="I19" i="10"/>
  <c r="K20" i="10"/>
  <c r="Q20" i="10" s="1"/>
  <c r="AF20" i="10" s="1"/>
  <c r="J20" i="10"/>
  <c r="O20" i="10" s="1"/>
  <c r="I20" i="10"/>
  <c r="H17" i="10"/>
  <c r="M17" i="10" s="1"/>
  <c r="J6" i="10"/>
  <c r="O6" i="10" s="1"/>
  <c r="V6" i="10"/>
  <c r="K6" i="10"/>
  <c r="Q6" i="10" s="1"/>
  <c r="AF6" i="10" s="1"/>
  <c r="H16" i="10"/>
  <c r="I16" i="10"/>
  <c r="I8" i="10"/>
  <c r="I6" i="10"/>
  <c r="M6" i="10" s="1"/>
  <c r="H20" i="10"/>
  <c r="K17" i="10"/>
  <c r="Q17" i="10" s="1"/>
  <c r="AF17" i="10" s="1"/>
  <c r="AH12" i="3"/>
  <c r="V12" i="3" s="1"/>
  <c r="Y12" i="3" s="1"/>
  <c r="AA12" i="3" s="1"/>
  <c r="D7" i="10"/>
  <c r="H19" i="10"/>
  <c r="M19" i="10" s="1"/>
  <c r="J17" i="10"/>
  <c r="O17" i="10" s="1"/>
  <c r="K16" i="10"/>
  <c r="Q16" i="10" s="1"/>
  <c r="AF16" i="10" s="1"/>
  <c r="AF13" i="3"/>
  <c r="T13" i="3" s="1"/>
  <c r="Y13" i="3" s="1"/>
  <c r="Z13" i="3" s="1"/>
  <c r="C7" i="10"/>
  <c r="H139" i="6"/>
  <c r="I140" i="6"/>
  <c r="E107" i="6"/>
  <c r="F108" i="6"/>
  <c r="AB138" i="6"/>
  <c r="AC139" i="6"/>
  <c r="B108" i="6"/>
  <c r="AF107" i="6" s="1"/>
  <c r="AE107" i="6" s="1"/>
  <c r="C109" i="6"/>
  <c r="M17" i="3"/>
  <c r="N17" i="3"/>
  <c r="AD14" i="3"/>
  <c r="R14" i="3" s="1"/>
  <c r="F11" i="4"/>
  <c r="G33" i="5"/>
  <c r="C34" i="5"/>
  <c r="E34" i="5"/>
  <c r="H33" i="5"/>
  <c r="G34" i="5"/>
  <c r="F33" i="5"/>
  <c r="C33" i="5"/>
  <c r="F34" i="5"/>
  <c r="H34" i="5"/>
  <c r="D34" i="5"/>
  <c r="D33" i="5"/>
  <c r="E33" i="5"/>
  <c r="J33" i="5"/>
  <c r="AP19" i="3"/>
  <c r="I101" i="2"/>
  <c r="U14" i="10" s="1"/>
  <c r="X14" i="10" s="1"/>
  <c r="N42" i="3" l="1"/>
  <c r="N41" i="3"/>
  <c r="N43" i="3"/>
  <c r="N20" i="3"/>
  <c r="L20" i="3" s="1"/>
  <c r="N22" i="3"/>
  <c r="Q47" i="13"/>
  <c r="AB13" i="13"/>
  <c r="R47" i="13" s="1"/>
  <c r="M8" i="10"/>
  <c r="AB12" i="13"/>
  <c r="R46" i="13" s="1"/>
  <c r="Q46" i="13"/>
  <c r="M15" i="10"/>
  <c r="V14" i="10"/>
  <c r="M14" i="10"/>
  <c r="M20" i="10"/>
  <c r="M16" i="10"/>
  <c r="M23" i="3"/>
  <c r="T12" i="10"/>
  <c r="X12" i="10" s="1"/>
  <c r="F7" i="10"/>
  <c r="I7" i="10" s="1"/>
  <c r="Z12" i="3"/>
  <c r="AB12" i="3"/>
  <c r="Q46" i="3"/>
  <c r="AB139" i="6"/>
  <c r="AC140" i="6"/>
  <c r="H140" i="6"/>
  <c r="I141" i="6"/>
  <c r="B109" i="6"/>
  <c r="AF108" i="6" s="1"/>
  <c r="AE108" i="6" s="1"/>
  <c r="C110" i="6"/>
  <c r="E108" i="6"/>
  <c r="F109" i="6"/>
  <c r="P46" i="3"/>
  <c r="AB45" i="3"/>
  <c r="P47" i="3"/>
  <c r="AB46" i="3"/>
  <c r="M20" i="3"/>
  <c r="M22" i="3"/>
  <c r="N23" i="3"/>
  <c r="AA13" i="3"/>
  <c r="Q47" i="3" s="1"/>
  <c r="V19" i="3"/>
  <c r="J7" i="10" l="1"/>
  <c r="O7" i="10" s="1"/>
  <c r="W13" i="10"/>
  <c r="T13" i="10"/>
  <c r="X13" i="10" s="1"/>
  <c r="W12" i="10"/>
  <c r="V7" i="10"/>
  <c r="K7" i="10"/>
  <c r="Q7" i="10" s="1"/>
  <c r="AF7" i="10" s="1"/>
  <c r="H7" i="10"/>
  <c r="M7" i="10" s="1"/>
  <c r="E109" i="6"/>
  <c r="F110" i="6"/>
  <c r="H141" i="6"/>
  <c r="I142" i="6"/>
  <c r="AB140" i="6"/>
  <c r="AC141" i="6"/>
  <c r="B110" i="6"/>
  <c r="AF109" i="6" s="1"/>
  <c r="AE109" i="6" s="1"/>
  <c r="C111" i="6"/>
  <c r="AH17" i="3"/>
  <c r="V17" i="3" s="1"/>
  <c r="I58" i="5"/>
  <c r="C58" i="5" s="1"/>
  <c r="O56" i="3"/>
  <c r="AF18" i="3"/>
  <c r="T18" i="3" s="1"/>
  <c r="AJ16" i="3"/>
  <c r="X16" i="3" s="1"/>
  <c r="O57" i="3"/>
  <c r="AJ17" i="3"/>
  <c r="X17" i="3" s="1"/>
  <c r="AH18" i="3"/>
  <c r="V18" i="3" s="1"/>
  <c r="I63" i="5"/>
  <c r="AF19" i="3"/>
  <c r="T19" i="3" s="1"/>
  <c r="R46" i="3"/>
  <c r="AB13" i="3"/>
  <c r="R47" i="3" s="1"/>
  <c r="M42" i="2"/>
  <c r="AR19" i="3"/>
  <c r="AS19" i="3" s="1"/>
  <c r="K42" i="2"/>
  <c r="L42" i="2"/>
  <c r="AP20" i="3"/>
  <c r="V20" i="3" s="1"/>
  <c r="J42" i="2"/>
  <c r="AN21" i="3"/>
  <c r="T21" i="3" s="1"/>
  <c r="I102" i="2"/>
  <c r="U15" i="10" s="1"/>
  <c r="M45" i="2"/>
  <c r="AR20" i="3"/>
  <c r="X20" i="3" s="1"/>
  <c r="K45" i="2"/>
  <c r="L45" i="2"/>
  <c r="AP21" i="3"/>
  <c r="V21" i="3" s="1"/>
  <c r="J45" i="2"/>
  <c r="AN22" i="3"/>
  <c r="T22" i="3" s="1"/>
  <c r="I103" i="2"/>
  <c r="U16" i="10" s="1"/>
  <c r="M48" i="2"/>
  <c r="AR21" i="3"/>
  <c r="X21" i="3" s="1"/>
  <c r="K48" i="2"/>
  <c r="L48" i="2"/>
  <c r="AP22" i="3"/>
  <c r="V22" i="3" s="1"/>
  <c r="J48" i="2"/>
  <c r="AN23" i="3"/>
  <c r="T23" i="3" s="1"/>
  <c r="I104" i="2"/>
  <c r="U17" i="10" s="1"/>
  <c r="M51" i="2"/>
  <c r="AR22" i="3"/>
  <c r="K51" i="2"/>
  <c r="L51" i="2"/>
  <c r="AP23" i="3"/>
  <c r="V23" i="3" s="1"/>
  <c r="J51" i="2"/>
  <c r="AN24" i="3"/>
  <c r="T24" i="3" s="1"/>
  <c r="I105" i="2"/>
  <c r="U18" i="10" s="1"/>
  <c r="M54" i="2"/>
  <c r="AR23" i="3"/>
  <c r="K54" i="2"/>
  <c r="L54" i="2"/>
  <c r="AP24" i="3"/>
  <c r="V24" i="3" s="1"/>
  <c r="J54" i="2"/>
  <c r="AN25" i="3"/>
  <c r="T25" i="3" s="1"/>
  <c r="I106" i="2"/>
  <c r="U19" i="10" s="1"/>
  <c r="M57" i="2"/>
  <c r="AR24" i="3" s="1"/>
  <c r="K57" i="2"/>
  <c r="AP25" i="3" s="1"/>
  <c r="L57" i="2"/>
  <c r="J57" i="2"/>
  <c r="X17" i="10" l="1"/>
  <c r="V17" i="10"/>
  <c r="X19" i="10"/>
  <c r="V19" i="10"/>
  <c r="X16" i="10"/>
  <c r="V16" i="10"/>
  <c r="X18" i="10"/>
  <c r="V18" i="10"/>
  <c r="X15" i="10"/>
  <c r="V15" i="10"/>
  <c r="P25" i="2"/>
  <c r="I25" i="2" s="1"/>
  <c r="W10" i="10"/>
  <c r="P42" i="2"/>
  <c r="AB141" i="6"/>
  <c r="AC142" i="6"/>
  <c r="H142" i="6"/>
  <c r="I143" i="6"/>
  <c r="P45" i="2"/>
  <c r="B111" i="6"/>
  <c r="AF110" i="6" s="1"/>
  <c r="AE110" i="6" s="1"/>
  <c r="C112" i="6"/>
  <c r="P54" i="2"/>
  <c r="E110" i="6"/>
  <c r="F111" i="6"/>
  <c r="Y18" i="3"/>
  <c r="Z18" i="3" s="1"/>
  <c r="AD19" i="3"/>
  <c r="R19" i="3" s="1"/>
  <c r="AD20" i="3"/>
  <c r="R20" i="3" s="1"/>
  <c r="D58" i="5"/>
  <c r="E58" i="5"/>
  <c r="C59" i="5"/>
  <c r="G58" i="5"/>
  <c r="H59" i="5"/>
  <c r="F59" i="5"/>
  <c r="D59" i="5"/>
  <c r="F58" i="5"/>
  <c r="H58" i="5"/>
  <c r="J58" i="5"/>
  <c r="G59" i="5"/>
  <c r="E59" i="5"/>
  <c r="H64" i="5"/>
  <c r="E64" i="5"/>
  <c r="C63" i="5"/>
  <c r="F63" i="5"/>
  <c r="J63" i="5"/>
  <c r="C64" i="5"/>
  <c r="D63" i="5"/>
  <c r="H63" i="5"/>
  <c r="F64" i="5"/>
  <c r="D64" i="5"/>
  <c r="G64" i="5"/>
  <c r="E63" i="5"/>
  <c r="G63" i="5"/>
  <c r="X19" i="3"/>
  <c r="P57" i="2"/>
  <c r="P51" i="2"/>
  <c r="AS22" i="3"/>
  <c r="P48" i="2"/>
  <c r="AS23" i="3"/>
  <c r="AS20" i="3"/>
  <c r="X23" i="3"/>
  <c r="X22" i="3"/>
  <c r="Y21" i="3"/>
  <c r="Z21" i="3" s="1"/>
  <c r="AS21" i="3"/>
  <c r="AS24" i="3"/>
  <c r="X24" i="3"/>
  <c r="V25" i="3"/>
  <c r="K27" i="2" l="1"/>
  <c r="D27" i="2" s="1"/>
  <c r="L27" i="2"/>
  <c r="E27" i="2" s="1"/>
  <c r="M27" i="2"/>
  <c r="F27" i="2" s="1"/>
  <c r="G97" i="2" s="1"/>
  <c r="J27" i="2"/>
  <c r="C27" i="2" s="1"/>
  <c r="E97" i="2" s="1"/>
  <c r="P55" i="3"/>
  <c r="H143" i="6"/>
  <c r="I144" i="6"/>
  <c r="E111" i="6"/>
  <c r="F112" i="6"/>
  <c r="B112" i="6"/>
  <c r="AF111" i="6" s="1"/>
  <c r="AE111" i="6" s="1"/>
  <c r="C113" i="6"/>
  <c r="AB142" i="6"/>
  <c r="AC143" i="6"/>
  <c r="P52" i="3"/>
  <c r="AB51" i="3"/>
  <c r="AB54" i="3"/>
  <c r="Y19" i="3"/>
  <c r="Z19" i="3" s="1"/>
  <c r="AA18" i="3"/>
  <c r="Q52" i="3" s="1"/>
  <c r="Y20" i="3"/>
  <c r="Z20" i="3" s="1"/>
  <c r="Y23" i="3"/>
  <c r="Z23" i="3" s="1"/>
  <c r="Y22" i="3"/>
  <c r="Z22" i="3" s="1"/>
  <c r="AA21" i="3"/>
  <c r="Q55" i="3" s="1"/>
  <c r="AN26" i="3"/>
  <c r="I107" i="2"/>
  <c r="U20" i="10" s="1"/>
  <c r="Y24" i="3"/>
  <c r="Z24" i="3" s="1"/>
  <c r="AR14" i="3" l="1"/>
  <c r="AS14" i="3" s="1"/>
  <c r="AR14" i="13"/>
  <c r="J97" i="2"/>
  <c r="AN16" i="13"/>
  <c r="X20" i="10"/>
  <c r="V20" i="10"/>
  <c r="F97" i="2"/>
  <c r="P27" i="2"/>
  <c r="L97" i="2"/>
  <c r="X14" i="3"/>
  <c r="P53" i="3"/>
  <c r="P57" i="3"/>
  <c r="P58" i="3"/>
  <c r="P56" i="3"/>
  <c r="AB53" i="3"/>
  <c r="AB143" i="6"/>
  <c r="AC144" i="6"/>
  <c r="H144" i="6"/>
  <c r="I145" i="6"/>
  <c r="B113" i="6"/>
  <c r="AF112" i="6" s="1"/>
  <c r="AE112" i="6" s="1"/>
  <c r="C114" i="6"/>
  <c r="E112" i="6"/>
  <c r="F113" i="6"/>
  <c r="AB56" i="3"/>
  <c r="AB57" i="3"/>
  <c r="AB52" i="3"/>
  <c r="AB55" i="3"/>
  <c r="AA20" i="3"/>
  <c r="P54" i="3"/>
  <c r="AA19" i="3"/>
  <c r="AN16" i="3"/>
  <c r="AB18" i="3"/>
  <c r="R52" i="3" s="1"/>
  <c r="AA23" i="3"/>
  <c r="Q57" i="3" s="1"/>
  <c r="AA22" i="3"/>
  <c r="Q56" i="3" s="1"/>
  <c r="AB21" i="3"/>
  <c r="R55" i="3" s="1"/>
  <c r="T26" i="3"/>
  <c r="AA24" i="3"/>
  <c r="Q58" i="3" s="1"/>
  <c r="AP15" i="3" l="1"/>
  <c r="AS15" i="3" s="1"/>
  <c r="AP15" i="13"/>
  <c r="AS16" i="13"/>
  <c r="T16" i="13"/>
  <c r="Y16" i="13" s="1"/>
  <c r="AS14" i="13"/>
  <c r="X14" i="13"/>
  <c r="K97" i="2"/>
  <c r="I97" i="2"/>
  <c r="V15" i="3"/>
  <c r="H145" i="6"/>
  <c r="I146" i="6"/>
  <c r="AB144" i="6"/>
  <c r="AC145" i="6"/>
  <c r="E113" i="6"/>
  <c r="F114" i="6"/>
  <c r="B114" i="6"/>
  <c r="AF113" i="6" s="1"/>
  <c r="AE113" i="6" s="1"/>
  <c r="C115" i="6"/>
  <c r="AB20" i="3"/>
  <c r="R54" i="3" s="1"/>
  <c r="Q54" i="3"/>
  <c r="AB19" i="3"/>
  <c r="R53" i="3" s="1"/>
  <c r="Q53" i="3"/>
  <c r="AS16" i="3"/>
  <c r="T16" i="3"/>
  <c r="AB23" i="3"/>
  <c r="R57" i="3" s="1"/>
  <c r="AB22" i="3"/>
  <c r="R56" i="3" s="1"/>
  <c r="AB24" i="3"/>
  <c r="R58" i="3" s="1"/>
  <c r="M60" i="2"/>
  <c r="AR25" i="3"/>
  <c r="X25" i="3" s="1"/>
  <c r="K60" i="2"/>
  <c r="L60" i="2"/>
  <c r="AP26" i="3"/>
  <c r="V26" i="3" s="1"/>
  <c r="J60" i="2"/>
  <c r="AN27" i="3"/>
  <c r="T27" i="3" s="1"/>
  <c r="I108" i="2"/>
  <c r="U21" i="10" s="1"/>
  <c r="M63" i="2"/>
  <c r="AR26" i="3"/>
  <c r="X26" i="3" s="1"/>
  <c r="K63" i="2"/>
  <c r="L63" i="2"/>
  <c r="AP27" i="3"/>
  <c r="V27" i="3" s="1"/>
  <c r="J63" i="2"/>
  <c r="AN28" i="3"/>
  <c r="I109" i="2"/>
  <c r="U22" i="10" s="1"/>
  <c r="M66" i="2"/>
  <c r="AR27" i="3"/>
  <c r="X27" i="3" s="1"/>
  <c r="K66" i="2"/>
  <c r="L66" i="2"/>
  <c r="AP28" i="3"/>
  <c r="V28" i="3" s="1"/>
  <c r="J66" i="2"/>
  <c r="AN29" i="3"/>
  <c r="T29" i="3" s="1"/>
  <c r="I110" i="2"/>
  <c r="U23" i="10" s="1"/>
  <c r="M69" i="2"/>
  <c r="AR28" i="3"/>
  <c r="X28" i="3" s="1"/>
  <c r="K69" i="2"/>
  <c r="L69" i="2"/>
  <c r="AP29" i="3"/>
  <c r="V29" i="3" s="1"/>
  <c r="J69" i="2"/>
  <c r="AN30" i="3"/>
  <c r="T30" i="3" s="1"/>
  <c r="I111" i="2"/>
  <c r="U24" i="10" s="1"/>
  <c r="M72" i="2"/>
  <c r="AR29" i="3"/>
  <c r="X29" i="3" s="1"/>
  <c r="K72" i="2"/>
  <c r="L72" i="2"/>
  <c r="AP30" i="3"/>
  <c r="V30" i="3" s="1"/>
  <c r="J72" i="2"/>
  <c r="AN31" i="3"/>
  <c r="I112" i="2"/>
  <c r="U25" i="10" s="1"/>
  <c r="J75" i="2"/>
  <c r="AN32" i="3"/>
  <c r="T32" i="3" s="1"/>
  <c r="M75" i="2"/>
  <c r="AR30" i="3"/>
  <c r="X30" i="3" s="1"/>
  <c r="K75" i="2"/>
  <c r="L75" i="2"/>
  <c r="AP31" i="3"/>
  <c r="V31" i="3" s="1"/>
  <c r="R32" i="3"/>
  <c r="I113" i="2"/>
  <c r="U26" i="10" s="1"/>
  <c r="M78" i="2"/>
  <c r="AR31" i="3"/>
  <c r="X31" i="3" s="1"/>
  <c r="K78" i="2"/>
  <c r="L78" i="2"/>
  <c r="AP32" i="3"/>
  <c r="V32" i="3" s="1"/>
  <c r="J78" i="2"/>
  <c r="AN33" i="3"/>
  <c r="R33" i="3"/>
  <c r="I114" i="2"/>
  <c r="U27" i="10" s="1"/>
  <c r="J81" i="2"/>
  <c r="K81" i="2"/>
  <c r="L81" i="2"/>
  <c r="M81" i="2"/>
  <c r="J84" i="2"/>
  <c r="K84" i="2"/>
  <c r="L84" i="2"/>
  <c r="M84" i="2"/>
  <c r="J87" i="2"/>
  <c r="K87" i="2"/>
  <c r="L87" i="2"/>
  <c r="M87" i="2"/>
  <c r="AA16" i="13" l="1"/>
  <c r="Z16" i="13"/>
  <c r="AB49" i="13"/>
  <c r="P50" i="13"/>
  <c r="Y14" i="13"/>
  <c r="AB47" i="13" s="1"/>
  <c r="AB68" i="13" s="1"/>
  <c r="X35" i="13" s="1"/>
  <c r="Y35" i="13" s="1"/>
  <c r="AS15" i="13"/>
  <c r="V15" i="13"/>
  <c r="Y15" i="13" s="1"/>
  <c r="X26" i="10"/>
  <c r="V26" i="10"/>
  <c r="X25" i="10"/>
  <c r="V25" i="10"/>
  <c r="X24" i="10"/>
  <c r="V24" i="10"/>
  <c r="X23" i="10"/>
  <c r="V23" i="10"/>
  <c r="X22" i="10"/>
  <c r="V22" i="10"/>
  <c r="X21" i="10"/>
  <c r="V21" i="10"/>
  <c r="X27" i="10"/>
  <c r="V27" i="10"/>
  <c r="H146" i="6"/>
  <c r="I147" i="6"/>
  <c r="B115" i="6"/>
  <c r="AF114" i="6" s="1"/>
  <c r="AE114" i="6" s="1"/>
  <c r="C116" i="6"/>
  <c r="AB145" i="6"/>
  <c r="AC146" i="6"/>
  <c r="P60" i="2"/>
  <c r="P75" i="2"/>
  <c r="E114" i="6"/>
  <c r="F115" i="6"/>
  <c r="P78" i="2"/>
  <c r="T33" i="3"/>
  <c r="Y33" i="3" s="1"/>
  <c r="Z33" i="3" s="1"/>
  <c r="AS33" i="3"/>
  <c r="P84" i="2"/>
  <c r="P66" i="2"/>
  <c r="P87" i="2"/>
  <c r="P72" i="2"/>
  <c r="P69" i="2"/>
  <c r="P81" i="2"/>
  <c r="P63" i="2"/>
  <c r="AS31" i="3"/>
  <c r="AS26" i="3"/>
  <c r="Y25" i="3"/>
  <c r="Z25" i="3" s="1"/>
  <c r="AS25" i="3"/>
  <c r="AS27" i="3"/>
  <c r="Y27" i="3"/>
  <c r="Z27" i="3" s="1"/>
  <c r="AS30" i="3"/>
  <c r="AS28" i="3"/>
  <c r="Y26" i="3"/>
  <c r="Z26" i="3" s="1"/>
  <c r="AS32" i="3"/>
  <c r="T31" i="3"/>
  <c r="Y30" i="3"/>
  <c r="Z30" i="3" s="1"/>
  <c r="Y29" i="3"/>
  <c r="Z29" i="3" s="1"/>
  <c r="AS29" i="3"/>
  <c r="T28" i="3"/>
  <c r="P69" i="13" l="1"/>
  <c r="AA35" i="13"/>
  <c r="Z35" i="13"/>
  <c r="AB48" i="13"/>
  <c r="P49" i="13"/>
  <c r="Z15" i="13"/>
  <c r="AA15" i="13"/>
  <c r="AA14" i="13"/>
  <c r="P48" i="13"/>
  <c r="Z14" i="13"/>
  <c r="AB16" i="13"/>
  <c r="R50" i="13" s="1"/>
  <c r="Q50" i="13"/>
  <c r="P59" i="3"/>
  <c r="AB66" i="3"/>
  <c r="AB60" i="3"/>
  <c r="P63" i="3"/>
  <c r="P64" i="3"/>
  <c r="AB59" i="3"/>
  <c r="AB146" i="6"/>
  <c r="AC147" i="6"/>
  <c r="AB63" i="3"/>
  <c r="B116" i="6"/>
  <c r="AF115" i="6" s="1"/>
  <c r="AE115" i="6" s="1"/>
  <c r="C117" i="6"/>
  <c r="E115" i="6"/>
  <c r="F116" i="6"/>
  <c r="H147" i="6"/>
  <c r="I148" i="6"/>
  <c r="AB58" i="3"/>
  <c r="AB62" i="3"/>
  <c r="AA33" i="3"/>
  <c r="P67" i="3"/>
  <c r="AA26" i="3"/>
  <c r="P60" i="3"/>
  <c r="AA27" i="3"/>
  <c r="Q61" i="3" s="1"/>
  <c r="P61" i="3"/>
  <c r="AA25" i="3"/>
  <c r="Q59" i="3" s="1"/>
  <c r="Y31" i="3"/>
  <c r="Z31" i="3" s="1"/>
  <c r="AA30" i="3"/>
  <c r="Q64" i="3" s="1"/>
  <c r="AA29" i="3"/>
  <c r="Q63" i="3" s="1"/>
  <c r="Y28" i="3"/>
  <c r="Z28" i="3" s="1"/>
  <c r="Q49" i="13" l="1"/>
  <c r="AB15" i="13"/>
  <c r="R49" i="13" s="1"/>
  <c r="AB35" i="13"/>
  <c r="R69" i="13" s="1"/>
  <c r="Q69" i="13"/>
  <c r="AB14" i="13"/>
  <c r="R48" i="13" s="1"/>
  <c r="U46" i="13" s="1" a="1"/>
  <c r="Q48" i="13"/>
  <c r="H148" i="6"/>
  <c r="I149" i="6"/>
  <c r="E116" i="6"/>
  <c r="F117" i="6"/>
  <c r="B117" i="6"/>
  <c r="AF116" i="6" s="1"/>
  <c r="AE116" i="6" s="1"/>
  <c r="C118" i="6"/>
  <c r="AB147" i="6"/>
  <c r="AC148" i="6"/>
  <c r="P62" i="3"/>
  <c r="AB61" i="3"/>
  <c r="P65" i="3"/>
  <c r="AB64" i="3"/>
  <c r="AB27" i="3"/>
  <c r="R61" i="3" s="1"/>
  <c r="AB33" i="3"/>
  <c r="R67" i="3" s="1"/>
  <c r="Q67" i="3"/>
  <c r="AB26" i="3"/>
  <c r="R60" i="3" s="1"/>
  <c r="Q60" i="3"/>
  <c r="AB25" i="3"/>
  <c r="R59" i="3" s="1"/>
  <c r="AA31" i="3"/>
  <c r="Q65" i="3" s="1"/>
  <c r="AB30" i="3"/>
  <c r="R64" i="3" s="1"/>
  <c r="AB29" i="3"/>
  <c r="R63" i="3" s="1"/>
  <c r="AA28" i="3"/>
  <c r="Q62" i="3" s="1"/>
  <c r="U48" i="13" l="1"/>
  <c r="V50" i="13"/>
  <c r="U49" i="13"/>
  <c r="V48" i="13"/>
  <c r="V47" i="13"/>
  <c r="U46" i="13"/>
  <c r="V46" i="13"/>
  <c r="U47" i="13"/>
  <c r="V49" i="13"/>
  <c r="U50" i="13"/>
  <c r="AB148" i="6"/>
  <c r="AC149" i="6"/>
  <c r="B118" i="6"/>
  <c r="AF117" i="6" s="1"/>
  <c r="AE117" i="6" s="1"/>
  <c r="C119" i="6"/>
  <c r="E117" i="6"/>
  <c r="F118" i="6"/>
  <c r="H149" i="6"/>
  <c r="I150" i="6"/>
  <c r="AB31" i="3"/>
  <c r="R65" i="3" s="1"/>
  <c r="Y16" i="3"/>
  <c r="Z16" i="3" s="1"/>
  <c r="AB28" i="3"/>
  <c r="R62" i="3" s="1"/>
  <c r="AB49" i="3" l="1"/>
  <c r="B119" i="6"/>
  <c r="AF118" i="6" s="1"/>
  <c r="AE118" i="6" s="1"/>
  <c r="C120" i="6"/>
  <c r="H150" i="6"/>
  <c r="I151" i="6"/>
  <c r="E118" i="6"/>
  <c r="D118" i="6" s="1"/>
  <c r="F119" i="6"/>
  <c r="AB149" i="6"/>
  <c r="AC150" i="6"/>
  <c r="AA16" i="3"/>
  <c r="Q50" i="3" s="1"/>
  <c r="P50" i="3"/>
  <c r="Y17" i="3"/>
  <c r="Z17" i="3" s="1"/>
  <c r="Y15" i="3"/>
  <c r="Z15" i="3" s="1"/>
  <c r="Y32" i="3"/>
  <c r="Z32" i="3" s="1"/>
  <c r="AB48" i="3" l="1"/>
  <c r="AA17" i="3"/>
  <c r="Q51" i="3" s="1"/>
  <c r="AB150" i="6"/>
  <c r="AC151" i="6"/>
  <c r="E119" i="6"/>
  <c r="D119" i="6" s="1"/>
  <c r="F120" i="6"/>
  <c r="H151" i="6"/>
  <c r="I152" i="6"/>
  <c r="B120" i="6"/>
  <c r="AF119" i="6" s="1"/>
  <c r="AE119" i="6" s="1"/>
  <c r="C121" i="6"/>
  <c r="P66" i="3"/>
  <c r="AB65" i="3"/>
  <c r="P51" i="3"/>
  <c r="AB50" i="3"/>
  <c r="AA15" i="3"/>
  <c r="Q49" i="3" s="1"/>
  <c r="P49" i="3"/>
  <c r="AB16" i="3"/>
  <c r="R50" i="3" s="1"/>
  <c r="Y14" i="3"/>
  <c r="Z14" i="3" s="1"/>
  <c r="AA32" i="3"/>
  <c r="Q66" i="3" s="1"/>
  <c r="AB17" i="3" l="1"/>
  <c r="R51" i="3" s="1"/>
  <c r="B121" i="6"/>
  <c r="AF120" i="6" s="1"/>
  <c r="AE120" i="6" s="1"/>
  <c r="C122" i="6"/>
  <c r="H152" i="6"/>
  <c r="I153" i="6"/>
  <c r="E120" i="6"/>
  <c r="D120" i="6" s="1"/>
  <c r="F121" i="6"/>
  <c r="AB151" i="6"/>
  <c r="AC152" i="6"/>
  <c r="P48" i="3"/>
  <c r="AB47" i="3"/>
  <c r="AB68" i="3" s="1"/>
  <c r="X35" i="3" s="1"/>
  <c r="Y35" i="3" s="1"/>
  <c r="Z35" i="3" s="1"/>
  <c r="AB15" i="3"/>
  <c r="R49" i="3" s="1"/>
  <c r="AA14" i="3"/>
  <c r="Q48" i="3" s="1"/>
  <c r="AB32" i="3"/>
  <c r="R66" i="3" s="1"/>
  <c r="H153" i="6" l="1"/>
  <c r="I154" i="6"/>
  <c r="AB152" i="6"/>
  <c r="AC153" i="6"/>
  <c r="E121" i="6"/>
  <c r="D121" i="6" s="1"/>
  <c r="F122" i="6"/>
  <c r="AA35" i="3"/>
  <c r="P69" i="3"/>
  <c r="B122" i="6"/>
  <c r="AF121" i="6" s="1"/>
  <c r="AE121" i="6" s="1"/>
  <c r="C123" i="6"/>
  <c r="AB14" i="3"/>
  <c r="R48" i="3" s="1"/>
  <c r="U46" i="3" s="1" a="1"/>
  <c r="L21" i="2"/>
  <c r="M21" i="2"/>
  <c r="L30" i="2"/>
  <c r="M30" i="2"/>
  <c r="M12" i="2"/>
  <c r="P12" i="2" s="1"/>
  <c r="L18" i="2"/>
  <c r="M18" i="2"/>
  <c r="L24" i="2"/>
  <c r="M24" i="2"/>
  <c r="L15" i="2"/>
  <c r="M15" i="2"/>
  <c r="P15" i="2" s="1"/>
  <c r="P21" i="2" l="1"/>
  <c r="P24" i="2"/>
  <c r="AB153" i="6"/>
  <c r="AC154" i="6"/>
  <c r="AB35" i="3"/>
  <c r="R69" i="3" s="1"/>
  <c r="Q69" i="3"/>
  <c r="P30" i="2"/>
  <c r="E122" i="6"/>
  <c r="D122" i="6" s="1"/>
  <c r="F123" i="6"/>
  <c r="P18" i="2"/>
  <c r="B123" i="6"/>
  <c r="AF122" i="6" s="1"/>
  <c r="AE122" i="6" s="1"/>
  <c r="C124" i="6"/>
  <c r="H154" i="6"/>
  <c r="I155" i="6"/>
  <c r="U47" i="3"/>
  <c r="V46" i="3"/>
  <c r="U46" i="3"/>
  <c r="V47" i="3"/>
  <c r="U50" i="3"/>
  <c r="V49" i="3"/>
  <c r="V48" i="3"/>
  <c r="U48" i="3"/>
  <c r="V50" i="3"/>
  <c r="U49" i="3"/>
  <c r="E123" i="6" l="1"/>
  <c r="D123" i="6" s="1"/>
  <c r="F124" i="6"/>
  <c r="H155" i="6"/>
  <c r="I156" i="6"/>
  <c r="B124" i="6"/>
  <c r="AF123" i="6" s="1"/>
  <c r="AE123" i="6" s="1"/>
  <c r="C125" i="6"/>
  <c r="AB154" i="6"/>
  <c r="AC155" i="6"/>
  <c r="AB155" i="6" l="1"/>
  <c r="AC156" i="6"/>
  <c r="B125" i="6"/>
  <c r="AF124" i="6" s="1"/>
  <c r="AE124" i="6" s="1"/>
  <c r="C126" i="6"/>
  <c r="H156" i="6"/>
  <c r="I157" i="6"/>
  <c r="H157" i="6" s="1"/>
  <c r="E124" i="6"/>
  <c r="D124" i="6" s="1"/>
  <c r="F125" i="6"/>
  <c r="E125" i="6" l="1"/>
  <c r="D125" i="6" s="1"/>
  <c r="F126" i="6"/>
  <c r="B126" i="6"/>
  <c r="AF125" i="6" s="1"/>
  <c r="AE125" i="6" s="1"/>
  <c r="C127" i="6"/>
  <c r="AB156" i="6"/>
  <c r="AC157" i="6"/>
  <c r="AB157" i="6" s="1"/>
  <c r="B127" i="6" l="1"/>
  <c r="AF126" i="6" s="1"/>
  <c r="AE126" i="6" s="1"/>
  <c r="C128" i="6"/>
  <c r="E126" i="6"/>
  <c r="D126" i="6" s="1"/>
  <c r="F127" i="6"/>
  <c r="E127" i="6" l="1"/>
  <c r="D127" i="6" s="1"/>
  <c r="F128" i="6"/>
  <c r="B128" i="6"/>
  <c r="AF127" i="6" s="1"/>
  <c r="AE127" i="6" s="1"/>
  <c r="C129" i="6"/>
  <c r="B129" i="6" l="1"/>
  <c r="AF128" i="6" s="1"/>
  <c r="AE128" i="6" s="1"/>
  <c r="C130" i="6"/>
  <c r="E128" i="6"/>
  <c r="D128" i="6" s="1"/>
  <c r="F129" i="6"/>
  <c r="E129" i="6" l="1"/>
  <c r="D129" i="6" s="1"/>
  <c r="F130" i="6"/>
  <c r="B130" i="6"/>
  <c r="AF129" i="6" s="1"/>
  <c r="AE129" i="6" s="1"/>
  <c r="C131" i="6"/>
  <c r="B131" i="6" l="1"/>
  <c r="AF130" i="6" s="1"/>
  <c r="AE130" i="6" s="1"/>
  <c r="C132" i="6"/>
  <c r="E130" i="6"/>
  <c r="D130" i="6" s="1"/>
  <c r="F131" i="6"/>
  <c r="E131" i="6" l="1"/>
  <c r="D131" i="6" s="1"/>
  <c r="F132" i="6"/>
  <c r="B132" i="6"/>
  <c r="AF131" i="6" s="1"/>
  <c r="AE131" i="6" s="1"/>
  <c r="C133" i="6"/>
  <c r="B133" i="6" l="1"/>
  <c r="AF132" i="6" s="1"/>
  <c r="AE132" i="6" s="1"/>
  <c r="C134" i="6"/>
  <c r="E132" i="6"/>
  <c r="D132" i="6" s="1"/>
  <c r="F133" i="6"/>
  <c r="E133" i="6" l="1"/>
  <c r="D133" i="6" s="1"/>
  <c r="F134" i="6"/>
  <c r="B134" i="6"/>
  <c r="AF133" i="6" s="1"/>
  <c r="AE133" i="6" s="1"/>
  <c r="C135" i="6"/>
  <c r="B135" i="6" l="1"/>
  <c r="AF134" i="6" s="1"/>
  <c r="AE134" i="6" s="1"/>
  <c r="C136" i="6"/>
  <c r="E134" i="6"/>
  <c r="D134" i="6" s="1"/>
  <c r="F135" i="6"/>
  <c r="E135" i="6" l="1"/>
  <c r="D135" i="6" s="1"/>
  <c r="F136" i="6"/>
  <c r="B136" i="6"/>
  <c r="AF135" i="6" s="1"/>
  <c r="AE135" i="6" s="1"/>
  <c r="C137" i="6"/>
  <c r="B137" i="6" l="1"/>
  <c r="AF136" i="6" s="1"/>
  <c r="AE136" i="6" s="1"/>
  <c r="C138" i="6"/>
  <c r="E136" i="6"/>
  <c r="D136" i="6" s="1"/>
  <c r="F137" i="6"/>
  <c r="E137" i="6" l="1"/>
  <c r="D137" i="6" s="1"/>
  <c r="F138" i="6"/>
  <c r="B138" i="6"/>
  <c r="AF137" i="6" s="1"/>
  <c r="AE137" i="6" s="1"/>
  <c r="C139" i="6"/>
  <c r="B139" i="6" l="1"/>
  <c r="AF138" i="6" s="1"/>
  <c r="AE138" i="6" s="1"/>
  <c r="C140" i="6"/>
  <c r="E138" i="6"/>
  <c r="D138" i="6" s="1"/>
  <c r="F139" i="6"/>
  <c r="E139" i="6" l="1"/>
  <c r="D139" i="6" s="1"/>
  <c r="F140" i="6"/>
  <c r="B140" i="6"/>
  <c r="AF139" i="6" s="1"/>
  <c r="AE139" i="6" s="1"/>
  <c r="C141" i="6"/>
  <c r="B141" i="6" l="1"/>
  <c r="AF140" i="6" s="1"/>
  <c r="AE140" i="6" s="1"/>
  <c r="C142" i="6"/>
  <c r="E140" i="6"/>
  <c r="D140" i="6" s="1"/>
  <c r="F141" i="6"/>
  <c r="E141" i="6" l="1"/>
  <c r="D141" i="6" s="1"/>
  <c r="F142" i="6"/>
  <c r="B142" i="6"/>
  <c r="AF141" i="6" s="1"/>
  <c r="AE141" i="6" s="1"/>
  <c r="C143" i="6"/>
  <c r="B143" i="6" l="1"/>
  <c r="AF142" i="6" s="1"/>
  <c r="AE142" i="6" s="1"/>
  <c r="C144" i="6"/>
  <c r="E142" i="6"/>
  <c r="D142" i="6" s="1"/>
  <c r="F143" i="6"/>
  <c r="E143" i="6" l="1"/>
  <c r="D143" i="6" s="1"/>
  <c r="F144" i="6"/>
  <c r="B144" i="6"/>
  <c r="AF143" i="6" s="1"/>
  <c r="AE143" i="6" s="1"/>
  <c r="C145" i="6"/>
  <c r="B145" i="6" l="1"/>
  <c r="AF144" i="6" s="1"/>
  <c r="AE144" i="6" s="1"/>
  <c r="C146" i="6"/>
  <c r="E144" i="6"/>
  <c r="D144" i="6" s="1"/>
  <c r="F145" i="6"/>
  <c r="E145" i="6" l="1"/>
  <c r="D145" i="6" s="1"/>
  <c r="F146" i="6"/>
  <c r="B146" i="6"/>
  <c r="AF145" i="6" s="1"/>
  <c r="AE145" i="6" s="1"/>
  <c r="C147" i="6"/>
  <c r="B147" i="6" l="1"/>
  <c r="AF146" i="6" s="1"/>
  <c r="AE146" i="6" s="1"/>
  <c r="C148" i="6"/>
  <c r="E146" i="6"/>
  <c r="D146" i="6" s="1"/>
  <c r="F147" i="6"/>
  <c r="E147" i="6" l="1"/>
  <c r="D147" i="6" s="1"/>
  <c r="F148" i="6"/>
  <c r="B148" i="6"/>
  <c r="AF147" i="6" s="1"/>
  <c r="AE147" i="6" s="1"/>
  <c r="C149" i="6"/>
  <c r="B149" i="6" l="1"/>
  <c r="AF148" i="6" s="1"/>
  <c r="AE148" i="6" s="1"/>
  <c r="C150" i="6"/>
  <c r="E148" i="6"/>
  <c r="D148" i="6" s="1"/>
  <c r="F149" i="6"/>
  <c r="E149" i="6" l="1"/>
  <c r="D149" i="6" s="1"/>
  <c r="F150" i="6"/>
  <c r="B150" i="6"/>
  <c r="AF149" i="6" s="1"/>
  <c r="AE149" i="6" s="1"/>
  <c r="C151" i="6"/>
  <c r="B151" i="6" l="1"/>
  <c r="AF150" i="6" s="1"/>
  <c r="AE150" i="6" s="1"/>
  <c r="C152" i="6"/>
  <c r="E150" i="6"/>
  <c r="D150" i="6" s="1"/>
  <c r="F151" i="6"/>
  <c r="E151" i="6" l="1"/>
  <c r="D151" i="6" s="1"/>
  <c r="F152" i="6"/>
  <c r="B152" i="6"/>
  <c r="AF151" i="6" s="1"/>
  <c r="AE151" i="6" s="1"/>
  <c r="C153" i="6"/>
  <c r="B153" i="6" l="1"/>
  <c r="AF152" i="6" s="1"/>
  <c r="AE152" i="6" s="1"/>
  <c r="C154" i="6"/>
  <c r="E152" i="6"/>
  <c r="D152" i="6" s="1"/>
  <c r="F153" i="6"/>
  <c r="E153" i="6" l="1"/>
  <c r="D153" i="6" s="1"/>
  <c r="F154" i="6"/>
  <c r="B154" i="6"/>
  <c r="AF153" i="6" s="1"/>
  <c r="AE153" i="6" s="1"/>
  <c r="C155" i="6"/>
  <c r="B155" i="6" l="1"/>
  <c r="AF154" i="6" s="1"/>
  <c r="AE154" i="6" s="1"/>
  <c r="C156" i="6"/>
  <c r="E154" i="6"/>
  <c r="D154" i="6" s="1"/>
  <c r="F155" i="6"/>
  <c r="E155" i="6" l="1"/>
  <c r="D155" i="6" s="1"/>
  <c r="F156" i="6"/>
  <c r="B156" i="6"/>
  <c r="AF155" i="6" s="1"/>
  <c r="AE155" i="6" s="1"/>
  <c r="C157" i="6"/>
  <c r="B157" i="6" s="1"/>
  <c r="AF156" i="6" s="1"/>
  <c r="AE156" i="6" l="1"/>
  <c r="AF157" i="6"/>
  <c r="AE157" i="6" s="1"/>
  <c r="E156" i="6"/>
  <c r="D156" i="6" s="1"/>
  <c r="F157" i="6"/>
  <c r="E157" i="6" s="1"/>
  <c r="D157" i="6" s="1"/>
  <c r="C36" i="4" l="1"/>
  <c r="AF38" i="13" s="1"/>
  <c r="D36" i="4"/>
  <c r="AH37" i="13" s="1"/>
  <c r="AF38" i="3" l="1"/>
  <c r="C32" i="10"/>
  <c r="AH37" i="3"/>
  <c r="D32" i="10"/>
  <c r="B36" i="4"/>
  <c r="E36" i="4"/>
  <c r="AJ36" i="13" s="1"/>
  <c r="B32" i="10" l="1"/>
  <c r="AD39" i="13"/>
  <c r="AJ36" i="3"/>
  <c r="E32" i="10"/>
  <c r="F32" i="10" s="1"/>
  <c r="F36" i="4"/>
  <c r="AD39" i="3"/>
  <c r="J32" i="10" l="1"/>
  <c r="H32" i="10"/>
  <c r="I32" i="10"/>
  <c r="K32" i="10"/>
  <c r="L22" i="13" l="1"/>
  <c r="L23"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 Miller</author>
  </authors>
  <commentList>
    <comment ref="A130" authorId="0" shapeId="0" xr:uid="{00000000-0006-0000-0000-000001000000}">
      <text>
        <r>
          <rPr>
            <b/>
            <sz val="9"/>
            <color indexed="81"/>
            <rFont val="Tahoma"/>
            <family val="2"/>
          </rPr>
          <t>Sara Miller:</t>
        </r>
        <r>
          <rPr>
            <sz val="9"/>
            <color indexed="81"/>
            <rFont val="Tahoma"/>
            <family val="2"/>
          </rPr>
          <t xml:space="preserve">
Fixed sample size</t>
        </r>
      </text>
    </comment>
    <comment ref="A145" authorId="0" shapeId="0" xr:uid="{00000000-0006-0000-0000-000002000000}">
      <text>
        <r>
          <rPr>
            <b/>
            <sz val="9"/>
            <color indexed="81"/>
            <rFont val="Tahoma"/>
            <family val="2"/>
          </rPr>
          <t>Sara Miller:</t>
        </r>
        <r>
          <rPr>
            <sz val="9"/>
            <color indexed="81"/>
            <rFont val="Tahoma"/>
            <family val="2"/>
          </rPr>
          <t xml:space="preserve">
fixed sample size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Sara Miller</author>
    <author>bednarski</author>
    <author>sheinl</author>
  </authors>
  <commentList>
    <comment ref="N4" authorId="0" shapeId="0" xr:uid="{00000000-0006-0000-0400-000001000000}">
      <text>
        <r>
          <rPr>
            <b/>
            <sz val="9"/>
            <color indexed="81"/>
            <rFont val="Tahoma"/>
            <family val="2"/>
          </rPr>
          <t>Sara Miller:</t>
        </r>
        <r>
          <rPr>
            <sz val="9"/>
            <color indexed="81"/>
            <rFont val="Tahoma"/>
            <family val="2"/>
          </rPr>
          <t xml:space="preserve">
Total count without expanded weir count data (weir NOT installed UNTIL Aug. 1)</t>
        </r>
      </text>
    </comment>
    <comment ref="U4" authorId="1" shapeId="0" xr:uid="{00000000-0006-0000-0400-000002000000}">
      <text>
        <r>
          <rPr>
            <b/>
            <sz val="9"/>
            <color indexed="81"/>
            <rFont val="Tahoma"/>
            <family val="2"/>
          </rPr>
          <t>bednarski:</t>
        </r>
        <r>
          <rPr>
            <sz val="9"/>
            <color indexed="81"/>
            <rFont val="Tahoma"/>
            <family val="2"/>
          </rPr>
          <t xml:space="preserve">
chnaged it up one day earlier on 5/1/14</t>
        </r>
      </text>
    </comment>
    <comment ref="N6" authorId="0" shapeId="0" xr:uid="{00000000-0006-0000-0400-000003000000}">
      <text>
        <r>
          <rPr>
            <b/>
            <sz val="9"/>
            <color indexed="81"/>
            <rFont val="Tahoma"/>
            <family val="2"/>
          </rPr>
          <t>Sara Miller:</t>
        </r>
        <r>
          <rPr>
            <sz val="9"/>
            <color indexed="81"/>
            <rFont val="Tahoma"/>
            <family val="2"/>
          </rPr>
          <t xml:space="preserve">
expanded weir count number to account </t>
        </r>
      </text>
    </comment>
    <comment ref="N28" authorId="2" shapeId="0" xr:uid="{00000000-0006-0000-0400-000004000000}">
      <text>
        <r>
          <rPr>
            <b/>
            <sz val="8"/>
            <color indexed="81"/>
            <rFont val="Tahoma"/>
            <family val="2"/>
          </rPr>
          <t>sheinl:</t>
        </r>
        <r>
          <rPr>
            <sz val="8"/>
            <color indexed="81"/>
            <rFont val="Tahoma"/>
            <family val="2"/>
          </rPr>
          <t xml:space="preserve">
Expanded escapement (8,201) minus weir count (7,668) = 533.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Sara Miller</author>
  </authors>
  <commentList>
    <comment ref="BB13" authorId="0" shapeId="0" xr:uid="{00000000-0006-0000-0500-000001000000}">
      <text>
        <r>
          <rPr>
            <b/>
            <sz val="9"/>
            <color indexed="81"/>
            <rFont val="Tahoma"/>
            <family val="2"/>
          </rPr>
          <t>Sara Miller:</t>
        </r>
        <r>
          <rPr>
            <sz val="9"/>
            <color indexed="81"/>
            <rFont val="Tahoma"/>
            <family val="2"/>
          </rPr>
          <t xml:space="preserve">
Value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Sara Miller</author>
  </authors>
  <commentList>
    <comment ref="A27" authorId="0" shapeId="0" xr:uid="{00000000-0006-0000-0700-000001000000}">
      <text>
        <r>
          <rPr>
            <b/>
            <sz val="9"/>
            <color indexed="81"/>
            <rFont val="Tahoma"/>
            <family val="2"/>
          </rPr>
          <t>Sara Miller:</t>
        </r>
        <r>
          <rPr>
            <sz val="9"/>
            <color indexed="81"/>
            <rFont val="Tahoma"/>
            <family val="2"/>
          </rPr>
          <t xml:space="preserve">
These are the CVs used in the state space model.</t>
        </r>
      </text>
    </comment>
  </commentList>
</comments>
</file>

<file path=xl/sharedStrings.xml><?xml version="1.0" encoding="utf-8"?>
<sst xmlns="http://schemas.openxmlformats.org/spreadsheetml/2006/main" count="964" uniqueCount="199">
  <si>
    <t>Catch By Age Class</t>
  </si>
  <si>
    <t>Stock Group</t>
  </si>
  <si>
    <t xml:space="preserve">     1.2</t>
  </si>
  <si>
    <t xml:space="preserve">     1.3</t>
  </si>
  <si>
    <t xml:space="preserve">     2.2</t>
  </si>
  <si>
    <t xml:space="preserve">     2.3</t>
  </si>
  <si>
    <t>0.</t>
  </si>
  <si>
    <t>Other</t>
  </si>
  <si>
    <t xml:space="preserve">   Total</t>
  </si>
  <si>
    <t>Total</t>
  </si>
  <si>
    <t>Year</t>
  </si>
  <si>
    <t>SPEEL SOCKEYE CATCH BY AGE CLASS - EXPANDED FOR MAJOR AGE CLASSES:</t>
  </si>
  <si>
    <t>Weir</t>
  </si>
  <si>
    <t>IFDB</t>
  </si>
  <si>
    <t>Spawning</t>
  </si>
  <si>
    <t>End Date</t>
  </si>
  <si>
    <t>Weir Count</t>
  </si>
  <si>
    <t>Broodstock</t>
  </si>
  <si>
    <t>Escapement</t>
  </si>
  <si>
    <t>ND</t>
  </si>
  <si>
    <t>Notes:</t>
  </si>
  <si>
    <t>Harvest</t>
  </si>
  <si>
    <t>Run</t>
  </si>
  <si>
    <t>Age 2</t>
  </si>
  <si>
    <t>Age 3</t>
  </si>
  <si>
    <t>Age 4</t>
  </si>
  <si>
    <t>Age 5</t>
  </si>
  <si>
    <t>Age 6</t>
  </si>
  <si>
    <t>Age 7</t>
  </si>
  <si>
    <t>Total Age</t>
  </si>
  <si>
    <t>Proportion</t>
  </si>
  <si>
    <t>Standard Error</t>
  </si>
  <si>
    <t>01</t>
  </si>
  <si>
    <t>02</t>
  </si>
  <si>
    <t>03</t>
  </si>
  <si>
    <t>11</t>
  </si>
  <si>
    <t>12</t>
  </si>
  <si>
    <t>13</t>
  </si>
  <si>
    <t>14</t>
  </si>
  <si>
    <t>21</t>
  </si>
  <si>
    <t>22</t>
  </si>
  <si>
    <t>23</t>
  </si>
  <si>
    <t>33</t>
  </si>
  <si>
    <t>R/S</t>
  </si>
  <si>
    <t>Proportion of major age classes</t>
  </si>
  <si>
    <t>Estimated catch</t>
  </si>
  <si>
    <t>Catch expanded to major age classes</t>
  </si>
  <si>
    <t>AWL SAMPLE SIZES BY AGE CLASS:</t>
  </si>
  <si>
    <t>Age comp of 1991 harvest was estimated by applying average age comp of harvested Speel Lake fish, 1986-1990, and 1992-2008.</t>
  </si>
  <si>
    <t>n</t>
  </si>
  <si>
    <t>%</t>
  </si>
  <si>
    <t>SE of %</t>
  </si>
  <si>
    <t>SE of Esc.</t>
  </si>
  <si>
    <t>SPEEL LAKE TOTAL ESCAPEMENT AGE COMPOSITION:</t>
  </si>
  <si>
    <t>(Summary table at bottom of worksheet)</t>
  </si>
  <si>
    <t>SPEEL LAKE WEIR DATA:</t>
  </si>
  <si>
    <t>DAILY WEIR COUNTS:</t>
  </si>
  <si>
    <t>No Data</t>
  </si>
  <si>
    <t>Date</t>
  </si>
  <si>
    <t>1 Jul-11 Jul</t>
  </si>
  <si>
    <t>22 Sep-19 Nov</t>
  </si>
  <si>
    <t xml:space="preserve">PERCENT DAILY CUMULATIVE WEIR COUNTS: </t>
  </si>
  <si>
    <t xml:space="preserve">EXPANSION FACTORS: </t>
  </si>
  <si>
    <t>Mean</t>
  </si>
  <si>
    <t>SE</t>
  </si>
  <si>
    <t>CV</t>
  </si>
  <si>
    <t>EXPANSIONS FOR WEIR COUNTS TERMINTATED PRIOR TO SEPTEMBER 12:</t>
  </si>
  <si>
    <t>Date that weir project terminated</t>
  </si>
  <si>
    <t>Sockeye count through that date</t>
  </si>
  <si>
    <t>Ave. proportion of total on that date</t>
  </si>
  <si>
    <t>Min. proportion of total on that date</t>
  </si>
  <si>
    <t>Max. proportion of total on that date</t>
  </si>
  <si>
    <t>Ave. expansion factor</t>
  </si>
  <si>
    <t>Expanded Count</t>
  </si>
  <si>
    <t>YIELD</t>
  </si>
  <si>
    <t>Incomplete</t>
  </si>
  <si>
    <t>CUMULATIVE WEIR COUNTS:</t>
  </si>
  <si>
    <t>Expansion</t>
  </si>
  <si>
    <t>Regression</t>
  </si>
  <si>
    <t>Linear Regression</t>
  </si>
  <si>
    <t>Slope</t>
  </si>
  <si>
    <t>Intercept</t>
  </si>
  <si>
    <t>PREDICTED VALUES</t>
  </si>
  <si>
    <t>Expansion Factor:</t>
  </si>
  <si>
    <t>Regression:</t>
  </si>
  <si>
    <t>Residual</t>
  </si>
  <si>
    <t>Sq. Error</t>
  </si>
  <si>
    <t>MSE</t>
  </si>
  <si>
    <t>RMSE</t>
  </si>
  <si>
    <t>Root Mean Squared Error</t>
  </si>
  <si>
    <t>Traditional</t>
  </si>
  <si>
    <t>Terminal</t>
  </si>
  <si>
    <t>Harvest Rate</t>
  </si>
  <si>
    <t>Total Escapement by Return Year</t>
  </si>
  <si>
    <t>AWL SAMPLE SIZES BY TOTAL AGE (Age 2 and Age 7 apportioned across other ages):</t>
  </si>
  <si>
    <t>Total Return</t>
  </si>
  <si>
    <t>S</t>
  </si>
  <si>
    <t>R</t>
  </si>
  <si>
    <t>Brood Year</t>
  </si>
  <si>
    <t>ln(R/S)</t>
  </si>
  <si>
    <t>function LINEST</t>
  </si>
  <si>
    <t>slope</t>
  </si>
  <si>
    <t>intercept</t>
  </si>
  <si>
    <t>r-sq</t>
  </si>
  <si>
    <t>F</t>
  </si>
  <si>
    <t>df</t>
  </si>
  <si>
    <t>SSR</t>
  </si>
  <si>
    <t>SSE</t>
  </si>
  <si>
    <t>CUMULATIVE WEIR COUNTS</t>
  </si>
  <si>
    <t>Weir samples only, except in 1993-1994</t>
  </si>
  <si>
    <t>Table.  Age composition of total escapement (including broodstock), 1983-2013.</t>
  </si>
  <si>
    <t>No weir operated in 1993-1994</t>
  </si>
  <si>
    <t>Two methods:</t>
  </si>
  <si>
    <t xml:space="preserve">   Predicted values on tables below</t>
  </si>
  <si>
    <t>Expansion based on simple linear regression of total run on cumulative run by date:</t>
  </si>
  <si>
    <t>1 Aug+</t>
  </si>
  <si>
    <t>1-Aug+</t>
  </si>
  <si>
    <t>1986-1988 catch data from Riffe and Clark 2003 (RIR No. 1J03-34)</t>
  </si>
  <si>
    <t>1986-1988 harvest data from Riffe and Clark (2003).</t>
  </si>
  <si>
    <t>Outside</t>
  </si>
  <si>
    <t>Inside</t>
  </si>
  <si>
    <t>Cost</t>
  </si>
  <si>
    <t>Recovery</t>
  </si>
  <si>
    <t>Traditional Outside Harvest:</t>
  </si>
  <si>
    <t>Traditional Inside Harvest:</t>
  </si>
  <si>
    <t>Terminal Inside Harvest:</t>
  </si>
  <si>
    <t>Total Harvest:</t>
  </si>
  <si>
    <t>1989-2011 harvest data from TTC stock composition files (Version II) for District 11 drift gillnet (December 2013).</t>
  </si>
  <si>
    <r>
      <t xml:space="preserve">1991 harvest </t>
    </r>
    <r>
      <rPr>
        <b/>
        <sz val="10"/>
        <color theme="1"/>
        <rFont val="Calibri"/>
        <family val="2"/>
        <scheme val="minor"/>
      </rPr>
      <t>was estimated by expanding for average harvest rate from years prior to Snettisham terminal fishery, 1986-1990, 1992, and 1995 (Riffe and Clark 2003).</t>
    </r>
  </si>
  <si>
    <r>
      <t xml:space="preserve">Age comp of 1991 harvest </t>
    </r>
    <r>
      <rPr>
        <b/>
        <sz val="10"/>
        <color theme="1"/>
        <rFont val="Calibri"/>
        <family val="2"/>
        <scheme val="minor"/>
      </rPr>
      <t>was estimated by applying average age comp of harvested Speel Lake fish, 1986-1990 and 1992-2008.</t>
    </r>
  </si>
  <si>
    <r>
      <t>1993-1994 escapement</t>
    </r>
    <r>
      <rPr>
        <b/>
        <sz val="10"/>
        <color theme="1"/>
        <rFont val="Calibri"/>
        <family val="2"/>
        <scheme val="minor"/>
      </rPr>
      <t>s estimated by expanding by the average harvest rate for years prior to Snettisham terminal fishery, 1986-1990, 1992, and 1995 (Riffe and Clark 2003).</t>
    </r>
  </si>
  <si>
    <t>Speel Lake sockeye salmon: estimated harvest, escapement, total return, and brood year return.</t>
  </si>
  <si>
    <t>20th percentile =</t>
  </si>
  <si>
    <t>25th percentile =</t>
  </si>
  <si>
    <t>escapement</t>
  </si>
  <si>
    <t>Contrast =</t>
  </si>
  <si>
    <t>15th percentile =</t>
  </si>
  <si>
    <t>Expansion for 2012 age 6:</t>
  </si>
  <si>
    <t>Proportion age 6</t>
  </si>
  <si>
    <t>1989-2011 catch data from TTC stock composition files (version II) for District 11 drift gillnet (December 2013).S:\Region1Shared-DCF\Research\Salmon\sockeye\Speel Escapement\Final taku spreadsheets\Julie done files\Version II</t>
  </si>
  <si>
    <t>Traditional Outside Harvest ((Harvest Code 11, 111-20, 111-31, 111-32, 111-90); Traditional Inside Harvest (Harvest Code 11, 111-33, 111-34, 111-35); Terminal Inside Harvest (Harvest Code 12, 111-33); Cost-Recovery (Harvest code 21, 111-33)</t>
  </si>
  <si>
    <t xml:space="preserve">Cost Recovery: </t>
  </si>
  <si>
    <t>Step #1</t>
  </si>
  <si>
    <t xml:space="preserve">          **</t>
  </si>
  <si>
    <t>Lower 95% CI***</t>
  </si>
  <si>
    <t>Upper 95% CI***</t>
  </si>
  <si>
    <t>CI (for graph)</t>
  </si>
  <si>
    <t xml:space="preserve">            =Standard Error</t>
  </si>
  <si>
    <t xml:space="preserve">            *   </t>
  </si>
  <si>
    <t>SD</t>
  </si>
  <si>
    <t>min</t>
  </si>
  <si>
    <t>max</t>
  </si>
  <si>
    <t>STEP #1: EXPANSION FACTORS FOR EARLY SEASON EXPANSION IN 1995:**</t>
  </si>
  <si>
    <t>**Step #1: expand the weir count for 1995</t>
  </si>
  <si>
    <t>STEP #2: EXPANSION FACTORS FOR LATE SEASON EXPANSION:**</t>
  </si>
  <si>
    <t>**Step #2: Use the results of the expanded weir count for 1995 in the regression for late season expansion</t>
  </si>
  <si>
    <t xml:space="preserve">              *     </t>
  </si>
  <si>
    <t xml:space="preserve">  a) Expansion factor based on mean cumulative proportion of the run by date; b) simple linear regression of total run on cumulative run by date.</t>
  </si>
  <si>
    <t xml:space="preserve">Step #3: Next use these expansion factors for weir counts that were teminated prior to Sept. 12 (Weir Expansions sheet). </t>
  </si>
  <si>
    <t>Step #2: Then use the 1995 values in the expansion factor for late season for both methods (regression and mean cumulative prop.).</t>
  </si>
  <si>
    <t>Step #1: Determine the expansion factor for the early season expansion for 1995 using years 1983, 2002-2013 and both methods (regression, mean cumulative prop.).</t>
  </si>
  <si>
    <t>Step #3: Determine expanded weir counts w/ confidence intervals for 1984-2001.</t>
  </si>
  <si>
    <t>*Residual mean squares from the linear regression output (Data tab; Analysis tab; Data Analysis, regression)</t>
  </si>
  <si>
    <r>
      <t xml:space="preserve">SPEEL LAKE WEIR EXPANSION FACTORS BY DATE: </t>
    </r>
    <r>
      <rPr>
        <b/>
        <sz val="18"/>
        <color rgb="FFFF0000"/>
        <rFont val="Cambria"/>
        <family val="1"/>
        <scheme val="major"/>
      </rPr>
      <t>26 August-8 September</t>
    </r>
  </si>
  <si>
    <t xml:space="preserve">Regression </t>
  </si>
  <si>
    <t xml:space="preserve">Mean Cum. Prop. </t>
  </si>
  <si>
    <t>1995 Expanded Weir Count</t>
  </si>
  <si>
    <t>SD of expansion factor</t>
  </si>
  <si>
    <t>**Residual mean square error from the linear regression output</t>
  </si>
  <si>
    <t>***Source: Biostatistical Analysis by Zar (1999); Chapter 17; equation 17.29 or Neter eq. 2.39</t>
  </si>
  <si>
    <t>CV of expansion factor****</t>
  </si>
  <si>
    <r>
      <t>Total Escapement from 'Daily Weir Counts' (1983, 2002-2013) or '</t>
    </r>
    <r>
      <rPr>
        <b/>
        <sz val="10"/>
        <color rgb="FF00B050"/>
        <rFont val="Calibri"/>
        <family val="2"/>
        <scheme val="minor"/>
      </rPr>
      <t>Weir Expansions' (1984-1992, 1996-2001)</t>
    </r>
  </si>
  <si>
    <t>Note: 1993-1994 escapement was estimated by expanding by average harvest rate for years prior to Snettisham terminal fishery, 1986-1990, 1992, and 1995 (Riffe and Clark 2003).</t>
  </si>
  <si>
    <t xml:space="preserve">Total </t>
  </si>
  <si>
    <t>Harvest (CV)</t>
  </si>
  <si>
    <t>Escapement (CV)</t>
  </si>
  <si>
    <t>NA</t>
  </si>
  <si>
    <t>effective sample size</t>
  </si>
  <si>
    <t>,</t>
  </si>
  <si>
    <t>esc only</t>
  </si>
  <si>
    <t>total run</t>
  </si>
  <si>
    <t>harv rate</t>
  </si>
  <si>
    <t>catch</t>
  </si>
  <si>
    <t>escape</t>
  </si>
  <si>
    <t>CY</t>
  </si>
  <si>
    <t>Ttl Run</t>
  </si>
  <si>
    <t>catch only</t>
  </si>
  <si>
    <t>*Age compositions that are zero were modelled in a Bayesian hierarchical structure in OpenBUGS.</t>
  </si>
  <si>
    <t>Total (y)</t>
  </si>
  <si>
    <t>*weir not put in until August 1 for year 1995</t>
  </si>
  <si>
    <t>CV of model fit</t>
  </si>
  <si>
    <r>
      <t>Expanded Count using Expansion Factor</t>
    </r>
    <r>
      <rPr>
        <b/>
        <sz val="10"/>
        <color theme="1"/>
        <rFont val="Calibri"/>
        <family val="2"/>
      </rPr>
      <t>†</t>
    </r>
  </si>
  <si>
    <r>
      <rPr>
        <sz val="8"/>
        <color theme="1"/>
        <rFont val="Calibri"/>
        <family val="2"/>
      </rPr>
      <t>†</t>
    </r>
    <r>
      <rPr>
        <sz val="8"/>
        <color theme="1"/>
        <rFont val="Cambria"/>
        <family val="1"/>
      </rPr>
      <t>Do not use these expanded weir counts. They are calculated by a different method.</t>
    </r>
  </si>
  <si>
    <t>1993*</t>
  </si>
  <si>
    <t>1994*</t>
  </si>
  <si>
    <t>*Data from Summary Data (2) Worksheet</t>
  </si>
  <si>
    <t>CV=SE/Expanded Count</t>
  </si>
  <si>
    <t>*</t>
  </si>
  <si>
    <t>****Do not use these CVs. They are calculated for the expansion factor which was not used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</si>
</sst>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_);\(#,##0.000\)"/>
    <numFmt numFmtId="165" formatCode="0.000"/>
    <numFmt numFmtId="166" formatCode="0.0%"/>
    <numFmt numFmtId="167" formatCode="[$-409]d\-mmm;@"/>
    <numFmt numFmtId="168" formatCode="0.0000"/>
    <numFmt numFmtId="169" formatCode="0.000;[Red]0.000"/>
    <numFmt numFmtId="170" formatCode="&quot;$&quot;#,##0\ ;\(&quot;$&quot;#,##0\)"/>
    <numFmt numFmtId="171" formatCode="General_)"/>
  </numFmts>
  <fonts count="112" x14ac:knownFonts="1">
    <font>
      <sz val="11"/>
      <color theme="1"/>
      <name val="Calibri"/>
      <family val="2"/>
      <scheme val="minor"/>
    </font>
    <font>
      <sz val="10"/>
      <name val="Courier"/>
      <family val="3"/>
    </font>
    <font>
      <sz val="10"/>
      <name val="Calibri"/>
      <family val="2"/>
      <scheme val="minor"/>
    </font>
    <font>
      <sz val="10"/>
      <color theme="1"/>
      <name val="Calibri"/>
      <family val="2"/>
      <scheme val="minor"/>
    </font>
    <font>
      <sz val="10"/>
      <name val="Arial"/>
      <family val="2"/>
    </font>
    <font>
      <sz val="11"/>
      <color theme="1"/>
      <name val="Calibri"/>
      <family val="2"/>
      <scheme val="minor"/>
    </font>
    <font>
      <b/>
      <sz val="11"/>
      <color rgb="FFFF0000"/>
      <name val="Calibri"/>
      <family val="2"/>
      <scheme val="minor"/>
    </font>
    <font>
      <b/>
      <sz val="12"/>
      <name val="Calibri"/>
      <family val="2"/>
      <scheme val="minor"/>
    </font>
    <font>
      <b/>
      <sz val="10"/>
      <name val="Calibri"/>
      <family val="2"/>
      <scheme val="minor"/>
    </font>
    <font>
      <sz val="11"/>
      <name val="Times New Roman"/>
      <family val="1"/>
    </font>
    <font>
      <sz val="10"/>
      <color indexed="8"/>
      <name val="Calibri"/>
      <family val="2"/>
      <scheme val="minor"/>
    </font>
    <font>
      <b/>
      <sz val="10"/>
      <color rgb="FFFF0000"/>
      <name val="Calibri"/>
      <family val="2"/>
      <scheme val="minor"/>
    </font>
    <font>
      <b/>
      <sz val="10"/>
      <color theme="1"/>
      <name val="Calibri"/>
      <family val="2"/>
      <scheme val="minor"/>
    </font>
    <font>
      <b/>
      <i/>
      <sz val="10"/>
      <color theme="1"/>
      <name val="Calibri"/>
      <family val="2"/>
      <scheme val="minor"/>
    </font>
    <font>
      <b/>
      <i/>
      <sz val="10"/>
      <color rgb="FFFF0000"/>
      <name val="Calibri"/>
      <family val="2"/>
      <scheme val="minor"/>
    </font>
    <font>
      <i/>
      <sz val="10"/>
      <name val="Calibri"/>
      <family val="2"/>
      <scheme val="minor"/>
    </font>
    <font>
      <sz val="10"/>
      <color rgb="FFFF0000"/>
      <name val="Calibri"/>
      <family val="2"/>
      <scheme val="minor"/>
    </font>
    <font>
      <b/>
      <sz val="12"/>
      <color theme="1"/>
      <name val="Calibri"/>
      <family val="2"/>
      <scheme val="minor"/>
    </font>
    <font>
      <b/>
      <sz val="10"/>
      <color indexed="8"/>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i/>
      <sz val="10"/>
      <name val="Calibri"/>
      <family val="2"/>
      <scheme val="minor"/>
    </font>
    <font>
      <i/>
      <sz val="10"/>
      <color indexed="8"/>
      <name val="Calibri"/>
      <family val="2"/>
      <scheme val="minor"/>
    </font>
    <font>
      <b/>
      <i/>
      <sz val="10"/>
      <color indexed="8"/>
      <name val="Calibri"/>
      <family val="2"/>
      <scheme val="minor"/>
    </font>
    <font>
      <i/>
      <sz val="10"/>
      <color theme="1"/>
      <name val="Calibri"/>
      <family val="2"/>
      <scheme val="minor"/>
    </font>
    <font>
      <sz val="9"/>
      <color indexed="81"/>
      <name val="Tahoma"/>
      <family val="2"/>
    </font>
    <font>
      <b/>
      <sz val="9"/>
      <color indexed="81"/>
      <name val="Tahoma"/>
      <family val="2"/>
    </font>
    <font>
      <b/>
      <i/>
      <sz val="10"/>
      <color rgb="FF00B050"/>
      <name val="Calibri"/>
      <family val="2"/>
      <scheme val="minor"/>
    </font>
    <font>
      <b/>
      <sz val="10"/>
      <color rgb="FF00B050"/>
      <name val="Calibri"/>
      <family val="2"/>
      <scheme val="minor"/>
    </font>
    <font>
      <sz val="11"/>
      <color rgb="FF00B050"/>
      <name val="Calibri"/>
      <family val="2"/>
      <scheme val="minor"/>
    </font>
    <font>
      <b/>
      <sz val="12"/>
      <color theme="1"/>
      <name val="Cambria"/>
      <family val="1"/>
      <scheme val="major"/>
    </font>
    <font>
      <sz val="10"/>
      <name val="Cambria"/>
      <family val="1"/>
      <scheme val="major"/>
    </font>
    <font>
      <sz val="11"/>
      <color theme="1"/>
      <name val="Cambria"/>
      <family val="1"/>
      <scheme val="major"/>
    </font>
    <font>
      <sz val="10"/>
      <color theme="1"/>
      <name val="Cambria"/>
      <family val="1"/>
      <scheme val="major"/>
    </font>
    <font>
      <b/>
      <sz val="11"/>
      <name val="Cambria"/>
      <family val="1"/>
      <scheme val="major"/>
    </font>
    <font>
      <sz val="8"/>
      <name val="Cambria"/>
      <family val="1"/>
      <scheme val="major"/>
    </font>
    <font>
      <b/>
      <sz val="10"/>
      <color theme="1"/>
      <name val="Cambria"/>
      <family val="1"/>
      <scheme val="major"/>
    </font>
    <font>
      <b/>
      <sz val="8"/>
      <name val="Cambria"/>
      <family val="1"/>
      <scheme val="major"/>
    </font>
    <font>
      <b/>
      <sz val="10"/>
      <name val="Cambria"/>
      <family val="1"/>
      <scheme val="major"/>
    </font>
    <font>
      <sz val="8"/>
      <color theme="1"/>
      <name val="Cambria"/>
      <family val="1"/>
      <scheme val="major"/>
    </font>
    <font>
      <sz val="9"/>
      <color theme="1"/>
      <name val="Cambria"/>
      <family val="1"/>
      <scheme val="major"/>
    </font>
    <font>
      <b/>
      <sz val="11"/>
      <color theme="1"/>
      <name val="Cambria"/>
      <family val="1"/>
      <scheme val="major"/>
    </font>
    <font>
      <b/>
      <sz val="12"/>
      <name val="Cambria"/>
      <family val="1"/>
      <scheme val="major"/>
    </font>
    <font>
      <b/>
      <sz val="10"/>
      <color rgb="FFFF0000"/>
      <name val="Cambria"/>
      <family val="1"/>
      <scheme val="major"/>
    </font>
    <font>
      <b/>
      <sz val="18"/>
      <color theme="1"/>
      <name val="Cambria"/>
      <family val="1"/>
      <scheme val="major"/>
    </font>
    <font>
      <b/>
      <sz val="18"/>
      <color rgb="FFFF0000"/>
      <name val="Cambria"/>
      <family val="1"/>
      <scheme val="major"/>
    </font>
    <font>
      <b/>
      <sz val="9"/>
      <color theme="1"/>
      <name val="Cambria"/>
      <family val="1"/>
      <scheme val="major"/>
    </font>
    <font>
      <b/>
      <sz val="9"/>
      <color rgb="FFFF0000"/>
      <name val="Cambria"/>
      <family val="1"/>
      <scheme val="major"/>
    </font>
    <font>
      <sz val="8"/>
      <color indexed="81"/>
      <name val="Tahoma"/>
      <family val="2"/>
    </font>
    <font>
      <b/>
      <sz val="8"/>
      <color indexed="81"/>
      <name val="Tahoma"/>
      <family val="2"/>
    </font>
    <font>
      <sz val="11"/>
      <color rgb="FFFF0000"/>
      <name val="Calibri"/>
      <family val="2"/>
      <scheme val="minor"/>
    </font>
    <font>
      <i/>
      <sz val="11"/>
      <color theme="1"/>
      <name val="Calibri"/>
      <family val="2"/>
      <scheme val="minor"/>
    </font>
    <font>
      <i/>
      <sz val="11"/>
      <color theme="0" tint="-0.499984740745262"/>
      <name val="Calibri"/>
      <family val="2"/>
      <scheme val="minor"/>
    </font>
    <font>
      <sz val="11"/>
      <color theme="0" tint="-0.34998626667073579"/>
      <name val="Calibri"/>
      <family val="2"/>
      <scheme val="minor"/>
    </font>
    <font>
      <i/>
      <sz val="11"/>
      <color theme="0" tint="-0.34998626667073579"/>
      <name val="Calibri"/>
      <family val="2"/>
      <scheme val="minor"/>
    </font>
    <font>
      <i/>
      <sz val="11"/>
      <color rgb="FFFF0000"/>
      <name val="Calibri"/>
      <family val="2"/>
      <scheme val="minor"/>
    </font>
    <font>
      <b/>
      <i/>
      <sz val="10"/>
      <color theme="0" tint="-0.34998626667073579"/>
      <name val="Calibri"/>
      <family val="2"/>
      <scheme val="minor"/>
    </font>
    <font>
      <b/>
      <sz val="10"/>
      <color theme="0" tint="-0.34998626667073579"/>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MS Sans Serif"/>
      <family val="2"/>
    </font>
    <font>
      <sz val="10"/>
      <name val="Times New Roman"/>
      <family val="1"/>
    </font>
    <font>
      <sz val="10"/>
      <name val="Arial Narrow"/>
      <family val="2"/>
    </font>
    <font>
      <u/>
      <sz val="10"/>
      <color indexed="12"/>
      <name val="Times New Roman"/>
      <family val="1"/>
    </font>
    <font>
      <sz val="10"/>
      <name val="Tms Rmn"/>
    </font>
    <font>
      <sz val="12"/>
      <color theme="1"/>
      <name val="Arial"/>
      <family val="2"/>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Times New Roman"/>
      <family val="1"/>
    </font>
    <font>
      <sz val="10"/>
      <color theme="1"/>
      <name val="Arial"/>
      <family val="2"/>
    </font>
    <font>
      <sz val="8"/>
      <name val="Courier"/>
      <family val="3"/>
    </font>
    <font>
      <sz val="12"/>
      <color indexed="24"/>
      <name val="Arial"/>
      <family val="2"/>
    </font>
    <font>
      <sz val="18"/>
      <color indexed="24"/>
      <name val="Arial"/>
      <family val="2"/>
    </font>
    <font>
      <sz val="8"/>
      <color indexed="24"/>
      <name val="Arial"/>
      <family val="2"/>
    </font>
    <font>
      <sz val="11"/>
      <color indexed="8"/>
      <name val="Calibri"/>
      <family val="2"/>
    </font>
    <font>
      <sz val="12"/>
      <color theme="1"/>
      <name val="Times New Roman"/>
      <family val="2"/>
    </font>
    <font>
      <sz val="12"/>
      <name val="Helv"/>
    </font>
    <font>
      <b/>
      <sz val="8"/>
      <color theme="1"/>
      <name val="Cambria"/>
      <family val="1"/>
      <scheme val="major"/>
    </font>
    <font>
      <b/>
      <i/>
      <sz val="10"/>
      <color theme="1"/>
      <name val="Cambria"/>
      <family val="1"/>
      <scheme val="major"/>
    </font>
    <font>
      <b/>
      <sz val="10"/>
      <color theme="1"/>
      <name val="Calibri"/>
      <family val="2"/>
    </font>
    <font>
      <sz val="8"/>
      <color theme="1"/>
      <name val="Cambria"/>
      <family val="1"/>
    </font>
    <font>
      <sz val="8"/>
      <color theme="1"/>
      <name val="Calibri"/>
      <family val="2"/>
    </font>
    <font>
      <i/>
      <sz val="10"/>
      <color theme="0" tint="-0.499984740745262"/>
      <name val="Cambria"/>
      <family val="1"/>
      <scheme val="major"/>
    </font>
    <font>
      <sz val="10"/>
      <color theme="0" tint="-0.499984740745262"/>
      <name val="Cambria"/>
      <family val="1"/>
      <scheme val="major"/>
    </font>
    <font>
      <b/>
      <sz val="10"/>
      <color theme="0" tint="-0.499984740745262"/>
      <name val="Cambria"/>
      <family val="1"/>
      <scheme val="major"/>
    </font>
    <font>
      <sz val="11"/>
      <color rgb="FFFF0000"/>
      <name val="Cambria"/>
      <family val="1"/>
      <scheme val="major"/>
    </font>
  </fonts>
  <fills count="45">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rgb="FFCCFFCC"/>
        <bgColor indexed="64"/>
      </patternFill>
    </fill>
    <fill>
      <patternFill patternType="solid">
        <fgColor rgb="FFFFCCCC"/>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0.34998626667073579"/>
        <bgColor indexed="64"/>
      </patternFill>
    </fill>
    <fill>
      <patternFill patternType="solid">
        <fgColor rgb="FF92D050"/>
        <bgColor indexed="64"/>
      </patternFill>
    </fill>
  </fills>
  <borders count="32">
    <border>
      <left/>
      <right/>
      <top/>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uble">
        <color indexed="64"/>
      </top>
      <bottom/>
      <diagonal/>
    </border>
  </borders>
  <cellStyleXfs count="323">
    <xf numFmtId="0" fontId="0" fillId="0" borderId="0"/>
    <xf numFmtId="164" fontId="1" fillId="0" borderId="0"/>
    <xf numFmtId="0" fontId="4" fillId="0" borderId="0"/>
    <xf numFmtId="9" fontId="5" fillId="0" borderId="0" applyFont="0" applyFill="0" applyBorder="0" applyAlignment="0" applyProtection="0"/>
    <xf numFmtId="0" fontId="9"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5" fillId="0" borderId="0"/>
    <xf numFmtId="9" fontId="4" fillId="0" borderId="0" applyFont="0" applyFill="0" applyBorder="0" applyAlignment="0" applyProtection="0"/>
    <xf numFmtId="0" fontId="5" fillId="0" borderId="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59" fillId="0" borderId="0" applyNumberFormat="0" applyFill="0" applyBorder="0" applyAlignment="0" applyProtection="0"/>
    <xf numFmtId="43" fontId="5" fillId="0" borderId="0" applyFont="0" applyFill="0" applyBorder="0" applyAlignment="0" applyProtection="0"/>
    <xf numFmtId="43" fontId="74" fillId="0" borderId="0" applyFont="0" applyFill="0" applyBorder="0" applyAlignment="0" applyProtection="0"/>
    <xf numFmtId="1" fontId="75" fillId="0" borderId="0" applyFont="0" applyFill="0" applyBorder="0" applyAlignment="0" applyProtection="0"/>
    <xf numFmtId="170" fontId="75" fillId="0" borderId="0" applyFont="0" applyFill="0" applyBorder="0" applyAlignment="0" applyProtection="0"/>
    <xf numFmtId="0" fontId="76" fillId="0" borderId="0" applyNumberFormat="0" applyFill="0" applyBorder="0" applyAlignment="0" applyProtection="0">
      <alignment vertical="top"/>
      <protection locked="0"/>
    </xf>
    <xf numFmtId="0" fontId="5" fillId="0" borderId="0"/>
    <xf numFmtId="171" fontId="77" fillId="0" borderId="0"/>
    <xf numFmtId="0" fontId="73" fillId="0" borderId="0"/>
    <xf numFmtId="9" fontId="4" fillId="0" borderId="0" applyFont="0" applyFill="0" applyBorder="0" applyAlignment="0" applyProtection="0"/>
    <xf numFmtId="0" fontId="78" fillId="0" borderId="0"/>
    <xf numFmtId="0" fontId="79" fillId="0" borderId="22" applyNumberFormat="0" applyFill="0" applyAlignment="0" applyProtection="0"/>
    <xf numFmtId="0" fontId="80" fillId="0" borderId="23" applyNumberFormat="0" applyFill="0" applyAlignment="0" applyProtection="0"/>
    <xf numFmtId="0" fontId="81" fillId="0" borderId="24" applyNumberFormat="0" applyFill="0" applyAlignment="0" applyProtection="0"/>
    <xf numFmtId="0" fontId="81" fillId="0" borderId="0" applyNumberFormat="0" applyFill="0" applyBorder="0" applyAlignment="0" applyProtection="0"/>
    <xf numFmtId="0" fontId="82" fillId="11" borderId="0" applyNumberFormat="0" applyBorder="0" applyAlignment="0" applyProtection="0"/>
    <xf numFmtId="0" fontId="83" fillId="12" borderId="0" applyNumberFormat="0" applyBorder="0" applyAlignment="0" applyProtection="0"/>
    <xf numFmtId="0" fontId="84" fillId="13" borderId="0" applyNumberFormat="0" applyBorder="0" applyAlignment="0" applyProtection="0"/>
    <xf numFmtId="0" fontId="85" fillId="14" borderId="25" applyNumberFormat="0" applyAlignment="0" applyProtection="0"/>
    <xf numFmtId="0" fontId="86" fillId="15" borderId="26" applyNumberFormat="0" applyAlignment="0" applyProtection="0"/>
    <xf numFmtId="0" fontId="87" fillId="15" borderId="25" applyNumberFormat="0" applyAlignment="0" applyProtection="0"/>
    <xf numFmtId="0" fontId="88" fillId="0" borderId="27" applyNumberFormat="0" applyFill="0" applyAlignment="0" applyProtection="0"/>
    <xf numFmtId="0" fontId="89" fillId="16" borderId="28" applyNumberFormat="0" applyAlignment="0" applyProtection="0"/>
    <xf numFmtId="0" fontId="90" fillId="0" borderId="0" applyNumberFormat="0" applyFill="0" applyBorder="0" applyAlignment="0" applyProtection="0"/>
    <xf numFmtId="0" fontId="78" fillId="17" borderId="29" applyNumberFormat="0" applyFont="0" applyAlignment="0" applyProtection="0"/>
    <xf numFmtId="0" fontId="91" fillId="0" borderId="0" applyNumberFormat="0" applyFill="0" applyBorder="0" applyAlignment="0" applyProtection="0"/>
    <xf numFmtId="0" fontId="92" fillId="0" borderId="30" applyNumberFormat="0" applyFill="0" applyAlignment="0" applyProtection="0"/>
    <xf numFmtId="0" fontId="93" fillId="18" borderId="0" applyNumberFormat="0" applyBorder="0" applyAlignment="0" applyProtection="0"/>
    <xf numFmtId="0" fontId="78" fillId="19" borderId="0" applyNumberFormat="0" applyBorder="0" applyAlignment="0" applyProtection="0"/>
    <xf numFmtId="0" fontId="78" fillId="20" borderId="0" applyNumberFormat="0" applyBorder="0" applyAlignment="0" applyProtection="0"/>
    <xf numFmtId="0" fontId="93" fillId="21" borderId="0" applyNumberFormat="0" applyBorder="0" applyAlignment="0" applyProtection="0"/>
    <xf numFmtId="0" fontId="93" fillId="22" borderId="0" applyNumberFormat="0" applyBorder="0" applyAlignment="0" applyProtection="0"/>
    <xf numFmtId="0" fontId="78" fillId="23" borderId="0" applyNumberFormat="0" applyBorder="0" applyAlignment="0" applyProtection="0"/>
    <xf numFmtId="0" fontId="78" fillId="24" borderId="0" applyNumberFormat="0" applyBorder="0" applyAlignment="0" applyProtection="0"/>
    <xf numFmtId="0" fontId="93" fillId="25" borderId="0" applyNumberFormat="0" applyBorder="0" applyAlignment="0" applyProtection="0"/>
    <xf numFmtId="0" fontId="93" fillId="26" borderId="0" applyNumberFormat="0" applyBorder="0" applyAlignment="0" applyProtection="0"/>
    <xf numFmtId="0" fontId="78" fillId="27" borderId="0" applyNumberFormat="0" applyBorder="0" applyAlignment="0" applyProtection="0"/>
    <xf numFmtId="0" fontId="78" fillId="28" borderId="0" applyNumberFormat="0" applyBorder="0" applyAlignment="0" applyProtection="0"/>
    <xf numFmtId="0" fontId="93" fillId="29" borderId="0" applyNumberFormat="0" applyBorder="0" applyAlignment="0" applyProtection="0"/>
    <xf numFmtId="0" fontId="93" fillId="30" borderId="0" applyNumberFormat="0" applyBorder="0" applyAlignment="0" applyProtection="0"/>
    <xf numFmtId="0" fontId="78" fillId="31" borderId="0" applyNumberFormat="0" applyBorder="0" applyAlignment="0" applyProtection="0"/>
    <xf numFmtId="0" fontId="78" fillId="32" borderId="0" applyNumberFormat="0" applyBorder="0" applyAlignment="0" applyProtection="0"/>
    <xf numFmtId="0" fontId="93" fillId="33" borderId="0" applyNumberFormat="0" applyBorder="0" applyAlignment="0" applyProtection="0"/>
    <xf numFmtId="0" fontId="93" fillId="34" borderId="0" applyNumberFormat="0" applyBorder="0" applyAlignment="0" applyProtection="0"/>
    <xf numFmtId="0" fontId="78" fillId="35" borderId="0" applyNumberFormat="0" applyBorder="0" applyAlignment="0" applyProtection="0"/>
    <xf numFmtId="0" fontId="78" fillId="36" borderId="0" applyNumberFormat="0" applyBorder="0" applyAlignment="0" applyProtection="0"/>
    <xf numFmtId="0" fontId="93" fillId="37" borderId="0" applyNumberFormat="0" applyBorder="0" applyAlignment="0" applyProtection="0"/>
    <xf numFmtId="0" fontId="93" fillId="38" borderId="0" applyNumberFormat="0" applyBorder="0" applyAlignment="0" applyProtection="0"/>
    <xf numFmtId="0" fontId="78" fillId="39" borderId="0" applyNumberFormat="0" applyBorder="0" applyAlignment="0" applyProtection="0"/>
    <xf numFmtId="0" fontId="78" fillId="40" borderId="0" applyNumberFormat="0" applyBorder="0" applyAlignment="0" applyProtection="0"/>
    <xf numFmtId="0" fontId="93" fillId="41"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74" fillId="0" borderId="0"/>
    <xf numFmtId="0" fontId="5" fillId="0" borderId="0"/>
    <xf numFmtId="0" fontId="74" fillId="0" borderId="0"/>
    <xf numFmtId="171" fontId="77" fillId="0" borderId="0"/>
    <xf numFmtId="0" fontId="78" fillId="0" borderId="0"/>
    <xf numFmtId="9" fontId="74" fillId="0" borderId="0" applyFont="0" applyFill="0" applyBorder="0" applyAlignment="0" applyProtection="0"/>
    <xf numFmtId="9" fontId="4" fillId="0" borderId="0" applyFont="0" applyFill="0" applyBorder="0" applyAlignment="0" applyProtection="0"/>
    <xf numFmtId="0" fontId="5" fillId="0" borderId="0"/>
    <xf numFmtId="0" fontId="95" fillId="0" borderId="0"/>
    <xf numFmtId="43" fontId="95" fillId="0" borderId="0" applyFont="0" applyFill="0" applyBorder="0" applyAlignment="0" applyProtection="0"/>
    <xf numFmtId="171" fontId="96" fillId="0" borderId="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97" fillId="0" borderId="0" applyFont="0" applyFill="0" applyBorder="0" applyAlignment="0" applyProtection="0"/>
    <xf numFmtId="3" fontId="97" fillId="0" borderId="0" applyFont="0" applyFill="0" applyBorder="0" applyAlignment="0" applyProtection="0"/>
    <xf numFmtId="3" fontId="97" fillId="0" borderId="0" applyFont="0" applyFill="0" applyBorder="0" applyAlignment="0" applyProtection="0"/>
    <xf numFmtId="170" fontId="97" fillId="0" borderId="0" applyFont="0" applyFill="0" applyBorder="0" applyAlignment="0" applyProtection="0"/>
    <xf numFmtId="170" fontId="97" fillId="0" borderId="0" applyFont="0" applyFill="0" applyBorder="0" applyAlignment="0" applyProtection="0"/>
    <xf numFmtId="170" fontId="97" fillId="0" borderId="0" applyFont="0" applyFill="0" applyBorder="0" applyAlignment="0" applyProtection="0"/>
    <xf numFmtId="0" fontId="97" fillId="0" borderId="0" applyFont="0" applyFill="0" applyBorder="0" applyAlignment="0" applyProtection="0"/>
    <xf numFmtId="0" fontId="97" fillId="0" borderId="0" applyFont="0" applyFill="0" applyBorder="0" applyAlignment="0" applyProtection="0"/>
    <xf numFmtId="0" fontId="97" fillId="0" borderId="0" applyFont="0" applyFill="0" applyBorder="0" applyAlignment="0" applyProtection="0"/>
    <xf numFmtId="0" fontId="97" fillId="0" borderId="0" applyFont="0" applyFill="0" applyBorder="0" applyAlignment="0" applyProtection="0"/>
    <xf numFmtId="2" fontId="97" fillId="0" borderId="0" applyFont="0" applyFill="0" applyBorder="0" applyAlignment="0" applyProtection="0"/>
    <xf numFmtId="2" fontId="97" fillId="0" borderId="0" applyFont="0" applyFill="0" applyBorder="0" applyAlignment="0" applyProtection="0"/>
    <xf numFmtId="2" fontId="97" fillId="0" borderId="0" applyFont="0" applyFill="0" applyBorder="0" applyAlignment="0" applyProtection="0"/>
    <xf numFmtId="2" fontId="97" fillId="0" borderId="0" applyFon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5" fillId="0" borderId="0"/>
    <xf numFmtId="0" fontId="4" fillId="0" borderId="0"/>
    <xf numFmtId="0" fontId="74" fillId="0" borderId="0"/>
    <xf numFmtId="0" fontId="5" fillId="0" borderId="0"/>
    <xf numFmtId="0" fontId="74" fillId="0" borderId="0"/>
    <xf numFmtId="0" fontId="74" fillId="0" borderId="0"/>
    <xf numFmtId="0" fontId="74" fillId="0" borderId="0"/>
    <xf numFmtId="0" fontId="74" fillId="0" borderId="0"/>
    <xf numFmtId="0" fontId="74" fillId="0" borderId="0"/>
    <xf numFmtId="0" fontId="5" fillId="17" borderId="29" applyNumberFormat="0" applyFont="0" applyAlignment="0" applyProtection="0"/>
    <xf numFmtId="0" fontId="97" fillId="0" borderId="31" applyNumberFormat="0" applyFont="0" applyFill="0" applyAlignment="0" applyProtection="0"/>
    <xf numFmtId="0" fontId="97" fillId="0" borderId="31" applyNumberFormat="0" applyFont="0" applyFill="0" applyAlignment="0" applyProtection="0"/>
    <xf numFmtId="0" fontId="97" fillId="0" borderId="31" applyNumberFormat="0" applyFont="0" applyFill="0" applyAlignment="0" applyProtection="0"/>
    <xf numFmtId="0" fontId="97" fillId="0" borderId="31" applyNumberFormat="0" applyFont="0" applyFill="0" applyAlignment="0" applyProtection="0"/>
    <xf numFmtId="43"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101" fillId="0" borderId="0" applyFont="0" applyFill="0" applyBorder="0" applyAlignment="0" applyProtection="0"/>
    <xf numFmtId="0" fontId="9" fillId="0" borderId="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6" borderId="0" applyNumberFormat="0" applyBorder="0" applyAlignment="0" applyProtection="0"/>
    <xf numFmtId="0" fontId="5" fillId="40" borderId="0" applyNumberFormat="0" applyBorder="0" applyAlignment="0" applyProtection="0"/>
    <xf numFmtId="0" fontId="72" fillId="21" borderId="0" applyNumberFormat="0" applyBorder="0" applyAlignment="0" applyProtection="0"/>
    <xf numFmtId="0" fontId="72" fillId="25" borderId="0" applyNumberFormat="0" applyBorder="0" applyAlignment="0" applyProtection="0"/>
    <xf numFmtId="0" fontId="72" fillId="29" borderId="0" applyNumberFormat="0" applyBorder="0" applyAlignment="0" applyProtection="0"/>
    <xf numFmtId="0" fontId="72" fillId="33" borderId="0" applyNumberFormat="0" applyBorder="0" applyAlignment="0" applyProtection="0"/>
    <xf numFmtId="0" fontId="72" fillId="37" borderId="0" applyNumberFormat="0" applyBorder="0" applyAlignment="0" applyProtection="0"/>
    <xf numFmtId="0" fontId="72" fillId="41" borderId="0" applyNumberFormat="0" applyBorder="0" applyAlignment="0" applyProtection="0"/>
    <xf numFmtId="0" fontId="72" fillId="18" borderId="0" applyNumberFormat="0" applyBorder="0" applyAlignment="0" applyProtection="0"/>
    <xf numFmtId="0" fontId="72" fillId="22" borderId="0" applyNumberFormat="0" applyBorder="0" applyAlignment="0" applyProtection="0"/>
    <xf numFmtId="0" fontId="72" fillId="26" borderId="0" applyNumberFormat="0" applyBorder="0" applyAlignment="0" applyProtection="0"/>
    <xf numFmtId="0" fontId="72" fillId="30" borderId="0" applyNumberFormat="0" applyBorder="0" applyAlignment="0" applyProtection="0"/>
    <xf numFmtId="0" fontId="72" fillId="34" borderId="0" applyNumberFormat="0" applyBorder="0" applyAlignment="0" applyProtection="0"/>
    <xf numFmtId="0" fontId="72" fillId="38" borderId="0" applyNumberFormat="0" applyBorder="0" applyAlignment="0" applyProtection="0"/>
    <xf numFmtId="0" fontId="64" fillId="12" borderId="0" applyNumberFormat="0" applyBorder="0" applyAlignment="0" applyProtection="0"/>
    <xf numFmtId="0" fontId="68" fillId="15" borderId="25" applyNumberFormat="0" applyAlignment="0" applyProtection="0"/>
    <xf numFmtId="0" fontId="70" fillId="16" borderId="28" applyNumberFormat="0" applyAlignment="0" applyProtection="0"/>
    <xf numFmtId="0" fontId="71" fillId="0" borderId="0" applyNumberFormat="0" applyFill="0" applyBorder="0" applyAlignment="0" applyProtection="0"/>
    <xf numFmtId="0" fontId="63" fillId="11" borderId="0" applyNumberFormat="0" applyBorder="0" applyAlignment="0" applyProtection="0"/>
    <xf numFmtId="0" fontId="60" fillId="0" borderId="22" applyNumberFormat="0" applyFill="0" applyAlignment="0" applyProtection="0"/>
    <xf numFmtId="0" fontId="61" fillId="0" borderId="23" applyNumberFormat="0" applyFill="0" applyAlignment="0" applyProtection="0"/>
    <xf numFmtId="0" fontId="62" fillId="0" borderId="24" applyNumberFormat="0" applyFill="0" applyAlignment="0" applyProtection="0"/>
    <xf numFmtId="0" fontId="62" fillId="0" borderId="0" applyNumberFormat="0" applyFill="0" applyBorder="0" applyAlignment="0" applyProtection="0"/>
    <xf numFmtId="0" fontId="66" fillId="14" borderId="25" applyNumberFormat="0" applyAlignment="0" applyProtection="0"/>
    <xf numFmtId="0" fontId="69" fillId="0" borderId="27" applyNumberFormat="0" applyFill="0" applyAlignment="0" applyProtection="0"/>
    <xf numFmtId="0" fontId="65" fillId="13" borderId="0" applyNumberFormat="0" applyBorder="0" applyAlignment="0" applyProtection="0"/>
    <xf numFmtId="171" fontId="102" fillId="0" borderId="0"/>
    <xf numFmtId="0" fontId="9" fillId="0" borderId="0"/>
    <xf numFmtId="0" fontId="100" fillId="17" borderId="29" applyNumberFormat="0" applyFont="0" applyAlignment="0" applyProtection="0"/>
    <xf numFmtId="0" fontId="67" fillId="15" borderId="26" applyNumberFormat="0" applyAlignment="0" applyProtection="0"/>
    <xf numFmtId="9" fontId="9" fillId="0" borderId="0" applyFont="0" applyFill="0" applyBorder="0" applyAlignment="0" applyProtection="0"/>
    <xf numFmtId="0" fontId="19" fillId="0" borderId="30" applyNumberFormat="0" applyFill="0" applyAlignment="0" applyProtection="0"/>
    <xf numFmtId="0" fontId="51" fillId="0" borderId="0" applyNumberFormat="0" applyFill="0" applyBorder="0" applyAlignment="0" applyProtection="0"/>
    <xf numFmtId="0" fontId="94" fillId="0" borderId="0"/>
  </cellStyleXfs>
  <cellXfs count="663">
    <xf numFmtId="0" fontId="0" fillId="0" borderId="0" xfId="0"/>
    <xf numFmtId="0" fontId="3" fillId="0" borderId="0" xfId="0" applyFont="1"/>
    <xf numFmtId="1" fontId="2" fillId="0" borderId="0" xfId="1" applyNumberFormat="1" applyFont="1" applyAlignment="1">
      <alignment horizontal="center"/>
    </xf>
    <xf numFmtId="1" fontId="3" fillId="0" borderId="0" xfId="0" applyNumberFormat="1" applyFont="1" applyAlignment="1">
      <alignment horizontal="center"/>
    </xf>
    <xf numFmtId="0" fontId="6" fillId="0" borderId="0" xfId="0" applyFont="1"/>
    <xf numFmtId="0" fontId="7" fillId="0" borderId="0" xfId="0" applyFont="1"/>
    <xf numFmtId="0" fontId="2" fillId="0" borderId="0" xfId="0" applyFont="1"/>
    <xf numFmtId="0" fontId="8" fillId="0" borderId="0" xfId="0" applyFont="1"/>
    <xf numFmtId="0" fontId="8" fillId="0" borderId="2" xfId="0" applyFont="1" applyBorder="1"/>
    <xf numFmtId="0" fontId="8" fillId="0" borderId="2" xfId="0" applyFont="1" applyBorder="1" applyAlignment="1">
      <alignment horizontal="center"/>
    </xf>
    <xf numFmtId="0" fontId="8" fillId="0" borderId="1" xfId="0" applyFont="1" applyBorder="1" applyAlignment="1">
      <alignment horizontal="center"/>
    </xf>
    <xf numFmtId="0" fontId="2" fillId="0" borderId="0" xfId="4" applyFont="1" applyBorder="1" applyAlignment="1">
      <alignment horizontal="center"/>
    </xf>
    <xf numFmtId="16" fontId="2" fillId="0" borderId="0" xfId="4" applyNumberFormat="1" applyFont="1" applyBorder="1" applyAlignment="1">
      <alignment horizontal="center"/>
    </xf>
    <xf numFmtId="3" fontId="2" fillId="0" borderId="0" xfId="0" applyNumberFormat="1" applyFont="1"/>
    <xf numFmtId="3" fontId="10" fillId="0" borderId="0" xfId="4" applyNumberFormat="1" applyFont="1" applyBorder="1" applyAlignment="1">
      <alignment horizontal="right"/>
    </xf>
    <xf numFmtId="3" fontId="2" fillId="0" borderId="0" xfId="4" applyNumberFormat="1" applyFont="1" applyFill="1" applyBorder="1" applyAlignment="1">
      <alignment horizontal="right"/>
    </xf>
    <xf numFmtId="3" fontId="2" fillId="0" borderId="0" xfId="4" applyNumberFormat="1" applyFont="1" applyBorder="1" applyAlignment="1">
      <alignment horizontal="right"/>
    </xf>
    <xf numFmtId="3" fontId="2" fillId="0" borderId="0" xfId="4" applyNumberFormat="1" applyFont="1" applyAlignment="1">
      <alignment horizontal="right"/>
    </xf>
    <xf numFmtId="0" fontId="2" fillId="0" borderId="0" xfId="4" applyFont="1" applyAlignment="1">
      <alignment horizontal="center"/>
    </xf>
    <xf numFmtId="0" fontId="11" fillId="0" borderId="0" xfId="0" applyFont="1"/>
    <xf numFmtId="3" fontId="2" fillId="0" borderId="0" xfId="4" applyNumberFormat="1" applyFont="1" applyBorder="1" applyAlignment="1">
      <alignment horizontal="center"/>
    </xf>
    <xf numFmtId="0" fontId="2" fillId="0" borderId="0" xfId="0" applyFont="1" applyFill="1"/>
    <xf numFmtId="0" fontId="8" fillId="0" borderId="2" xfId="0" applyFont="1" applyFill="1" applyBorder="1" applyAlignment="1">
      <alignment horizontal="center"/>
    </xf>
    <xf numFmtId="0" fontId="8" fillId="0" borderId="1" xfId="0" applyFont="1" applyFill="1" applyBorder="1" applyAlignment="1">
      <alignment horizontal="center"/>
    </xf>
    <xf numFmtId="3" fontId="10" fillId="0" borderId="0" xfId="4" applyNumberFormat="1" applyFont="1" applyFill="1" applyBorder="1" applyAlignment="1">
      <alignment horizontal="right"/>
    </xf>
    <xf numFmtId="3" fontId="2" fillId="0" borderId="0" xfId="4" applyNumberFormat="1" applyFont="1" applyFill="1" applyAlignment="1">
      <alignment horizontal="right"/>
    </xf>
    <xf numFmtId="9" fontId="10" fillId="0" borderId="0" xfId="3" applyFont="1" applyFill="1" applyBorder="1" applyAlignment="1">
      <alignment horizontal="right"/>
    </xf>
    <xf numFmtId="0" fontId="8" fillId="0" borderId="0" xfId="0" applyFont="1" applyAlignment="1">
      <alignment horizontal="center"/>
    </xf>
    <xf numFmtId="0" fontId="8" fillId="3" borderId="0" xfId="0" applyFont="1" applyFill="1"/>
    <xf numFmtId="0" fontId="8" fillId="2" borderId="0" xfId="0" applyFont="1" applyFill="1"/>
    <xf numFmtId="0" fontId="8" fillId="4" borderId="0" xfId="0" applyFont="1" applyFill="1"/>
    <xf numFmtId="0" fontId="2" fillId="4" borderId="0" xfId="0" applyFont="1" applyFill="1"/>
    <xf numFmtId="0" fontId="12" fillId="0" borderId="0" xfId="5" applyFont="1" applyAlignment="1">
      <alignment horizontal="center"/>
    </xf>
    <xf numFmtId="0" fontId="12" fillId="0" borderId="0" xfId="5" quotePrefix="1" applyFont="1" applyAlignment="1">
      <alignment horizontal="center"/>
    </xf>
    <xf numFmtId="0" fontId="8" fillId="3" borderId="0" xfId="0" applyFont="1" applyFill="1" applyAlignment="1">
      <alignment horizontal="center"/>
    </xf>
    <xf numFmtId="0" fontId="12" fillId="3" borderId="0" xfId="5" applyFont="1" applyFill="1" applyAlignment="1">
      <alignment horizontal="center"/>
    </xf>
    <xf numFmtId="0" fontId="8" fillId="2" borderId="0" xfId="0" applyFont="1" applyFill="1" applyAlignment="1">
      <alignment horizontal="center"/>
    </xf>
    <xf numFmtId="0" fontId="8" fillId="4" borderId="0" xfId="0" applyFont="1" applyFill="1" applyAlignment="1">
      <alignment horizontal="center"/>
    </xf>
    <xf numFmtId="0" fontId="3" fillId="0" borderId="0" xfId="5" applyNumberFormat="1" applyFont="1" applyAlignment="1">
      <alignment horizontal="center"/>
    </xf>
    <xf numFmtId="165" fontId="2" fillId="4" borderId="0" xfId="0" applyNumberFormat="1" applyFont="1" applyFill="1" applyAlignment="1">
      <alignment horizontal="center"/>
    </xf>
    <xf numFmtId="3" fontId="3" fillId="3" borderId="0" xfId="0" applyNumberFormat="1" applyFont="1" applyFill="1" applyBorder="1"/>
    <xf numFmtId="0" fontId="12" fillId="3" borderId="2" xfId="0" applyFont="1" applyFill="1" applyBorder="1"/>
    <xf numFmtId="1" fontId="8" fillId="0" borderId="2" xfId="1" applyNumberFormat="1" applyFont="1" applyBorder="1" applyAlignment="1">
      <alignment horizontal="left"/>
    </xf>
    <xf numFmtId="1" fontId="8" fillId="0" borderId="1" xfId="1" applyNumberFormat="1" applyFont="1" applyBorder="1" applyAlignment="1" applyProtection="1">
      <alignment horizontal="center"/>
    </xf>
    <xf numFmtId="0" fontId="8" fillId="5" borderId="0" xfId="0" applyFont="1" applyFill="1"/>
    <xf numFmtId="0" fontId="2" fillId="5" borderId="0" xfId="0" applyFont="1" applyFill="1"/>
    <xf numFmtId="0" fontId="8" fillId="5" borderId="0" xfId="0" applyFont="1" applyFill="1" applyAlignment="1">
      <alignment horizontal="center"/>
    </xf>
    <xf numFmtId="0" fontId="12" fillId="3" borderId="0" xfId="0" applyFont="1" applyFill="1" applyBorder="1"/>
    <xf numFmtId="3" fontId="3" fillId="3" borderId="0" xfId="0" applyNumberFormat="1" applyFont="1" applyFill="1"/>
    <xf numFmtId="0" fontId="3" fillId="3" borderId="0" xfId="0" applyFont="1" applyFill="1"/>
    <xf numFmtId="3" fontId="2" fillId="3" borderId="0" xfId="1" applyNumberFormat="1" applyFont="1" applyFill="1" applyProtection="1"/>
    <xf numFmtId="3" fontId="13" fillId="3" borderId="0" xfId="0" applyNumberFormat="1" applyFont="1" applyFill="1"/>
    <xf numFmtId="3" fontId="14" fillId="0" borderId="0" xfId="4" applyNumberFormat="1" applyFont="1" applyFill="1" applyBorder="1" applyAlignment="1">
      <alignment horizontal="right"/>
    </xf>
    <xf numFmtId="1" fontId="3" fillId="0" borderId="2" xfId="0" applyNumberFormat="1" applyFont="1" applyBorder="1" applyAlignment="1">
      <alignment horizontal="center"/>
    </xf>
    <xf numFmtId="1" fontId="3" fillId="0" borderId="0" xfId="0" applyNumberFormat="1" applyFont="1" applyBorder="1" applyAlignment="1">
      <alignment horizontal="center"/>
    </xf>
    <xf numFmtId="1" fontId="3" fillId="0" borderId="1" xfId="0" applyNumberFormat="1" applyFont="1" applyBorder="1" applyAlignment="1">
      <alignment horizontal="center"/>
    </xf>
    <xf numFmtId="9" fontId="2" fillId="0" borderId="0" xfId="0" applyNumberFormat="1" applyFont="1"/>
    <xf numFmtId="0" fontId="2" fillId="0" borderId="0" xfId="0" applyFont="1" applyFill="1" applyAlignment="1">
      <alignment horizontal="center"/>
    </xf>
    <xf numFmtId="0" fontId="0" fillId="0" borderId="0" xfId="0" applyFill="1"/>
    <xf numFmtId="0" fontId="12" fillId="0" borderId="0" xfId="5" applyFont="1" applyAlignment="1">
      <alignment horizontal="right"/>
    </xf>
    <xf numFmtId="9" fontId="2" fillId="0" borderId="0" xfId="3" applyFont="1" applyFill="1" applyAlignment="1">
      <alignment horizontal="center"/>
    </xf>
    <xf numFmtId="166" fontId="2" fillId="0" borderId="0" xfId="3" applyNumberFormat="1" applyFont="1" applyFill="1" applyAlignment="1">
      <alignment horizontal="center"/>
    </xf>
    <xf numFmtId="3" fontId="14" fillId="0" borderId="0" xfId="0" applyNumberFormat="1" applyFont="1" applyFill="1" applyAlignment="1">
      <alignment horizontal="center"/>
    </xf>
    <xf numFmtId="0" fontId="12" fillId="0" borderId="0" xfId="5" applyFont="1" applyBorder="1" applyAlignment="1">
      <alignment horizontal="center"/>
    </xf>
    <xf numFmtId="0" fontId="12" fillId="0" borderId="0" xfId="5" applyFont="1" applyBorder="1" applyAlignment="1">
      <alignment horizontal="right"/>
    </xf>
    <xf numFmtId="0" fontId="2" fillId="0" borderId="0" xfId="0" applyFont="1" applyFill="1" applyBorder="1" applyAlignment="1">
      <alignment horizontal="center"/>
    </xf>
    <xf numFmtId="166" fontId="2" fillId="0" borderId="0" xfId="3" applyNumberFormat="1" applyFont="1" applyFill="1" applyBorder="1" applyAlignment="1">
      <alignment horizontal="center"/>
    </xf>
    <xf numFmtId="9" fontId="2" fillId="0" borderId="0" xfId="0" applyNumberFormat="1" applyFont="1" applyFill="1" applyBorder="1" applyAlignment="1">
      <alignment horizontal="center"/>
    </xf>
    <xf numFmtId="3" fontId="2" fillId="0" borderId="0" xfId="0" applyNumberFormat="1" applyFont="1" applyFill="1" applyBorder="1" applyAlignment="1">
      <alignment horizontal="center"/>
    </xf>
    <xf numFmtId="0" fontId="12" fillId="0" borderId="1" xfId="5" applyFont="1" applyBorder="1" applyAlignment="1">
      <alignment horizontal="center"/>
    </xf>
    <xf numFmtId="0" fontId="12" fillId="0" borderId="1" xfId="5" applyFont="1" applyBorder="1" applyAlignment="1">
      <alignment horizontal="right"/>
    </xf>
    <xf numFmtId="3" fontId="2" fillId="0" borderId="1" xfId="0" applyNumberFormat="1" applyFont="1" applyFill="1" applyBorder="1" applyAlignment="1">
      <alignment horizontal="center"/>
    </xf>
    <xf numFmtId="0" fontId="2" fillId="0" borderId="1" xfId="0" applyFont="1" applyFill="1" applyBorder="1" applyAlignment="1">
      <alignment horizontal="center"/>
    </xf>
    <xf numFmtId="0" fontId="12" fillId="0" borderId="2" xfId="5" applyFont="1" applyBorder="1" applyAlignment="1">
      <alignment horizontal="center"/>
    </xf>
    <xf numFmtId="0" fontId="12" fillId="0" borderId="2" xfId="5" applyFont="1" applyFill="1" applyBorder="1" applyAlignment="1">
      <alignment horizontal="center"/>
    </xf>
    <xf numFmtId="0" fontId="7" fillId="0" borderId="0" xfId="0" applyFont="1" applyFill="1"/>
    <xf numFmtId="0" fontId="17" fillId="0" borderId="0" xfId="0" applyFont="1"/>
    <xf numFmtId="0" fontId="12" fillId="3" borderId="1" xfId="0" applyFont="1" applyFill="1" applyBorder="1" applyAlignment="1">
      <alignment horizontal="right"/>
    </xf>
    <xf numFmtId="0" fontId="2" fillId="0" borderId="0" xfId="6" applyFont="1"/>
    <xf numFmtId="0" fontId="8" fillId="0" borderId="0" xfId="6" applyFont="1"/>
    <xf numFmtId="167" fontId="8" fillId="0" borderId="0" xfId="6" applyNumberFormat="1" applyFont="1" applyAlignment="1">
      <alignment horizontal="center"/>
    </xf>
    <xf numFmtId="167" fontId="3" fillId="0" borderId="0" xfId="35" applyNumberFormat="1" applyFont="1" applyAlignment="1">
      <alignment horizontal="center"/>
    </xf>
    <xf numFmtId="0" fontId="3" fillId="0" borderId="0" xfId="35" applyFont="1"/>
    <xf numFmtId="0" fontId="3" fillId="0" borderId="0" xfId="40" applyFont="1"/>
    <xf numFmtId="0" fontId="3" fillId="0" borderId="0" xfId="42" applyFont="1"/>
    <xf numFmtId="0" fontId="3" fillId="0" borderId="0" xfId="41" applyFont="1"/>
    <xf numFmtId="0" fontId="3" fillId="0" borderId="0" xfId="49" applyFont="1"/>
    <xf numFmtId="0" fontId="3" fillId="0" borderId="0" xfId="52" applyFont="1"/>
    <xf numFmtId="0" fontId="3" fillId="0" borderId="0" xfId="54" applyFont="1"/>
    <xf numFmtId="0" fontId="3" fillId="0" borderId="0" xfId="56" applyFont="1"/>
    <xf numFmtId="0" fontId="3" fillId="0" borderId="0" xfId="36" applyFont="1"/>
    <xf numFmtId="0" fontId="3" fillId="0" borderId="0" xfId="38" applyFont="1"/>
    <xf numFmtId="0" fontId="3" fillId="0" borderId="0" xfId="39" applyFont="1"/>
    <xf numFmtId="0" fontId="3" fillId="0" borderId="0" xfId="43" applyFont="1"/>
    <xf numFmtId="0" fontId="3" fillId="0" borderId="0" xfId="45" applyFont="1"/>
    <xf numFmtId="0" fontId="3" fillId="0" borderId="0" xfId="57" applyFont="1"/>
    <xf numFmtId="0" fontId="3" fillId="0" borderId="0" xfId="59" applyFont="1"/>
    <xf numFmtId="0" fontId="3" fillId="0" borderId="0" xfId="37" applyFont="1"/>
    <xf numFmtId="0" fontId="3" fillId="0" borderId="0" xfId="51" applyFont="1"/>
    <xf numFmtId="0" fontId="3" fillId="0" borderId="0" xfId="53" applyFont="1"/>
    <xf numFmtId="0" fontId="3" fillId="0" borderId="0" xfId="55" applyFont="1"/>
    <xf numFmtId="0" fontId="3" fillId="0" borderId="0" xfId="46" applyFont="1"/>
    <xf numFmtId="0" fontId="3" fillId="0" borderId="0" xfId="58" applyFont="1"/>
    <xf numFmtId="0" fontId="3" fillId="0" borderId="0" xfId="48" applyFont="1"/>
    <xf numFmtId="0" fontId="3" fillId="0" borderId="0" xfId="47" applyFont="1"/>
    <xf numFmtId="0" fontId="3" fillId="0" borderId="0" xfId="50" applyFont="1"/>
    <xf numFmtId="0" fontId="3" fillId="0" borderId="0" xfId="44" applyFont="1"/>
    <xf numFmtId="0" fontId="3" fillId="0" borderId="0" xfId="55" applyFont="1" applyFill="1"/>
    <xf numFmtId="16" fontId="2" fillId="0" borderId="0" xfId="6" applyNumberFormat="1" applyFont="1"/>
    <xf numFmtId="167" fontId="12" fillId="0" borderId="0" xfId="34" applyNumberFormat="1" applyFont="1" applyAlignment="1">
      <alignment horizontal="left"/>
    </xf>
    <xf numFmtId="0" fontId="12" fillId="0" borderId="0" xfId="34" applyFont="1" applyFill="1"/>
    <xf numFmtId="0" fontId="2" fillId="0" borderId="0" xfId="6" applyFont="1" applyFill="1"/>
    <xf numFmtId="0" fontId="16" fillId="0" borderId="0" xfId="6" applyFont="1" applyAlignment="1">
      <alignment horizontal="center"/>
    </xf>
    <xf numFmtId="0" fontId="11" fillId="0" borderId="0" xfId="6" applyFont="1" applyAlignment="1">
      <alignment horizontal="center"/>
    </xf>
    <xf numFmtId="3" fontId="2" fillId="3" borderId="0" xfId="0" applyNumberFormat="1" applyFont="1" applyFill="1"/>
    <xf numFmtId="3" fontId="2" fillId="2" borderId="0" xfId="0" applyNumberFormat="1" applyFont="1" applyFill="1"/>
    <xf numFmtId="3" fontId="2" fillId="4" borderId="0" xfId="0" applyNumberFormat="1" applyFont="1" applyFill="1"/>
    <xf numFmtId="167" fontId="17" fillId="0" borderId="0" xfId="34" applyNumberFormat="1" applyFont="1" applyAlignment="1">
      <alignment horizontal="left"/>
    </xf>
    <xf numFmtId="0" fontId="2" fillId="3" borderId="0" xfId="0" applyFont="1" applyFill="1"/>
    <xf numFmtId="3" fontId="15" fillId="0" borderId="0" xfId="0" applyNumberFormat="1" applyFont="1" applyBorder="1" applyAlignment="1">
      <alignment horizontal="left"/>
    </xf>
    <xf numFmtId="0" fontId="0" fillId="0" borderId="0" xfId="0" applyBorder="1"/>
    <xf numFmtId="0" fontId="2" fillId="0" borderId="0" xfId="0" applyFont="1" applyBorder="1" applyAlignment="1">
      <alignment horizontal="right"/>
    </xf>
    <xf numFmtId="3" fontId="2" fillId="0" borderId="0" xfId="0" applyNumberFormat="1" applyFont="1" applyBorder="1"/>
    <xf numFmtId="0" fontId="2" fillId="0" borderId="0" xfId="0" applyFont="1" applyBorder="1"/>
    <xf numFmtId="0" fontId="12" fillId="5" borderId="0" xfId="5" applyFont="1" applyFill="1" applyAlignment="1">
      <alignment horizontal="center"/>
    </xf>
    <xf numFmtId="1" fontId="2" fillId="3" borderId="0" xfId="0" applyNumberFormat="1" applyFont="1" applyFill="1" applyAlignment="1">
      <alignment horizontal="center"/>
    </xf>
    <xf numFmtId="0" fontId="8" fillId="4" borderId="0" xfId="4" applyFont="1" applyFill="1" applyBorder="1" applyAlignment="1">
      <alignment horizontal="center"/>
    </xf>
    <xf numFmtId="0" fontId="8" fillId="4" borderId="0" xfId="4" applyFont="1" applyFill="1" applyAlignment="1">
      <alignment horizontal="center"/>
    </xf>
    <xf numFmtId="0" fontId="8" fillId="3" borderId="0" xfId="4" applyFont="1" applyFill="1" applyBorder="1" applyAlignment="1">
      <alignment horizontal="center"/>
    </xf>
    <xf numFmtId="0" fontId="8" fillId="3" borderId="0" xfId="4" applyFont="1" applyFill="1" applyAlignment="1">
      <alignment horizontal="center"/>
    </xf>
    <xf numFmtId="3" fontId="8" fillId="3" borderId="0" xfId="0" applyNumberFormat="1" applyFont="1" applyFill="1"/>
    <xf numFmtId="0" fontId="8" fillId="5" borderId="2" xfId="0" applyFont="1" applyFill="1" applyBorder="1"/>
    <xf numFmtId="0" fontId="2" fillId="5" borderId="2" xfId="0" applyFont="1" applyFill="1" applyBorder="1"/>
    <xf numFmtId="0" fontId="8" fillId="5" borderId="1" xfId="0" applyFont="1" applyFill="1" applyBorder="1" applyAlignment="1">
      <alignment horizontal="center"/>
    </xf>
    <xf numFmtId="3" fontId="2" fillId="5" borderId="0" xfId="0" applyNumberFormat="1" applyFont="1" applyFill="1"/>
    <xf numFmtId="2" fontId="2" fillId="5" borderId="0" xfId="0" applyNumberFormat="1" applyFont="1" applyFill="1" applyAlignment="1">
      <alignment horizontal="center"/>
    </xf>
    <xf numFmtId="3" fontId="14" fillId="5" borderId="0" xfId="0" applyNumberFormat="1" applyFont="1" applyFill="1"/>
    <xf numFmtId="3" fontId="15" fillId="5" borderId="0" xfId="0" applyNumberFormat="1" applyFont="1" applyFill="1" applyBorder="1" applyAlignment="1">
      <alignment horizontal="left"/>
    </xf>
    <xf numFmtId="3" fontId="15" fillId="2" borderId="0" xfId="0" applyNumberFormat="1" applyFont="1" applyFill="1" applyAlignment="1">
      <alignment horizontal="left"/>
    </xf>
    <xf numFmtId="0" fontId="8" fillId="3" borderId="2" xfId="0" applyFont="1" applyFill="1" applyBorder="1"/>
    <xf numFmtId="0" fontId="2" fillId="3" borderId="2" xfId="0" applyFont="1" applyFill="1" applyBorder="1"/>
    <xf numFmtId="0" fontId="8" fillId="4" borderId="2" xfId="0" applyFont="1" applyFill="1" applyBorder="1"/>
    <xf numFmtId="0" fontId="2" fillId="4" borderId="2" xfId="0" applyFont="1" applyFill="1" applyBorder="1"/>
    <xf numFmtId="0" fontId="8" fillId="3" borderId="1" xfId="0" applyFont="1" applyFill="1" applyBorder="1" applyAlignment="1">
      <alignment horizontal="center"/>
    </xf>
    <xf numFmtId="0" fontId="8" fillId="4" borderId="1" xfId="0" applyFont="1" applyFill="1" applyBorder="1" applyAlignment="1">
      <alignment horizontal="center"/>
    </xf>
    <xf numFmtId="0" fontId="8" fillId="0" borderId="0" xfId="0" applyFont="1" applyFill="1"/>
    <xf numFmtId="3" fontId="18" fillId="0" borderId="0" xfId="4" applyNumberFormat="1" applyFont="1" applyFill="1" applyBorder="1" applyAlignment="1">
      <alignment horizontal="right"/>
    </xf>
    <xf numFmtId="0" fontId="8" fillId="5" borderId="0" xfId="4" applyFont="1" applyFill="1" applyBorder="1" applyAlignment="1">
      <alignment horizontal="center"/>
    </xf>
    <xf numFmtId="0" fontId="8" fillId="5" borderId="0" xfId="4" applyFont="1" applyFill="1" applyAlignment="1">
      <alignment horizontal="center"/>
    </xf>
    <xf numFmtId="3" fontId="8" fillId="5" borderId="0" xfId="0" applyNumberFormat="1" applyFont="1" applyFill="1"/>
    <xf numFmtId="3" fontId="8" fillId="0" borderId="0" xfId="0" applyNumberFormat="1" applyFont="1" applyBorder="1"/>
    <xf numFmtId="3" fontId="18" fillId="5" borderId="0" xfId="4" applyNumberFormat="1" applyFont="1" applyFill="1" applyBorder="1" applyAlignment="1">
      <alignment horizontal="right"/>
    </xf>
    <xf numFmtId="0" fontId="11" fillId="0" borderId="0" xfId="4" applyFont="1" applyBorder="1" applyAlignment="1">
      <alignment horizontal="center"/>
    </xf>
    <xf numFmtId="3" fontId="2" fillId="0" borderId="0" xfId="0" applyNumberFormat="1" applyFont="1" applyFill="1"/>
    <xf numFmtId="0" fontId="8" fillId="0" borderId="0" xfId="4" applyFont="1" applyFill="1" applyBorder="1" applyAlignment="1">
      <alignment horizontal="center"/>
    </xf>
    <xf numFmtId="0" fontId="8" fillId="0" borderId="0" xfId="4" applyFont="1" applyFill="1" applyAlignment="1">
      <alignment horizontal="center"/>
    </xf>
    <xf numFmtId="9" fontId="2" fillId="0" borderId="0" xfId="3" applyFont="1" applyFill="1"/>
    <xf numFmtId="0" fontId="12" fillId="0" borderId="0" xfId="4" applyFont="1" applyFill="1" applyBorder="1" applyAlignment="1">
      <alignment horizontal="center"/>
    </xf>
    <xf numFmtId="9" fontId="3" fillId="0" borderId="0" xfId="3" applyFont="1" applyFill="1"/>
    <xf numFmtId="0" fontId="8" fillId="0" borderId="0" xfId="0" applyFont="1" applyBorder="1" applyAlignment="1">
      <alignment horizontal="center"/>
    </xf>
    <xf numFmtId="2" fontId="2" fillId="0" borderId="0" xfId="0" applyNumberFormat="1" applyFont="1"/>
    <xf numFmtId="0" fontId="14" fillId="5" borderId="0" xfId="4" applyFont="1" applyFill="1" applyBorder="1" applyAlignment="1">
      <alignment horizontal="center"/>
    </xf>
    <xf numFmtId="0" fontId="14" fillId="3" borderId="0" xfId="4" applyFont="1" applyFill="1" applyBorder="1" applyAlignment="1">
      <alignment horizontal="center"/>
    </xf>
    <xf numFmtId="3" fontId="14" fillId="3" borderId="0" xfId="0" applyNumberFormat="1" applyFont="1" applyFill="1"/>
    <xf numFmtId="0" fontId="14" fillId="4" borderId="0" xfId="4" applyFont="1" applyFill="1" applyBorder="1" applyAlignment="1">
      <alignment horizontal="center"/>
    </xf>
    <xf numFmtId="3" fontId="14" fillId="4" borderId="0" xfId="4" applyNumberFormat="1" applyFont="1" applyFill="1" applyBorder="1" applyAlignment="1">
      <alignment horizontal="right"/>
    </xf>
    <xf numFmtId="1" fontId="2" fillId="0" borderId="0" xfId="0" applyNumberFormat="1" applyFont="1"/>
    <xf numFmtId="0" fontId="4" fillId="0" borderId="0" xfId="162"/>
    <xf numFmtId="0" fontId="4" fillId="0" borderId="0" xfId="162" applyFont="1"/>
    <xf numFmtId="2" fontId="4" fillId="0" borderId="0" xfId="162" applyNumberFormat="1"/>
    <xf numFmtId="0" fontId="4" fillId="0" borderId="0" xfId="162" applyAlignment="1">
      <alignment horizontal="right"/>
    </xf>
    <xf numFmtId="168" fontId="4" fillId="0" borderId="3" xfId="162" applyNumberFormat="1" applyBorder="1"/>
    <xf numFmtId="2" fontId="4" fillId="0" borderId="4" xfId="162" applyNumberFormat="1" applyBorder="1"/>
    <xf numFmtId="168" fontId="4" fillId="0" borderId="5" xfId="162" applyNumberFormat="1" applyBorder="1"/>
    <xf numFmtId="2" fontId="4" fillId="0" borderId="6" xfId="162" applyNumberFormat="1" applyBorder="1"/>
    <xf numFmtId="2" fontId="4" fillId="0" borderId="5" xfId="162" applyNumberFormat="1" applyBorder="1"/>
    <xf numFmtId="1" fontId="4" fillId="0" borderId="6" xfId="162" applyNumberFormat="1" applyBorder="1"/>
    <xf numFmtId="2" fontId="4" fillId="0" borderId="7" xfId="162" applyNumberFormat="1" applyBorder="1"/>
    <xf numFmtId="2" fontId="4" fillId="0" borderId="8" xfId="162" applyNumberFormat="1" applyBorder="1"/>
    <xf numFmtId="169" fontId="4" fillId="0" borderId="0" xfId="162" applyNumberFormat="1"/>
    <xf numFmtId="3" fontId="2" fillId="5" borderId="0" xfId="0" applyNumberFormat="1" applyFont="1" applyFill="1" applyBorder="1"/>
    <xf numFmtId="3" fontId="8" fillId="5" borderId="0" xfId="0" applyNumberFormat="1" applyFont="1" applyFill="1" applyBorder="1"/>
    <xf numFmtId="0" fontId="2" fillId="5" borderId="0" xfId="0" applyFont="1" applyFill="1" applyBorder="1"/>
    <xf numFmtId="3" fontId="8" fillId="3" borderId="0" xfId="0" applyNumberFormat="1" applyFont="1" applyFill="1" applyBorder="1"/>
    <xf numFmtId="3" fontId="2" fillId="3" borderId="0" xfId="0" applyNumberFormat="1" applyFont="1" applyFill="1" applyBorder="1"/>
    <xf numFmtId="0" fontId="2" fillId="3" borderId="0" xfId="0" applyFont="1" applyFill="1" applyBorder="1"/>
    <xf numFmtId="0" fontId="8" fillId="4" borderId="0" xfId="0" applyFont="1" applyFill="1" applyBorder="1"/>
    <xf numFmtId="0" fontId="2" fillId="4" borderId="0" xfId="0" applyFont="1" applyFill="1" applyBorder="1"/>
    <xf numFmtId="0" fontId="2" fillId="2" borderId="0" xfId="0" applyFont="1" applyFill="1" applyBorder="1"/>
    <xf numFmtId="3" fontId="14" fillId="0" borderId="0" xfId="0" applyNumberFormat="1" applyFont="1"/>
    <xf numFmtId="0" fontId="19" fillId="0" borderId="0" xfId="0" applyFont="1"/>
    <xf numFmtId="0" fontId="3" fillId="0" borderId="0" xfId="59" applyFont="1" applyFill="1"/>
    <xf numFmtId="0" fontId="5" fillId="0" borderId="0" xfId="0" applyFont="1"/>
    <xf numFmtId="16" fontId="5" fillId="0" borderId="0" xfId="0" applyNumberFormat="1" applyFont="1"/>
    <xf numFmtId="3" fontId="5" fillId="0" borderId="0" xfId="0" applyNumberFormat="1" applyFont="1"/>
    <xf numFmtId="167" fontId="20" fillId="0" borderId="0" xfId="34" applyNumberFormat="1" applyFont="1" applyAlignment="1">
      <alignment horizontal="left"/>
    </xf>
    <xf numFmtId="0" fontId="2" fillId="0" borderId="0" xfId="0" applyFont="1" applyAlignment="1">
      <alignment horizontal="center"/>
    </xf>
    <xf numFmtId="9" fontId="2" fillId="0" borderId="0" xfId="3" applyFont="1" applyAlignment="1">
      <alignment horizontal="center"/>
    </xf>
    <xf numFmtId="0" fontId="8" fillId="0" borderId="0" xfId="0" applyFont="1" applyAlignment="1">
      <alignment horizontal="left"/>
    </xf>
    <xf numFmtId="0" fontId="0" fillId="6" borderId="0" xfId="0" applyFill="1"/>
    <xf numFmtId="0" fontId="12" fillId="6" borderId="0" xfId="0" applyFont="1" applyFill="1" applyBorder="1" applyAlignment="1">
      <alignment horizontal="right"/>
    </xf>
    <xf numFmtId="3" fontId="0" fillId="6" borderId="0" xfId="0" applyNumberFormat="1" applyFill="1"/>
    <xf numFmtId="0" fontId="0" fillId="0" borderId="0" xfId="0" applyFont="1"/>
    <xf numFmtId="3" fontId="14" fillId="3" borderId="0" xfId="0" applyNumberFormat="1" applyFont="1" applyFill="1" applyBorder="1"/>
    <xf numFmtId="167" fontId="21" fillId="0" borderId="0" xfId="34" applyNumberFormat="1" applyFont="1" applyAlignment="1">
      <alignment horizontal="left"/>
    </xf>
    <xf numFmtId="0" fontId="3" fillId="0" borderId="0" xfId="0" applyFont="1" applyFill="1"/>
    <xf numFmtId="0" fontId="0" fillId="3" borderId="0" xfId="0" applyFill="1"/>
    <xf numFmtId="1" fontId="3" fillId="0" borderId="0" xfId="0" applyNumberFormat="1" applyFont="1" applyFill="1" applyBorder="1" applyAlignment="1">
      <alignment horizontal="center"/>
    </xf>
    <xf numFmtId="0" fontId="3" fillId="3" borderId="0" xfId="0" applyFont="1" applyFill="1" applyBorder="1"/>
    <xf numFmtId="0" fontId="11" fillId="0" borderId="0" xfId="5" applyFont="1" applyAlignment="1">
      <alignment horizontal="center"/>
    </xf>
    <xf numFmtId="3" fontId="23" fillId="0" borderId="0" xfId="4" applyNumberFormat="1" applyFont="1" applyFill="1" applyBorder="1" applyAlignment="1">
      <alignment horizontal="right"/>
    </xf>
    <xf numFmtId="0" fontId="2" fillId="2" borderId="0" xfId="0" applyFont="1" applyFill="1"/>
    <xf numFmtId="3" fontId="15" fillId="0" borderId="0" xfId="0" applyNumberFormat="1" applyFont="1" applyFill="1" applyAlignment="1">
      <alignment horizontal="right"/>
    </xf>
    <xf numFmtId="0" fontId="8" fillId="0" borderId="0" xfId="0" applyFont="1" applyBorder="1"/>
    <xf numFmtId="0" fontId="8" fillId="0" borderId="0" xfId="0" applyFont="1" applyFill="1" applyBorder="1" applyAlignment="1">
      <alignment horizontal="center"/>
    </xf>
    <xf numFmtId="0" fontId="8" fillId="5" borderId="0" xfId="0" applyFont="1" applyFill="1" applyBorder="1"/>
    <xf numFmtId="0" fontId="8" fillId="5" borderId="0" xfId="0" applyFont="1" applyFill="1" applyBorder="1" applyAlignment="1">
      <alignment horizontal="center"/>
    </xf>
    <xf numFmtId="0" fontId="8" fillId="3" borderId="0" xfId="0" applyFont="1" applyFill="1" applyBorder="1"/>
    <xf numFmtId="0" fontId="8" fillId="2" borderId="0" xfId="0" applyFont="1" applyFill="1" applyBorder="1" applyAlignment="1">
      <alignment horizontal="center"/>
    </xf>
    <xf numFmtId="0" fontId="2" fillId="0" borderId="2" xfId="0" applyFont="1" applyBorder="1"/>
    <xf numFmtId="0" fontId="2" fillId="0" borderId="2" xfId="0" applyFont="1" applyFill="1" applyBorder="1"/>
    <xf numFmtId="0" fontId="2" fillId="2" borderId="2" xfId="0" applyFont="1" applyFill="1" applyBorder="1"/>
    <xf numFmtId="3" fontId="24" fillId="0" borderId="0" xfId="4" applyNumberFormat="1" applyFont="1" applyFill="1" applyBorder="1" applyAlignment="1">
      <alignment horizontal="right"/>
    </xf>
    <xf numFmtId="3" fontId="22" fillId="0" borderId="0" xfId="4" applyNumberFormat="1" applyFont="1" applyFill="1" applyBorder="1" applyAlignment="1">
      <alignment horizontal="right"/>
    </xf>
    <xf numFmtId="3" fontId="22" fillId="0" borderId="0" xfId="4" applyNumberFormat="1" applyFont="1" applyFill="1" applyAlignment="1">
      <alignment horizontal="right"/>
    </xf>
    <xf numFmtId="0" fontId="12" fillId="0" borderId="0" xfId="0" applyFont="1"/>
    <xf numFmtId="3" fontId="3" fillId="0" borderId="0" xfId="0" applyNumberFormat="1" applyFont="1" applyFill="1" applyBorder="1"/>
    <xf numFmtId="1" fontId="3" fillId="0" borderId="2" xfId="0" applyNumberFormat="1" applyFont="1" applyFill="1" applyBorder="1" applyAlignment="1">
      <alignment horizontal="center"/>
    </xf>
    <xf numFmtId="1" fontId="3" fillId="0" borderId="1" xfId="0" applyNumberFormat="1" applyFont="1" applyFill="1" applyBorder="1" applyAlignment="1">
      <alignment horizontal="center"/>
    </xf>
    <xf numFmtId="3" fontId="3" fillId="0" borderId="0" xfId="0" applyNumberFormat="1" applyFont="1" applyFill="1"/>
    <xf numFmtId="0" fontId="0" fillId="0" borderId="1" xfId="0" applyFill="1" applyBorder="1"/>
    <xf numFmtId="1" fontId="3" fillId="0" borderId="0" xfId="0" applyNumberFormat="1" applyFont="1" applyFill="1" applyAlignment="1">
      <alignment horizontal="center"/>
    </xf>
    <xf numFmtId="9" fontId="14" fillId="0" borderId="0" xfId="3" applyFont="1" applyFill="1" applyBorder="1" applyAlignment="1">
      <alignment horizontal="right"/>
    </xf>
    <xf numFmtId="0" fontId="12" fillId="3" borderId="0" xfId="4" applyFont="1" applyFill="1" applyBorder="1" applyAlignment="1">
      <alignment horizontal="center"/>
    </xf>
    <xf numFmtId="0" fontId="13" fillId="3" borderId="0" xfId="4" applyFont="1" applyFill="1" applyBorder="1" applyAlignment="1">
      <alignment horizontal="center"/>
    </xf>
    <xf numFmtId="0" fontId="12" fillId="5" borderId="0" xfId="4" applyFont="1" applyFill="1" applyBorder="1" applyAlignment="1">
      <alignment horizontal="center"/>
    </xf>
    <xf numFmtId="3" fontId="3" fillId="5" borderId="0" xfId="0" applyNumberFormat="1" applyFont="1" applyFill="1"/>
    <xf numFmtId="0" fontId="13" fillId="5" borderId="0" xfId="4" applyFont="1" applyFill="1" applyBorder="1" applyAlignment="1">
      <alignment horizontal="center"/>
    </xf>
    <xf numFmtId="0" fontId="16" fillId="0" borderId="0" xfId="0" applyFont="1"/>
    <xf numFmtId="0" fontId="3" fillId="0" borderId="0" xfId="4" applyFont="1" applyFill="1" applyBorder="1" applyAlignment="1">
      <alignment horizontal="center"/>
    </xf>
    <xf numFmtId="3" fontId="25" fillId="0" borderId="0" xfId="0" applyNumberFormat="1" applyFont="1" applyFill="1"/>
    <xf numFmtId="0" fontId="3" fillId="0" borderId="0" xfId="4" applyFont="1" applyFill="1" applyAlignment="1">
      <alignment horizontal="center"/>
    </xf>
    <xf numFmtId="0" fontId="4" fillId="0" borderId="0" xfId="162" applyBorder="1"/>
    <xf numFmtId="0" fontId="4" fillId="0" borderId="0" xfId="162" applyFont="1" applyBorder="1"/>
    <xf numFmtId="2" fontId="4" fillId="0" borderId="0" xfId="162" applyNumberFormat="1" applyBorder="1"/>
    <xf numFmtId="0" fontId="4" fillId="0" borderId="0" xfId="162" applyBorder="1" applyAlignment="1">
      <alignment horizontal="right"/>
    </xf>
    <xf numFmtId="168" fontId="4" fillId="0" borderId="0" xfId="162" applyNumberFormat="1" applyBorder="1"/>
    <xf numFmtId="1" fontId="4" fillId="0" borderId="0" xfId="162" applyNumberFormat="1" applyBorder="1"/>
    <xf numFmtId="169" fontId="4" fillId="0" borderId="0" xfId="162" applyNumberFormat="1" applyBorder="1"/>
    <xf numFmtId="0" fontId="2" fillId="0" borderId="0" xfId="0" applyFont="1" applyFill="1" applyBorder="1"/>
    <xf numFmtId="0" fontId="8" fillId="0" borderId="0" xfId="0" applyFont="1" applyFill="1" applyBorder="1"/>
    <xf numFmtId="0" fontId="2" fillId="0" borderId="0" xfId="0" applyFont="1" applyAlignment="1">
      <alignment horizontal="right"/>
    </xf>
    <xf numFmtId="0" fontId="2" fillId="0" borderId="0" xfId="0" applyFont="1" applyFill="1" applyAlignment="1">
      <alignment horizontal="right"/>
    </xf>
    <xf numFmtId="3" fontId="2" fillId="5" borderId="0" xfId="0" applyNumberFormat="1" applyFont="1" applyFill="1" applyBorder="1" applyAlignment="1">
      <alignment horizontal="right"/>
    </xf>
    <xf numFmtId="3" fontId="11" fillId="5" borderId="0" xfId="0" applyNumberFormat="1" applyFont="1" applyFill="1" applyBorder="1" applyAlignment="1">
      <alignment horizontal="right"/>
    </xf>
    <xf numFmtId="0" fontId="3" fillId="0" borderId="0" xfId="0" applyFont="1" applyAlignment="1">
      <alignment horizontal="right"/>
    </xf>
    <xf numFmtId="9" fontId="3" fillId="0" borderId="0" xfId="3" applyFont="1"/>
    <xf numFmtId="3" fontId="3" fillId="0" borderId="0" xfId="0" applyNumberFormat="1" applyFont="1" applyFill="1" applyBorder="1" applyAlignment="1">
      <alignment horizontal="right"/>
    </xf>
    <xf numFmtId="3" fontId="12" fillId="0" borderId="0" xfId="0" applyNumberFormat="1" applyFont="1" applyFill="1" applyBorder="1" applyAlignment="1">
      <alignment horizontal="right"/>
    </xf>
    <xf numFmtId="3" fontId="28" fillId="0" borderId="0" xfId="4" applyNumberFormat="1" applyFont="1" applyFill="1" applyBorder="1" applyAlignment="1">
      <alignment horizontal="right"/>
    </xf>
    <xf numFmtId="1" fontId="2" fillId="0" borderId="0" xfId="0" applyNumberFormat="1" applyFont="1" applyFill="1" applyBorder="1" applyAlignment="1">
      <alignment horizontal="center"/>
    </xf>
    <xf numFmtId="1" fontId="2" fillId="0" borderId="0" xfId="0" applyNumberFormat="1" applyFont="1" applyFill="1" applyAlignment="1">
      <alignment horizontal="center"/>
    </xf>
    <xf numFmtId="0" fontId="0" fillId="0" borderId="0" xfId="0" applyAlignment="1">
      <alignment horizontal="center" vertical="center"/>
    </xf>
    <xf numFmtId="0" fontId="30" fillId="0" borderId="0" xfId="0" applyFont="1"/>
    <xf numFmtId="1" fontId="3" fillId="7" borderId="2" xfId="0" applyNumberFormat="1" applyFont="1" applyFill="1" applyBorder="1" applyAlignment="1">
      <alignment horizontal="center"/>
    </xf>
    <xf numFmtId="3" fontId="2" fillId="7" borderId="2" xfId="1" applyNumberFormat="1" applyFont="1" applyFill="1" applyBorder="1" applyAlignment="1" applyProtection="1">
      <alignment horizontal="left"/>
    </xf>
    <xf numFmtId="3" fontId="2" fillId="7" borderId="2" xfId="1" applyNumberFormat="1" applyFont="1" applyFill="1" applyBorder="1" applyAlignment="1" applyProtection="1">
      <alignment horizontal="right"/>
    </xf>
    <xf numFmtId="3" fontId="3" fillId="7" borderId="2" xfId="0" applyNumberFormat="1" applyFont="1" applyFill="1" applyBorder="1"/>
    <xf numFmtId="0" fontId="3" fillId="7" borderId="0" xfId="0" applyFont="1" applyFill="1"/>
    <xf numFmtId="3" fontId="3" fillId="7" borderId="0" xfId="0" applyNumberFormat="1" applyFont="1" applyFill="1"/>
    <xf numFmtId="0" fontId="3" fillId="7" borderId="1" xfId="0" applyFont="1" applyFill="1" applyBorder="1"/>
    <xf numFmtId="0" fontId="0" fillId="7" borderId="0" xfId="0" applyFill="1"/>
    <xf numFmtId="0" fontId="0" fillId="7" borderId="1" xfId="0" applyFill="1" applyBorder="1"/>
    <xf numFmtId="164" fontId="8" fillId="7" borderId="2" xfId="1" applyFont="1" applyFill="1" applyBorder="1"/>
    <xf numFmtId="3" fontId="8" fillId="7" borderId="2" xfId="1" applyNumberFormat="1" applyFont="1" applyFill="1" applyBorder="1" applyAlignment="1" applyProtection="1">
      <alignment horizontal="centerContinuous"/>
    </xf>
    <xf numFmtId="164" fontId="8" fillId="7" borderId="2" xfId="1" applyFont="1" applyFill="1" applyBorder="1" applyAlignment="1">
      <alignment horizontal="centerContinuous"/>
    </xf>
    <xf numFmtId="3" fontId="8" fillId="7" borderId="2" xfId="1" applyNumberFormat="1" applyFont="1" applyFill="1" applyBorder="1" applyAlignment="1">
      <alignment horizontal="centerContinuous"/>
    </xf>
    <xf numFmtId="3" fontId="8" fillId="7" borderId="1" xfId="1" applyNumberFormat="1" applyFont="1" applyFill="1" applyBorder="1" applyAlignment="1" applyProtection="1">
      <alignment horizontal="left"/>
    </xf>
    <xf numFmtId="3" fontId="8" fillId="7" borderId="1" xfId="1" applyNumberFormat="1" applyFont="1" applyFill="1" applyBorder="1" applyAlignment="1" applyProtection="1">
      <alignment horizontal="right"/>
    </xf>
    <xf numFmtId="3" fontId="8" fillId="7" borderId="1" xfId="1" quotePrefix="1" applyNumberFormat="1" applyFont="1" applyFill="1" applyBorder="1" applyAlignment="1" applyProtection="1">
      <alignment horizontal="right"/>
    </xf>
    <xf numFmtId="3" fontId="8" fillId="7" borderId="1" xfId="1" applyNumberFormat="1" applyFont="1" applyFill="1" applyBorder="1" applyAlignment="1">
      <alignment horizontal="right"/>
    </xf>
    <xf numFmtId="3" fontId="2" fillId="7" borderId="0" xfId="1" applyNumberFormat="1" applyFont="1" applyFill="1" applyBorder="1" applyAlignment="1" applyProtection="1">
      <alignment horizontal="left"/>
    </xf>
    <xf numFmtId="9" fontId="3" fillId="7" borderId="0" xfId="3" applyFont="1" applyFill="1" applyBorder="1"/>
    <xf numFmtId="3" fontId="3" fillId="7" borderId="0" xfId="0" applyNumberFormat="1" applyFont="1" applyFill="1" applyBorder="1"/>
    <xf numFmtId="3" fontId="2" fillId="7" borderId="1" xfId="1" applyNumberFormat="1" applyFont="1" applyFill="1" applyBorder="1" applyAlignment="1" applyProtection="1">
      <alignment horizontal="left"/>
    </xf>
    <xf numFmtId="3" fontId="3" fillId="7" borderId="1" xfId="0" applyNumberFormat="1" applyFont="1" applyFill="1" applyBorder="1"/>
    <xf numFmtId="3" fontId="14" fillId="7" borderId="2" xfId="1" applyNumberFormat="1" applyFont="1" applyFill="1" applyBorder="1" applyAlignment="1" applyProtection="1">
      <alignment horizontal="right"/>
    </xf>
    <xf numFmtId="3" fontId="14" fillId="7" borderId="2" xfId="0" applyNumberFormat="1" applyFont="1" applyFill="1" applyBorder="1"/>
    <xf numFmtId="9" fontId="14" fillId="7" borderId="0" xfId="3" applyFont="1" applyFill="1" applyBorder="1"/>
    <xf numFmtId="3" fontId="14" fillId="7" borderId="1" xfId="0" applyNumberFormat="1" applyFont="1" applyFill="1" applyBorder="1"/>
    <xf numFmtId="9" fontId="3" fillId="7" borderId="0" xfId="3" applyFont="1" applyFill="1"/>
    <xf numFmtId="3" fontId="2" fillId="4" borderId="0" xfId="4" applyNumberFormat="1" applyFont="1" applyFill="1" applyBorder="1" applyAlignment="1">
      <alignment horizontal="center"/>
    </xf>
    <xf numFmtId="3" fontId="2" fillId="4" borderId="0" xfId="4" applyNumberFormat="1" applyFont="1" applyFill="1" applyBorder="1" applyAlignment="1">
      <alignment horizontal="center" vertical="center"/>
    </xf>
    <xf numFmtId="3" fontId="14" fillId="4" borderId="0" xfId="4" applyNumberFormat="1" applyFont="1" applyFill="1" applyBorder="1" applyAlignment="1">
      <alignment horizontal="center"/>
    </xf>
    <xf numFmtId="3" fontId="14" fillId="4" borderId="0" xfId="4" applyNumberFormat="1" applyFont="1" applyFill="1" applyBorder="1" applyAlignment="1">
      <alignment horizontal="center" vertical="center"/>
    </xf>
    <xf numFmtId="0" fontId="2" fillId="4" borderId="0" xfId="0" applyFont="1" applyFill="1" applyBorder="1" applyAlignment="1">
      <alignment horizontal="center"/>
    </xf>
    <xf numFmtId="0" fontId="2" fillId="4" borderId="0" xfId="0" applyFont="1" applyFill="1" applyBorder="1" applyAlignment="1">
      <alignment horizontal="center" vertical="center"/>
    </xf>
    <xf numFmtId="0" fontId="11" fillId="8" borderId="0" xfId="6" applyFont="1" applyFill="1"/>
    <xf numFmtId="167" fontId="31" fillId="0" borderId="0" xfId="34" applyNumberFormat="1" applyFont="1" applyAlignment="1">
      <alignment horizontal="left"/>
    </xf>
    <xf numFmtId="0" fontId="32" fillId="0" borderId="0" xfId="8" applyFont="1"/>
    <xf numFmtId="0" fontId="33" fillId="0" borderId="0" xfId="0" applyFont="1"/>
    <xf numFmtId="0" fontId="34" fillId="0" borderId="0" xfId="0" applyFont="1"/>
    <xf numFmtId="0" fontId="35" fillId="0" borderId="0" xfId="8" applyFont="1"/>
    <xf numFmtId="1" fontId="33" fillId="0" borderId="0" xfId="0" applyNumberFormat="1" applyFont="1"/>
    <xf numFmtId="0" fontId="36" fillId="0" borderId="2" xfId="8" applyFont="1" applyFill="1" applyBorder="1"/>
    <xf numFmtId="0" fontId="37" fillId="0" borderId="2" xfId="34" applyFont="1" applyFill="1" applyBorder="1"/>
    <xf numFmtId="0" fontId="37" fillId="2" borderId="2" xfId="34" applyFont="1" applyFill="1" applyBorder="1"/>
    <xf numFmtId="0" fontId="32" fillId="2" borderId="2" xfId="8" applyFont="1" applyFill="1" applyBorder="1"/>
    <xf numFmtId="0" fontId="37" fillId="3" borderId="2" xfId="34" applyFont="1" applyFill="1" applyBorder="1"/>
    <xf numFmtId="0" fontId="32" fillId="3" borderId="2" xfId="8" applyFont="1" applyFill="1" applyBorder="1"/>
    <xf numFmtId="0" fontId="38" fillId="4" borderId="2" xfId="8" applyFont="1" applyFill="1" applyBorder="1" applyAlignment="1">
      <alignment horizontal="center"/>
    </xf>
    <xf numFmtId="0" fontId="38" fillId="0" borderId="0" xfId="8" applyFont="1" applyFill="1" applyBorder="1" applyAlignment="1">
      <alignment horizontal="center"/>
    </xf>
    <xf numFmtId="0" fontId="38" fillId="2" borderId="0" xfId="8" applyFont="1" applyFill="1" applyBorder="1" applyAlignment="1">
      <alignment horizontal="center"/>
    </xf>
    <xf numFmtId="0" fontId="38" fillId="3" borderId="0" xfId="8" applyFont="1" applyFill="1" applyBorder="1" applyAlignment="1">
      <alignment horizontal="center"/>
    </xf>
    <xf numFmtId="0" fontId="38" fillId="4" borderId="0" xfId="8" applyFont="1" applyFill="1" applyBorder="1" applyAlignment="1">
      <alignment horizontal="center"/>
    </xf>
    <xf numFmtId="0" fontId="38" fillId="4" borderId="1" xfId="8" applyFont="1" applyFill="1" applyBorder="1" applyAlignment="1">
      <alignment horizontal="center"/>
    </xf>
    <xf numFmtId="0" fontId="39" fillId="5" borderId="0" xfId="8" applyFont="1" applyFill="1" applyBorder="1" applyAlignment="1">
      <alignment horizontal="center"/>
    </xf>
    <xf numFmtId="3" fontId="40" fillId="0" borderId="9" xfId="156" applyNumberFormat="1" applyFont="1" applyFill="1" applyBorder="1" applyAlignment="1">
      <alignment horizontal="center"/>
    </xf>
    <xf numFmtId="165" fontId="36" fillId="2" borderId="9" xfId="8" applyNumberFormat="1" applyFont="1" applyFill="1" applyBorder="1" applyAlignment="1">
      <alignment horizontal="center"/>
    </xf>
    <xf numFmtId="165" fontId="36" fillId="3" borderId="9" xfId="8" applyNumberFormat="1" applyFont="1" applyFill="1" applyBorder="1" applyAlignment="1">
      <alignment horizontal="center"/>
    </xf>
    <xf numFmtId="165" fontId="36" fillId="4" borderId="9" xfId="8" applyNumberFormat="1" applyFont="1" applyFill="1" applyBorder="1" applyAlignment="1">
      <alignment horizontal="center"/>
    </xf>
    <xf numFmtId="9" fontId="36" fillId="4" borderId="9" xfId="159" applyFont="1" applyFill="1" applyBorder="1" applyAlignment="1">
      <alignment horizontal="center"/>
    </xf>
    <xf numFmtId="2" fontId="36" fillId="4" borderId="9" xfId="159" applyNumberFormat="1" applyFont="1" applyFill="1" applyBorder="1" applyAlignment="1">
      <alignment horizontal="center"/>
    </xf>
    <xf numFmtId="165" fontId="34" fillId="5" borderId="9" xfId="0" applyNumberFormat="1" applyFont="1" applyFill="1" applyBorder="1" applyAlignment="1">
      <alignment horizontal="center"/>
    </xf>
    <xf numFmtId="1" fontId="34" fillId="5" borderId="9" xfId="0" applyNumberFormat="1" applyFont="1" applyFill="1" applyBorder="1" applyAlignment="1">
      <alignment horizontal="center"/>
    </xf>
    <xf numFmtId="0" fontId="36" fillId="7" borderId="0" xfId="61" applyFont="1" applyFill="1" applyBorder="1"/>
    <xf numFmtId="3" fontId="40" fillId="0" borderId="0" xfId="156" applyNumberFormat="1" applyFont="1" applyFill="1" applyBorder="1" applyAlignment="1">
      <alignment horizontal="center"/>
    </xf>
    <xf numFmtId="165" fontId="36" fillId="0" borderId="0" xfId="8" applyNumberFormat="1" applyFont="1" applyFill="1" applyAlignment="1">
      <alignment horizontal="center"/>
    </xf>
    <xf numFmtId="9" fontId="36" fillId="0" borderId="0" xfId="159" applyFont="1" applyFill="1" applyAlignment="1">
      <alignment horizontal="center"/>
    </xf>
    <xf numFmtId="167" fontId="40" fillId="0" borderId="0" xfId="34" applyNumberFormat="1" applyFont="1" applyAlignment="1">
      <alignment horizontal="left"/>
    </xf>
    <xf numFmtId="0" fontId="37" fillId="0" borderId="0" xfId="0" applyFont="1" applyFill="1" applyAlignment="1">
      <alignment horizontal="center"/>
    </xf>
    <xf numFmtId="0" fontId="33" fillId="0" borderId="2" xfId="0" applyFont="1" applyBorder="1"/>
    <xf numFmtId="0" fontId="39" fillId="5" borderId="2" xfId="8" applyFont="1" applyFill="1" applyBorder="1" applyAlignment="1">
      <alignment horizontal="left" vertical="center"/>
    </xf>
    <xf numFmtId="0" fontId="39" fillId="5" borderId="2" xfId="8" applyFont="1" applyFill="1" applyBorder="1" applyAlignment="1">
      <alignment horizontal="center"/>
    </xf>
    <xf numFmtId="0" fontId="38" fillId="0" borderId="1" xfId="8" applyFont="1" applyFill="1" applyBorder="1" applyAlignment="1">
      <alignment horizontal="center"/>
    </xf>
    <xf numFmtId="0" fontId="38" fillId="2" borderId="1" xfId="8" applyFont="1" applyFill="1" applyBorder="1" applyAlignment="1">
      <alignment horizontal="center"/>
    </xf>
    <xf numFmtId="0" fontId="38" fillId="3" borderId="1" xfId="8" applyFont="1" applyFill="1" applyBorder="1" applyAlignment="1">
      <alignment horizontal="center"/>
    </xf>
    <xf numFmtId="167" fontId="40" fillId="0" borderId="0" xfId="156" applyNumberFormat="1" applyFont="1" applyFill="1" applyBorder="1" applyAlignment="1">
      <alignment horizontal="center"/>
    </xf>
    <xf numFmtId="165" fontId="36" fillId="0" borderId="0" xfId="8" applyNumberFormat="1" applyFont="1" applyFill="1" applyBorder="1" applyAlignment="1">
      <alignment horizontal="center"/>
    </xf>
    <xf numFmtId="9" fontId="36" fillId="0" borderId="0" xfId="159" applyFont="1" applyFill="1" applyBorder="1" applyAlignment="1">
      <alignment horizontal="center"/>
    </xf>
    <xf numFmtId="165" fontId="34" fillId="0" borderId="0" xfId="0" applyNumberFormat="1" applyFont="1" applyFill="1" applyBorder="1" applyAlignment="1">
      <alignment horizontal="center"/>
    </xf>
    <xf numFmtId="1" fontId="34" fillId="0" borderId="0" xfId="0" applyNumberFormat="1" applyFont="1" applyFill="1" applyBorder="1" applyAlignment="1">
      <alignment horizontal="center"/>
    </xf>
    <xf numFmtId="0" fontId="33" fillId="0" borderId="0" xfId="0" applyFont="1" applyBorder="1"/>
    <xf numFmtId="167" fontId="37" fillId="0" borderId="0" xfId="34" applyNumberFormat="1" applyFont="1" applyAlignment="1">
      <alignment horizontal="left"/>
    </xf>
    <xf numFmtId="16" fontId="36" fillId="0" borderId="0" xfId="8" applyNumberFormat="1" applyFont="1" applyFill="1" applyBorder="1" applyAlignment="1">
      <alignment horizontal="center"/>
    </xf>
    <xf numFmtId="165" fontId="36" fillId="2" borderId="0" xfId="8" applyNumberFormat="1" applyFont="1" applyFill="1" applyBorder="1" applyAlignment="1">
      <alignment horizontal="center"/>
    </xf>
    <xf numFmtId="165" fontId="36" fillId="3" borderId="0" xfId="8" applyNumberFormat="1" applyFont="1" applyFill="1" applyBorder="1" applyAlignment="1">
      <alignment horizontal="center"/>
    </xf>
    <xf numFmtId="165" fontId="36" fillId="7" borderId="0" xfId="8" applyNumberFormat="1" applyFont="1" applyFill="1" applyBorder="1" applyAlignment="1">
      <alignment horizontal="center"/>
    </xf>
    <xf numFmtId="9" fontId="36" fillId="7" borderId="0" xfId="159" applyFont="1" applyFill="1" applyBorder="1" applyAlignment="1">
      <alignment horizontal="center"/>
    </xf>
    <xf numFmtId="2" fontId="36" fillId="7" borderId="0" xfId="159" applyNumberFormat="1" applyFont="1" applyFill="1" applyBorder="1" applyAlignment="1">
      <alignment horizontal="center"/>
    </xf>
    <xf numFmtId="165" fontId="34" fillId="7" borderId="0" xfId="0" applyNumberFormat="1" applyFont="1" applyFill="1" applyBorder="1" applyAlignment="1">
      <alignment horizontal="center"/>
    </xf>
    <xf numFmtId="1" fontId="34" fillId="7" borderId="0" xfId="0" applyNumberFormat="1" applyFont="1" applyFill="1" applyBorder="1" applyAlignment="1">
      <alignment horizontal="center"/>
    </xf>
    <xf numFmtId="0" fontId="34" fillId="7" borderId="0" xfId="0" applyFont="1" applyFill="1" applyBorder="1" applyAlignment="1"/>
    <xf numFmtId="1" fontId="33" fillId="7" borderId="0" xfId="0" applyNumberFormat="1" applyFont="1" applyFill="1" applyBorder="1" applyAlignment="1">
      <alignment horizontal="center" vertical="center"/>
    </xf>
    <xf numFmtId="0" fontId="40" fillId="0" borderId="0" xfId="0" applyFont="1"/>
    <xf numFmtId="3" fontId="40" fillId="0" borderId="2" xfId="156" applyNumberFormat="1" applyFont="1" applyFill="1" applyBorder="1" applyAlignment="1">
      <alignment horizontal="center"/>
    </xf>
    <xf numFmtId="165" fontId="36" fillId="2" borderId="2" xfId="8" applyNumberFormat="1" applyFont="1" applyFill="1" applyBorder="1" applyAlignment="1">
      <alignment horizontal="center"/>
    </xf>
    <xf numFmtId="165" fontId="36" fillId="3" borderId="2" xfId="8" applyNumberFormat="1" applyFont="1" applyFill="1" applyBorder="1" applyAlignment="1">
      <alignment horizontal="center"/>
    </xf>
    <xf numFmtId="3" fontId="40" fillId="0" borderId="1" xfId="156" applyNumberFormat="1" applyFont="1" applyFill="1" applyBorder="1" applyAlignment="1">
      <alignment horizontal="center"/>
    </xf>
    <xf numFmtId="165" fontId="36" fillId="2" borderId="1" xfId="8" applyNumberFormat="1" applyFont="1" applyFill="1" applyBorder="1" applyAlignment="1">
      <alignment horizontal="center"/>
    </xf>
    <xf numFmtId="165" fontId="36" fillId="3" borderId="1" xfId="8" applyNumberFormat="1" applyFont="1" applyFill="1" applyBorder="1" applyAlignment="1">
      <alignment horizontal="center"/>
    </xf>
    <xf numFmtId="167" fontId="40" fillId="0" borderId="11" xfId="156" applyNumberFormat="1" applyFont="1" applyFill="1" applyBorder="1" applyAlignment="1">
      <alignment horizontal="center"/>
    </xf>
    <xf numFmtId="167" fontId="40" fillId="0" borderId="13" xfId="156" applyNumberFormat="1" applyFont="1" applyFill="1" applyBorder="1" applyAlignment="1">
      <alignment horizontal="center"/>
    </xf>
    <xf numFmtId="167" fontId="40" fillId="0" borderId="15" xfId="156" applyNumberFormat="1" applyFont="1" applyFill="1" applyBorder="1" applyAlignment="1">
      <alignment horizontal="center"/>
    </xf>
    <xf numFmtId="0" fontId="33" fillId="0" borderId="0" xfId="0" applyFont="1" applyBorder="1" applyAlignment="1">
      <alignment horizontal="center" vertical="center"/>
    </xf>
    <xf numFmtId="167" fontId="40" fillId="0" borderId="0" xfId="156" applyNumberFormat="1" applyFont="1" applyFill="1" applyBorder="1" applyAlignment="1">
      <alignment horizontal="center" vertical="center"/>
    </xf>
    <xf numFmtId="1" fontId="40" fillId="0" borderId="0" xfId="0" applyNumberFormat="1" applyFont="1" applyBorder="1" applyAlignment="1">
      <alignment horizontal="center" vertical="center"/>
    </xf>
    <xf numFmtId="167" fontId="40" fillId="6" borderId="0" xfId="156" applyNumberFormat="1" applyFont="1" applyFill="1" applyBorder="1" applyAlignment="1">
      <alignment horizontal="center" vertical="center"/>
    </xf>
    <xf numFmtId="167" fontId="40" fillId="5" borderId="0" xfId="156" applyNumberFormat="1" applyFont="1" applyFill="1" applyBorder="1" applyAlignment="1">
      <alignment horizontal="center" vertical="center"/>
    </xf>
    <xf numFmtId="1" fontId="40" fillId="0" borderId="12" xfId="0" applyNumberFormat="1" applyFont="1" applyBorder="1" applyAlignment="1">
      <alignment horizontal="center" vertical="center"/>
    </xf>
    <xf numFmtId="1" fontId="40" fillId="0" borderId="14" xfId="0" applyNumberFormat="1" applyFont="1" applyBorder="1" applyAlignment="1">
      <alignment horizontal="center" vertical="center"/>
    </xf>
    <xf numFmtId="1" fontId="40" fillId="0" borderId="16" xfId="0" applyNumberFormat="1" applyFont="1" applyBorder="1" applyAlignment="1">
      <alignment horizontal="center" vertical="center"/>
    </xf>
    <xf numFmtId="1" fontId="40" fillId="0" borderId="18" xfId="0" applyNumberFormat="1" applyFont="1" applyBorder="1" applyAlignment="1">
      <alignment horizontal="center" vertical="center"/>
    </xf>
    <xf numFmtId="1" fontId="40" fillId="0" borderId="10" xfId="0" applyNumberFormat="1" applyFont="1" applyBorder="1" applyAlignment="1">
      <alignment horizontal="center" vertical="center"/>
    </xf>
    <xf numFmtId="0" fontId="40" fillId="0" borderId="0" xfId="0" applyFont="1" applyBorder="1" applyAlignment="1">
      <alignment horizontal="center" vertical="center"/>
    </xf>
    <xf numFmtId="3" fontId="40" fillId="0" borderId="11" xfId="156" applyNumberFormat="1" applyFont="1" applyFill="1" applyBorder="1" applyAlignment="1">
      <alignment horizontal="center" vertical="center"/>
    </xf>
    <xf numFmtId="3" fontId="40" fillId="0" borderId="2" xfId="156" applyNumberFormat="1" applyFont="1" applyFill="1" applyBorder="1" applyAlignment="1">
      <alignment horizontal="center" vertical="center"/>
    </xf>
    <xf numFmtId="3" fontId="40" fillId="0" borderId="11" xfId="0" applyNumberFormat="1" applyFont="1" applyBorder="1" applyAlignment="1">
      <alignment horizontal="center" vertical="center"/>
    </xf>
    <xf numFmtId="3" fontId="40" fillId="0" borderId="2" xfId="0" applyNumberFormat="1" applyFont="1" applyBorder="1" applyAlignment="1">
      <alignment horizontal="center" vertical="center"/>
    </xf>
    <xf numFmtId="1" fontId="40" fillId="0" borderId="11" xfId="0" applyNumberFormat="1" applyFont="1" applyBorder="1" applyAlignment="1">
      <alignment horizontal="center" vertical="center"/>
    </xf>
    <xf numFmtId="1" fontId="40" fillId="0" borderId="2" xfId="0" applyNumberFormat="1" applyFont="1" applyBorder="1" applyAlignment="1">
      <alignment horizontal="center" vertical="center"/>
    </xf>
    <xf numFmtId="1" fontId="40" fillId="0" borderId="19" xfId="0" applyNumberFormat="1" applyFont="1" applyBorder="1" applyAlignment="1">
      <alignment horizontal="center" vertical="center"/>
    </xf>
    <xf numFmtId="3" fontId="40" fillId="0" borderId="13" xfId="156" applyNumberFormat="1" applyFont="1" applyFill="1" applyBorder="1" applyAlignment="1">
      <alignment horizontal="center" vertical="center"/>
    </xf>
    <xf numFmtId="3" fontId="40" fillId="0" borderId="0" xfId="156" applyNumberFormat="1" applyFont="1" applyFill="1" applyBorder="1" applyAlignment="1">
      <alignment horizontal="center" vertical="center"/>
    </xf>
    <xf numFmtId="3" fontId="40" fillId="0" borderId="13" xfId="0" applyNumberFormat="1" applyFont="1" applyBorder="1" applyAlignment="1">
      <alignment horizontal="center" vertical="center"/>
    </xf>
    <xf numFmtId="3" fontId="40" fillId="0" borderId="0" xfId="0" applyNumberFormat="1" applyFont="1" applyBorder="1" applyAlignment="1">
      <alignment horizontal="center" vertical="center"/>
    </xf>
    <xf numFmtId="1" fontId="40" fillId="0" borderId="13" xfId="0" applyNumberFormat="1" applyFont="1" applyBorder="1" applyAlignment="1">
      <alignment horizontal="center" vertical="center"/>
    </xf>
    <xf numFmtId="1" fontId="40" fillId="0" borderId="20" xfId="0" applyNumberFormat="1" applyFont="1" applyBorder="1" applyAlignment="1">
      <alignment horizontal="center" vertical="center"/>
    </xf>
    <xf numFmtId="3" fontId="40" fillId="0" borderId="15" xfId="156" applyNumberFormat="1" applyFont="1" applyFill="1" applyBorder="1" applyAlignment="1">
      <alignment horizontal="center" vertical="center"/>
    </xf>
    <xf numFmtId="3" fontId="40" fillId="0" borderId="1" xfId="156" applyNumberFormat="1" applyFont="1" applyFill="1" applyBorder="1" applyAlignment="1">
      <alignment horizontal="center" vertical="center"/>
    </xf>
    <xf numFmtId="3" fontId="40" fillId="0" borderId="15" xfId="0" applyNumberFormat="1" applyFont="1" applyBorder="1" applyAlignment="1">
      <alignment horizontal="center" vertical="center"/>
    </xf>
    <xf numFmtId="3" fontId="40" fillId="0" borderId="1" xfId="0" applyNumberFormat="1" applyFont="1" applyBorder="1" applyAlignment="1">
      <alignment horizontal="center" vertical="center"/>
    </xf>
    <xf numFmtId="1" fontId="40" fillId="0" borderId="15" xfId="0" applyNumberFormat="1" applyFont="1" applyBorder="1" applyAlignment="1">
      <alignment horizontal="center" vertical="center"/>
    </xf>
    <xf numFmtId="1" fontId="40" fillId="0" borderId="1" xfId="0" applyNumberFormat="1" applyFont="1" applyBorder="1" applyAlignment="1">
      <alignment horizontal="center" vertical="center"/>
    </xf>
    <xf numFmtId="1" fontId="40" fillId="0" borderId="21" xfId="0" applyNumberFormat="1" applyFont="1" applyBorder="1" applyAlignment="1">
      <alignment horizontal="center" vertical="center"/>
    </xf>
    <xf numFmtId="3" fontId="40" fillId="0" borderId="17" xfId="156" applyNumberFormat="1" applyFont="1" applyFill="1" applyBorder="1" applyAlignment="1">
      <alignment horizontal="center" vertical="center"/>
    </xf>
    <xf numFmtId="3" fontId="40" fillId="0" borderId="9" xfId="156" applyNumberFormat="1" applyFont="1" applyFill="1" applyBorder="1" applyAlignment="1">
      <alignment horizontal="center" vertical="center"/>
    </xf>
    <xf numFmtId="3" fontId="40" fillId="0" borderId="18" xfId="156" applyNumberFormat="1" applyFont="1" applyFill="1" applyBorder="1" applyAlignment="1">
      <alignment horizontal="center" vertical="center"/>
    </xf>
    <xf numFmtId="3" fontId="40" fillId="0" borderId="17" xfId="0" applyNumberFormat="1" applyFont="1" applyBorder="1" applyAlignment="1">
      <alignment horizontal="center" vertical="center"/>
    </xf>
    <xf numFmtId="3" fontId="40" fillId="0" borderId="9" xfId="0" applyNumberFormat="1" applyFont="1" applyBorder="1" applyAlignment="1">
      <alignment horizontal="center" vertical="center"/>
    </xf>
    <xf numFmtId="3" fontId="40" fillId="0" borderId="18" xfId="0" applyNumberFormat="1" applyFont="1" applyBorder="1" applyAlignment="1">
      <alignment horizontal="center" vertical="center"/>
    </xf>
    <xf numFmtId="1" fontId="40" fillId="0" borderId="17" xfId="0" applyNumberFormat="1" applyFont="1" applyBorder="1" applyAlignment="1">
      <alignment horizontal="center" vertical="center"/>
    </xf>
    <xf numFmtId="1" fontId="40" fillId="0" borderId="9" xfId="0" applyNumberFormat="1" applyFont="1" applyBorder="1" applyAlignment="1">
      <alignment horizontal="center" vertical="center"/>
    </xf>
    <xf numFmtId="0" fontId="33" fillId="2" borderId="2" xfId="0" applyFont="1" applyFill="1" applyBorder="1"/>
    <xf numFmtId="0" fontId="42" fillId="0" borderId="0" xfId="0" applyFont="1"/>
    <xf numFmtId="0" fontId="39" fillId="9" borderId="0" xfId="1" applyNumberFormat="1" applyFont="1" applyFill="1" applyBorder="1" applyAlignment="1">
      <alignment horizontal="left" vertical="center"/>
    </xf>
    <xf numFmtId="0" fontId="40" fillId="9" borderId="0" xfId="0" applyFont="1" applyFill="1" applyBorder="1" applyAlignment="1">
      <alignment horizontal="center" vertical="center"/>
    </xf>
    <xf numFmtId="0" fontId="37" fillId="9" borderId="0" xfId="0" applyFont="1" applyFill="1" applyBorder="1" applyAlignment="1">
      <alignment horizontal="left" vertical="center"/>
    </xf>
    <xf numFmtId="0" fontId="39" fillId="9" borderId="0" xfId="0" applyFont="1" applyFill="1" applyBorder="1" applyAlignment="1">
      <alignment horizontal="center" vertical="center"/>
    </xf>
    <xf numFmtId="0" fontId="39" fillId="10" borderId="0" xfId="1" applyNumberFormat="1" applyFont="1" applyFill="1" applyBorder="1" applyAlignment="1">
      <alignment horizontal="left" vertical="center"/>
    </xf>
    <xf numFmtId="0" fontId="40" fillId="10" borderId="0" xfId="0" applyFont="1" applyFill="1" applyBorder="1" applyAlignment="1">
      <alignment horizontal="center" vertical="center"/>
    </xf>
    <xf numFmtId="0" fontId="37" fillId="10" borderId="0" xfId="0" applyFont="1" applyFill="1" applyBorder="1" applyAlignment="1">
      <alignment horizontal="left" vertical="center"/>
    </xf>
    <xf numFmtId="0" fontId="39" fillId="10" borderId="0" xfId="0" applyFont="1" applyFill="1" applyBorder="1" applyAlignment="1">
      <alignment horizontal="center" vertical="center"/>
    </xf>
    <xf numFmtId="0" fontId="34" fillId="9" borderId="0" xfId="0" applyFont="1" applyFill="1" applyBorder="1" applyAlignment="1">
      <alignment horizontal="center" vertical="center"/>
    </xf>
    <xf numFmtId="1" fontId="34" fillId="9" borderId="2" xfId="0" applyNumberFormat="1" applyFont="1" applyFill="1" applyBorder="1" applyAlignment="1">
      <alignment horizontal="center"/>
    </xf>
    <xf numFmtId="1" fontId="34" fillId="9" borderId="0" xfId="0" applyNumberFormat="1" applyFont="1" applyFill="1" applyBorder="1" applyAlignment="1">
      <alignment horizontal="center"/>
    </xf>
    <xf numFmtId="1" fontId="34" fillId="9" borderId="1" xfId="0" applyNumberFormat="1" applyFont="1" applyFill="1" applyBorder="1" applyAlignment="1">
      <alignment horizontal="center"/>
    </xf>
    <xf numFmtId="0" fontId="43" fillId="0" borderId="0" xfId="154" applyFont="1"/>
    <xf numFmtId="0" fontId="32" fillId="0" borderId="0" xfId="154" applyFont="1"/>
    <xf numFmtId="0" fontId="44" fillId="0" borderId="2" xfId="154" applyFont="1" applyBorder="1"/>
    <xf numFmtId="0" fontId="39" fillId="2" borderId="2" xfId="154" applyFont="1" applyFill="1" applyBorder="1" applyAlignment="1">
      <alignment horizontal="center"/>
    </xf>
    <xf numFmtId="16" fontId="32" fillId="2" borderId="0" xfId="154" applyNumberFormat="1" applyFont="1" applyFill="1" applyBorder="1" applyAlignment="1">
      <alignment horizontal="center"/>
    </xf>
    <xf numFmtId="3" fontId="32" fillId="2" borderId="0" xfId="154" applyNumberFormat="1" applyFont="1" applyFill="1" applyBorder="1" applyAlignment="1">
      <alignment horizontal="center"/>
    </xf>
    <xf numFmtId="9" fontId="32" fillId="2" borderId="0" xfId="157" applyFont="1" applyFill="1" applyBorder="1" applyAlignment="1">
      <alignment horizontal="center"/>
    </xf>
    <xf numFmtId="165" fontId="32" fillId="2" borderId="0" xfId="154" applyNumberFormat="1" applyFont="1" applyFill="1" applyBorder="1" applyAlignment="1">
      <alignment horizontal="center"/>
    </xf>
    <xf numFmtId="3" fontId="34" fillId="2" borderId="0" xfId="0" applyNumberFormat="1" applyFont="1" applyFill="1" applyBorder="1" applyAlignment="1">
      <alignment horizontal="center" vertical="center"/>
    </xf>
    <xf numFmtId="3" fontId="32" fillId="2" borderId="1" xfId="60" applyNumberFormat="1" applyFont="1" applyFill="1" applyBorder="1" applyAlignment="1">
      <alignment horizontal="center" vertical="center"/>
    </xf>
    <xf numFmtId="3" fontId="33" fillId="0" borderId="0" xfId="0" applyNumberFormat="1" applyFont="1"/>
    <xf numFmtId="1" fontId="34" fillId="5" borderId="9" xfId="0" applyNumberFormat="1" applyFont="1" applyFill="1" applyBorder="1" applyAlignment="1"/>
    <xf numFmtId="167" fontId="45" fillId="0" borderId="0" xfId="34" applyNumberFormat="1" applyFont="1" applyAlignment="1">
      <alignment horizontal="left"/>
    </xf>
    <xf numFmtId="165" fontId="41" fillId="5" borderId="2" xfId="0" applyNumberFormat="1" applyFont="1" applyFill="1" applyBorder="1" applyAlignment="1">
      <alignment horizontal="center"/>
    </xf>
    <xf numFmtId="1" fontId="41" fillId="5" borderId="2" xfId="0" applyNumberFormat="1" applyFont="1" applyFill="1" applyBorder="1" applyAlignment="1">
      <alignment horizontal="center"/>
    </xf>
    <xf numFmtId="1" fontId="41" fillId="5" borderId="0" xfId="0" applyNumberFormat="1" applyFont="1" applyFill="1" applyBorder="1" applyAlignment="1">
      <alignment horizontal="center"/>
    </xf>
    <xf numFmtId="1" fontId="41" fillId="5" borderId="1" xfId="0" applyNumberFormat="1" applyFont="1" applyFill="1" applyBorder="1" applyAlignment="1">
      <alignment horizontal="center"/>
    </xf>
    <xf numFmtId="167" fontId="38" fillId="0" borderId="15" xfId="8" applyNumberFormat="1" applyFont="1" applyFill="1" applyBorder="1" applyAlignment="1">
      <alignment horizontal="center"/>
    </xf>
    <xf numFmtId="0" fontId="34" fillId="9" borderId="1" xfId="0" applyFont="1" applyFill="1" applyBorder="1" applyAlignment="1">
      <alignment horizontal="center" vertical="center"/>
    </xf>
    <xf numFmtId="0" fontId="37" fillId="4" borderId="2" xfId="0" applyFont="1" applyFill="1" applyBorder="1" applyAlignment="1">
      <alignment horizontal="center" vertical="center"/>
    </xf>
    <xf numFmtId="0" fontId="39" fillId="4" borderId="1" xfId="8" applyFont="1" applyFill="1" applyBorder="1" applyAlignment="1">
      <alignment horizontal="center" vertical="center"/>
    </xf>
    <xf numFmtId="165" fontId="36" fillId="4" borderId="0" xfId="8" applyNumberFormat="1" applyFont="1" applyFill="1" applyBorder="1" applyAlignment="1">
      <alignment horizontal="center" vertical="center"/>
    </xf>
    <xf numFmtId="9" fontId="36" fillId="4" borderId="0" xfId="159" applyFont="1" applyFill="1" applyBorder="1" applyAlignment="1">
      <alignment horizontal="center" vertical="center"/>
    </xf>
    <xf numFmtId="2" fontId="36" fillId="4" borderId="0" xfId="159" applyNumberFormat="1" applyFont="1" applyFill="1" applyBorder="1" applyAlignment="1">
      <alignment horizontal="center" vertical="center"/>
    </xf>
    <xf numFmtId="165" fontId="36" fillId="4" borderId="1" xfId="8" applyNumberFormat="1" applyFont="1" applyFill="1" applyBorder="1" applyAlignment="1">
      <alignment horizontal="center" vertical="center"/>
    </xf>
    <xf numFmtId="9" fontId="36" fillId="4" borderId="1" xfId="159" applyFont="1" applyFill="1" applyBorder="1" applyAlignment="1">
      <alignment horizontal="center" vertical="center"/>
    </xf>
    <xf numFmtId="2" fontId="36" fillId="4" borderId="1" xfId="159" applyNumberFormat="1" applyFont="1" applyFill="1" applyBorder="1" applyAlignment="1">
      <alignment horizontal="center" vertical="center"/>
    </xf>
    <xf numFmtId="0" fontId="39" fillId="4" borderId="2" xfId="8" applyFont="1" applyFill="1" applyBorder="1" applyAlignment="1">
      <alignment horizontal="center" vertical="center"/>
    </xf>
    <xf numFmtId="0" fontId="34" fillId="8" borderId="1" xfId="0" applyFont="1" applyFill="1" applyBorder="1" applyAlignment="1">
      <alignment horizontal="center" vertical="center"/>
    </xf>
    <xf numFmtId="0" fontId="34" fillId="10" borderId="0" xfId="0" applyFont="1" applyFill="1" applyBorder="1" applyAlignment="1">
      <alignment horizontal="center" vertical="center"/>
    </xf>
    <xf numFmtId="1" fontId="34" fillId="9" borderId="9" xfId="0" applyNumberFormat="1" applyFont="1" applyFill="1" applyBorder="1" applyAlignment="1">
      <alignment horizontal="center" vertical="center"/>
    </xf>
    <xf numFmtId="1" fontId="34" fillId="10" borderId="9" xfId="0" applyNumberFormat="1" applyFont="1" applyFill="1" applyBorder="1" applyAlignment="1">
      <alignment horizontal="center" vertical="center"/>
    </xf>
    <xf numFmtId="165" fontId="36" fillId="4" borderId="2" xfId="8" applyNumberFormat="1" applyFont="1" applyFill="1" applyBorder="1" applyAlignment="1">
      <alignment horizontal="center" vertical="center"/>
    </xf>
    <xf numFmtId="9" fontId="36" fillId="4" borderId="2" xfId="159" applyFont="1" applyFill="1" applyBorder="1" applyAlignment="1">
      <alignment horizontal="center" vertical="center"/>
    </xf>
    <xf numFmtId="2" fontId="36" fillId="4" borderId="2" xfId="159" applyNumberFormat="1" applyFont="1" applyFill="1" applyBorder="1" applyAlignment="1">
      <alignment horizontal="center" vertical="center"/>
    </xf>
    <xf numFmtId="1" fontId="48" fillId="8" borderId="9" xfId="0" applyNumberFormat="1" applyFont="1" applyFill="1" applyBorder="1" applyAlignment="1">
      <alignment horizontal="center" vertical="center"/>
    </xf>
    <xf numFmtId="0" fontId="44" fillId="2" borderId="2" xfId="154" applyFont="1" applyFill="1" applyBorder="1" applyAlignment="1">
      <alignment horizontal="center"/>
    </xf>
    <xf numFmtId="0" fontId="34" fillId="10" borderId="14" xfId="0" applyFont="1" applyFill="1" applyBorder="1" applyAlignment="1">
      <alignment horizontal="center" vertical="center"/>
    </xf>
    <xf numFmtId="1" fontId="34" fillId="10" borderId="19" xfId="0" applyNumberFormat="1" applyFont="1" applyFill="1" applyBorder="1" applyAlignment="1">
      <alignment horizontal="center"/>
    </xf>
    <xf numFmtId="0" fontId="34" fillId="5" borderId="0" xfId="0" applyFont="1" applyFill="1" applyBorder="1" applyAlignment="1">
      <alignment horizontal="center" vertical="center"/>
    </xf>
    <xf numFmtId="0" fontId="33" fillId="5" borderId="0" xfId="0" applyFont="1" applyFill="1" applyBorder="1"/>
    <xf numFmtId="0" fontId="34" fillId="5" borderId="0" xfId="0" applyFont="1" applyFill="1" applyBorder="1" applyAlignment="1">
      <alignment horizontal="center"/>
    </xf>
    <xf numFmtId="3" fontId="39" fillId="2" borderId="0" xfId="154" applyNumberFormat="1" applyFont="1" applyFill="1" applyBorder="1" applyAlignment="1">
      <alignment horizontal="center" vertical="center"/>
    </xf>
    <xf numFmtId="0" fontId="39" fillId="0" borderId="11" xfId="154" applyFont="1" applyBorder="1" applyAlignment="1">
      <alignment horizontal="left"/>
    </xf>
    <xf numFmtId="0" fontId="33" fillId="0" borderId="13" xfId="0" applyFont="1" applyBorder="1"/>
    <xf numFmtId="1" fontId="41" fillId="8" borderId="18" xfId="0" applyNumberFormat="1" applyFont="1" applyFill="1" applyBorder="1" applyAlignment="1">
      <alignment horizontal="center" vertical="center"/>
    </xf>
    <xf numFmtId="2" fontId="34" fillId="2" borderId="0" xfId="0" applyNumberFormat="1" applyFont="1" applyFill="1" applyBorder="1" applyAlignment="1">
      <alignment horizontal="center" vertical="center"/>
    </xf>
    <xf numFmtId="3" fontId="32" fillId="2" borderId="0" xfId="154" applyNumberFormat="1" applyFont="1" applyFill="1" applyBorder="1" applyAlignment="1">
      <alignment horizontal="center" vertical="center"/>
    </xf>
    <xf numFmtId="0" fontId="32" fillId="0" borderId="13" xfId="154" applyFont="1" applyBorder="1" applyAlignment="1">
      <alignment horizontal="left"/>
    </xf>
    <xf numFmtId="0" fontId="32" fillId="2" borderId="2" xfId="154" applyFont="1" applyFill="1" applyBorder="1" applyAlignment="1">
      <alignment horizontal="center" vertical="center"/>
    </xf>
    <xf numFmtId="0" fontId="32" fillId="0" borderId="13" xfId="154" applyFont="1" applyFill="1" applyBorder="1" applyAlignment="1">
      <alignment horizontal="left" vertical="center"/>
    </xf>
    <xf numFmtId="0" fontId="34" fillId="0" borderId="13" xfId="154" applyFont="1" applyBorder="1" applyAlignment="1">
      <alignment horizontal="left"/>
    </xf>
    <xf numFmtId="167" fontId="38" fillId="0" borderId="13" xfId="8" applyNumberFormat="1" applyFont="1" applyFill="1" applyBorder="1" applyAlignment="1">
      <alignment horizontal="center"/>
    </xf>
    <xf numFmtId="0" fontId="34" fillId="0" borderId="13" xfId="61" applyFont="1" applyFill="1" applyBorder="1" applyAlignment="1">
      <alignment horizontal="left"/>
    </xf>
    <xf numFmtId="16" fontId="36" fillId="0" borderId="17" xfId="8" applyNumberFormat="1" applyFont="1" applyFill="1" applyBorder="1" applyAlignment="1">
      <alignment horizontal="center"/>
    </xf>
    <xf numFmtId="3" fontId="39" fillId="2" borderId="0" xfId="60" applyNumberFormat="1" applyFont="1" applyFill="1" applyBorder="1" applyAlignment="1">
      <alignment horizontal="center" vertical="center"/>
    </xf>
    <xf numFmtId="0" fontId="37" fillId="0" borderId="13" xfId="154" applyFont="1" applyBorder="1" applyAlignment="1">
      <alignment horizontal="left"/>
    </xf>
    <xf numFmtId="0" fontId="32" fillId="0" borderId="15" xfId="61" applyFont="1" applyFill="1" applyBorder="1"/>
    <xf numFmtId="0" fontId="32" fillId="0" borderId="13" xfId="61" applyFont="1" applyFill="1" applyBorder="1"/>
    <xf numFmtId="0" fontId="32" fillId="0" borderId="13" xfId="154" applyFont="1" applyFill="1" applyBorder="1" applyAlignment="1">
      <alignment horizontal="left"/>
    </xf>
    <xf numFmtId="0" fontId="34" fillId="8" borderId="16" xfId="0" applyFont="1" applyFill="1" applyBorder="1" applyAlignment="1">
      <alignment horizontal="center" vertical="center"/>
    </xf>
    <xf numFmtId="1" fontId="34" fillId="2" borderId="0" xfId="0" applyNumberFormat="1" applyFont="1" applyFill="1" applyBorder="1" applyAlignment="1">
      <alignment horizontal="center" vertical="center"/>
    </xf>
    <xf numFmtId="0" fontId="37" fillId="0" borderId="11" xfId="34" applyFont="1" applyFill="1" applyBorder="1"/>
    <xf numFmtId="0" fontId="0" fillId="0" borderId="0" xfId="0"/>
    <xf numFmtId="0" fontId="3" fillId="0" borderId="0" xfId="0" applyFont="1"/>
    <xf numFmtId="167" fontId="17" fillId="0" borderId="0" xfId="34" applyNumberFormat="1" applyFont="1" applyAlignment="1">
      <alignment horizontal="left"/>
    </xf>
    <xf numFmtId="0" fontId="0" fillId="0" borderId="0" xfId="0" applyBorder="1"/>
    <xf numFmtId="1" fontId="28" fillId="0" borderId="0" xfId="4" applyNumberFormat="1" applyFont="1" applyFill="1" applyBorder="1" applyAlignment="1">
      <alignment horizontal="right"/>
    </xf>
    <xf numFmtId="1" fontId="14" fillId="0" borderId="0" xfId="4" applyNumberFormat="1" applyFont="1" applyFill="1" applyBorder="1" applyAlignment="1">
      <alignment horizontal="right"/>
    </xf>
    <xf numFmtId="1" fontId="28" fillId="0" borderId="0" xfId="4" applyNumberFormat="1" applyFont="1" applyFill="1" applyAlignment="1">
      <alignment horizontal="right"/>
    </xf>
    <xf numFmtId="1" fontId="2" fillId="0" borderId="0" xfId="4" applyNumberFormat="1" applyFont="1" applyFill="1" applyAlignment="1">
      <alignment horizontal="right"/>
    </xf>
    <xf numFmtId="2" fontId="2" fillId="0" borderId="0" xfId="0" applyNumberFormat="1" applyFont="1" applyFill="1" applyAlignment="1">
      <alignment horizontal="center" vertical="center"/>
    </xf>
    <xf numFmtId="2" fontId="28" fillId="0" borderId="0" xfId="4" applyNumberFormat="1" applyFont="1" applyFill="1" applyBorder="1" applyAlignment="1">
      <alignment horizontal="center" vertical="center"/>
    </xf>
    <xf numFmtId="2" fontId="14" fillId="0" borderId="0" xfId="4" applyNumberFormat="1" applyFont="1" applyFill="1" applyBorder="1" applyAlignment="1">
      <alignment horizontal="center" vertical="center"/>
    </xf>
    <xf numFmtId="2" fontId="28" fillId="0" borderId="0" xfId="4" applyNumberFormat="1" applyFont="1" applyFill="1" applyAlignment="1">
      <alignment horizontal="center" vertical="center"/>
    </xf>
    <xf numFmtId="2" fontId="2" fillId="0" borderId="0" xfId="4" applyNumberFormat="1" applyFont="1" applyFill="1" applyAlignment="1">
      <alignment horizontal="center" vertical="center"/>
    </xf>
    <xf numFmtId="1" fontId="14" fillId="0" borderId="0" xfId="0" applyNumberFormat="1" applyFont="1" applyFill="1" applyAlignment="1">
      <alignment horizontal="right"/>
    </xf>
    <xf numFmtId="1" fontId="2" fillId="0" borderId="0" xfId="0" applyNumberFormat="1" applyFont="1" applyFill="1"/>
    <xf numFmtId="1" fontId="2" fillId="4" borderId="0" xfId="4" applyNumberFormat="1" applyFont="1" applyFill="1" applyBorder="1" applyAlignment="1">
      <alignment horizontal="center" vertical="center"/>
    </xf>
    <xf numFmtId="1" fontId="14" fillId="4" borderId="0" xfId="4" applyNumberFormat="1" applyFont="1" applyFill="1" applyBorder="1" applyAlignment="1">
      <alignment horizontal="center" vertical="center"/>
    </xf>
    <xf numFmtId="1" fontId="2" fillId="7" borderId="0" xfId="4" applyNumberFormat="1" applyFont="1" applyFill="1" applyBorder="1" applyAlignment="1">
      <alignment horizontal="center" vertical="center"/>
    </xf>
    <xf numFmtId="2" fontId="15" fillId="4" borderId="0" xfId="0" applyNumberFormat="1" applyFont="1" applyFill="1" applyAlignment="1">
      <alignment horizontal="center" vertical="center"/>
    </xf>
    <xf numFmtId="2" fontId="2" fillId="4" borderId="0" xfId="4" applyNumberFormat="1" applyFont="1" applyFill="1" applyBorder="1" applyAlignment="1">
      <alignment horizontal="center" vertical="center"/>
    </xf>
    <xf numFmtId="4" fontId="2" fillId="5" borderId="0" xfId="0" applyNumberFormat="1" applyFont="1" applyFill="1" applyAlignment="1">
      <alignment horizontal="center" vertical="center"/>
    </xf>
    <xf numFmtId="0" fontId="2" fillId="5" borderId="0" xfId="0" applyFont="1" applyFill="1" applyAlignment="1">
      <alignment horizontal="center" vertical="center"/>
    </xf>
    <xf numFmtId="0" fontId="2" fillId="0" borderId="0" xfId="0" applyFont="1" applyAlignment="1">
      <alignment horizontal="center" vertical="center"/>
    </xf>
    <xf numFmtId="1" fontId="2" fillId="0" borderId="0" xfId="0" applyNumberFormat="1" applyFont="1" applyAlignment="1">
      <alignment horizontal="center" vertical="center"/>
    </xf>
    <xf numFmtId="0" fontId="0" fillId="4" borderId="10" xfId="0" applyFill="1" applyBorder="1"/>
    <xf numFmtId="3" fontId="0" fillId="0" borderId="0" xfId="0" applyNumberFormat="1"/>
    <xf numFmtId="1" fontId="0" fillId="0" borderId="0" xfId="0" applyNumberFormat="1"/>
    <xf numFmtId="3" fontId="0" fillId="0" borderId="0" xfId="0" applyNumberFormat="1" applyAlignment="1">
      <alignment horizontal="center" vertical="center"/>
    </xf>
    <xf numFmtId="165" fontId="0" fillId="0" borderId="0" xfId="0" applyNumberFormat="1"/>
    <xf numFmtId="165" fontId="53" fillId="0" borderId="0" xfId="0" applyNumberFormat="1" applyFont="1"/>
    <xf numFmtId="2" fontId="0" fillId="0" borderId="0" xfId="0" applyNumberFormat="1"/>
    <xf numFmtId="0" fontId="0" fillId="0" borderId="0" xfId="0" applyAlignment="1">
      <alignment horizontal="right"/>
    </xf>
    <xf numFmtId="1" fontId="54" fillId="0" borderId="0" xfId="0" applyNumberFormat="1" applyFont="1"/>
    <xf numFmtId="1" fontId="55" fillId="0" borderId="0" xfId="0" applyNumberFormat="1" applyFont="1"/>
    <xf numFmtId="0" fontId="55" fillId="0" borderId="0" xfId="0" applyFont="1" applyAlignment="1">
      <alignment horizontal="center"/>
    </xf>
    <xf numFmtId="0" fontId="57" fillId="5" borderId="0" xfId="4" applyFont="1" applyFill="1" applyBorder="1" applyAlignment="1">
      <alignment horizontal="center"/>
    </xf>
    <xf numFmtId="0" fontId="58" fillId="5" borderId="0" xfId="4" applyFont="1" applyFill="1" applyBorder="1" applyAlignment="1">
      <alignment horizontal="center"/>
    </xf>
    <xf numFmtId="0" fontId="51" fillId="3" borderId="0" xfId="0" quotePrefix="1" applyFont="1" applyFill="1" applyBorder="1" applyAlignment="1">
      <alignment horizontal="center" vertical="center"/>
    </xf>
    <xf numFmtId="1" fontId="51" fillId="3" borderId="0" xfId="0" applyNumberFormat="1" applyFont="1" applyFill="1" applyBorder="1" applyAlignment="1">
      <alignment horizontal="center"/>
    </xf>
    <xf numFmtId="1" fontId="51" fillId="3" borderId="13" xfId="0" applyNumberFormat="1" applyFont="1" applyFill="1" applyBorder="1" applyAlignment="1">
      <alignment horizontal="center"/>
    </xf>
    <xf numFmtId="0" fontId="51" fillId="3" borderId="14" xfId="0" quotePrefix="1" applyFont="1" applyFill="1" applyBorder="1" applyAlignment="1">
      <alignment horizontal="center" vertical="center"/>
    </xf>
    <xf numFmtId="0" fontId="51" fillId="3" borderId="1" xfId="0" quotePrefix="1" applyFont="1" applyFill="1" applyBorder="1" applyAlignment="1">
      <alignment horizontal="center" vertical="center"/>
    </xf>
    <xf numFmtId="1" fontId="0" fillId="3" borderId="13" xfId="0" applyNumberFormat="1" applyFont="1" applyFill="1" applyBorder="1" applyAlignment="1">
      <alignment horizontal="center"/>
    </xf>
    <xf numFmtId="1" fontId="56" fillId="3" borderId="0" xfId="0" applyNumberFormat="1" applyFont="1" applyFill="1" applyBorder="1" applyAlignment="1">
      <alignment horizontal="center"/>
    </xf>
    <xf numFmtId="0" fontId="51" fillId="3" borderId="16" xfId="0" quotePrefix="1" applyFont="1" applyFill="1" applyBorder="1" applyAlignment="1">
      <alignment horizontal="center" vertical="center"/>
    </xf>
    <xf numFmtId="0" fontId="0" fillId="0" borderId="0" xfId="0"/>
    <xf numFmtId="0" fontId="51" fillId="3" borderId="0" xfId="0" applyFont="1" applyFill="1" applyBorder="1" applyAlignment="1">
      <alignment horizontal="center" vertical="center"/>
    </xf>
    <xf numFmtId="1" fontId="51" fillId="3" borderId="13" xfId="0" applyNumberFormat="1" applyFont="1" applyFill="1" applyBorder="1" applyAlignment="1">
      <alignment horizontal="center" vertical="center"/>
    </xf>
    <xf numFmtId="0" fontId="51" fillId="3" borderId="12" xfId="0" quotePrefix="1" applyFont="1" applyFill="1" applyBorder="1" applyAlignment="1">
      <alignment horizontal="center" vertical="center"/>
    </xf>
    <xf numFmtId="0" fontId="51" fillId="3" borderId="2" xfId="0" applyFont="1" applyFill="1" applyBorder="1" applyAlignment="1">
      <alignment horizontal="center" vertical="center"/>
    </xf>
    <xf numFmtId="0" fontId="51" fillId="3" borderId="2" xfId="0" quotePrefix="1" applyFont="1" applyFill="1" applyBorder="1" applyAlignment="1">
      <alignment horizontal="center" vertical="center"/>
    </xf>
    <xf numFmtId="1" fontId="51" fillId="3" borderId="11" xfId="0" applyNumberFormat="1" applyFont="1" applyFill="1" applyBorder="1" applyAlignment="1">
      <alignment horizontal="center" vertical="center"/>
    </xf>
    <xf numFmtId="0" fontId="52" fillId="3" borderId="14" xfId="0" quotePrefix="1" applyFont="1" applyFill="1" applyBorder="1" applyAlignment="1">
      <alignment horizontal="center" vertical="center"/>
    </xf>
    <xf numFmtId="1" fontId="52" fillId="3" borderId="0" xfId="0" applyNumberFormat="1" applyFont="1" applyFill="1" applyBorder="1" applyAlignment="1">
      <alignment horizontal="center"/>
    </xf>
    <xf numFmtId="0" fontId="52" fillId="3" borderId="0" xfId="0" quotePrefix="1" applyFont="1" applyFill="1" applyBorder="1" applyAlignment="1">
      <alignment horizontal="center" vertical="center"/>
    </xf>
    <xf numFmtId="1" fontId="51" fillId="3" borderId="15" xfId="0" applyNumberFormat="1" applyFont="1" applyFill="1" applyBorder="1" applyAlignment="1">
      <alignment horizontal="center"/>
    </xf>
    <xf numFmtId="1" fontId="51" fillId="3" borderId="1" xfId="0" applyNumberFormat="1" applyFont="1" applyFill="1" applyBorder="1" applyAlignment="1">
      <alignment horizontal="center"/>
    </xf>
    <xf numFmtId="1" fontId="56" fillId="3" borderId="13" xfId="0" applyNumberFormat="1" applyFont="1" applyFill="1" applyBorder="1" applyAlignment="1">
      <alignment horizontal="center"/>
    </xf>
    <xf numFmtId="1" fontId="0" fillId="3" borderId="0" xfId="0" applyNumberFormat="1" applyFont="1" applyFill="1" applyBorder="1" applyAlignment="1">
      <alignment horizontal="center"/>
    </xf>
    <xf numFmtId="1" fontId="0" fillId="0" borderId="0" xfId="0" applyNumberFormat="1"/>
    <xf numFmtId="0" fontId="0" fillId="3" borderId="0" xfId="0" quotePrefix="1" applyFont="1" applyFill="1" applyBorder="1" applyAlignment="1">
      <alignment horizontal="center" vertical="center"/>
    </xf>
    <xf numFmtId="0" fontId="0" fillId="3" borderId="14" xfId="0" quotePrefix="1" applyFont="1" applyFill="1" applyBorder="1" applyAlignment="1">
      <alignment horizontal="center" vertical="center"/>
    </xf>
    <xf numFmtId="167" fontId="103" fillId="0" borderId="13" xfId="156" applyNumberFormat="1" applyFont="1" applyFill="1" applyBorder="1" applyAlignment="1">
      <alignment horizontal="center"/>
    </xf>
    <xf numFmtId="3" fontId="103" fillId="0" borderId="0" xfId="156" applyNumberFormat="1" applyFont="1" applyFill="1" applyBorder="1" applyAlignment="1">
      <alignment horizontal="center"/>
    </xf>
    <xf numFmtId="165" fontId="38" fillId="2" borderId="0" xfId="8" applyNumberFormat="1" applyFont="1" applyFill="1" applyBorder="1" applyAlignment="1">
      <alignment horizontal="center"/>
    </xf>
    <xf numFmtId="165" fontId="38" fillId="3" borderId="0" xfId="8" applyNumberFormat="1" applyFont="1" applyFill="1" applyBorder="1" applyAlignment="1">
      <alignment horizontal="center"/>
    </xf>
    <xf numFmtId="165" fontId="38" fillId="4" borderId="0" xfId="8" applyNumberFormat="1" applyFont="1" applyFill="1" applyBorder="1" applyAlignment="1">
      <alignment horizontal="center" vertical="center"/>
    </xf>
    <xf numFmtId="9" fontId="38" fillId="4" borderId="0" xfId="159" applyFont="1" applyFill="1" applyBorder="1" applyAlignment="1">
      <alignment horizontal="center" vertical="center"/>
    </xf>
    <xf numFmtId="2" fontId="38" fillId="4" borderId="0" xfId="159" applyNumberFormat="1" applyFont="1" applyFill="1" applyBorder="1" applyAlignment="1">
      <alignment horizontal="center" vertical="center"/>
    </xf>
    <xf numFmtId="1" fontId="47" fillId="5" borderId="0" xfId="0" applyNumberFormat="1" applyFont="1" applyFill="1" applyBorder="1" applyAlignment="1">
      <alignment horizontal="center"/>
    </xf>
    <xf numFmtId="1" fontId="37" fillId="9" borderId="0" xfId="0" applyNumberFormat="1" applyFont="1" applyFill="1" applyBorder="1" applyAlignment="1">
      <alignment horizontal="center"/>
    </xf>
    <xf numFmtId="1" fontId="37" fillId="10" borderId="19" xfId="0" applyNumberFormat="1" applyFont="1" applyFill="1" applyBorder="1" applyAlignment="1">
      <alignment horizontal="center"/>
    </xf>
    <xf numFmtId="2" fontId="34" fillId="5" borderId="9" xfId="0" applyNumberFormat="1" applyFont="1" applyFill="1" applyBorder="1" applyAlignment="1">
      <alignment horizontal="center"/>
    </xf>
    <xf numFmtId="0" fontId="0" fillId="3" borderId="19" xfId="0" applyFill="1" applyBorder="1" applyAlignment="1">
      <alignment horizontal="center"/>
    </xf>
    <xf numFmtId="0" fontId="39" fillId="3" borderId="20" xfId="154" applyFont="1" applyFill="1" applyBorder="1" applyAlignment="1">
      <alignment horizontal="center"/>
    </xf>
    <xf numFmtId="16" fontId="32" fillId="3" borderId="20" xfId="154" applyNumberFormat="1" applyFont="1" applyFill="1" applyBorder="1" applyAlignment="1">
      <alignment horizontal="center"/>
    </xf>
    <xf numFmtId="0" fontId="0" fillId="3" borderId="20" xfId="0" applyFill="1" applyBorder="1" applyAlignment="1">
      <alignment horizontal="center"/>
    </xf>
    <xf numFmtId="10" fontId="32" fillId="3" borderId="20" xfId="157" applyNumberFormat="1" applyFont="1" applyFill="1" applyBorder="1" applyAlignment="1">
      <alignment horizontal="center"/>
    </xf>
    <xf numFmtId="10" fontId="0" fillId="3" borderId="20" xfId="0" applyNumberFormat="1" applyFill="1" applyBorder="1" applyAlignment="1">
      <alignment horizontal="center"/>
    </xf>
    <xf numFmtId="2" fontId="0" fillId="3" borderId="20" xfId="0" applyNumberFormat="1" applyFill="1" applyBorder="1" applyAlignment="1">
      <alignment horizontal="center"/>
    </xf>
    <xf numFmtId="1" fontId="0" fillId="3" borderId="20" xfId="0" applyNumberFormat="1" applyFill="1" applyBorder="1" applyAlignment="1">
      <alignment horizontal="center"/>
    </xf>
    <xf numFmtId="3" fontId="39" fillId="3" borderId="20" xfId="154" applyNumberFormat="1" applyFont="1" applyFill="1" applyBorder="1" applyAlignment="1">
      <alignment horizontal="center" vertical="center"/>
    </xf>
    <xf numFmtId="2" fontId="34" fillId="3" borderId="20" xfId="0" applyNumberFormat="1" applyFont="1" applyFill="1" applyBorder="1" applyAlignment="1">
      <alignment horizontal="center" vertical="center"/>
    </xf>
    <xf numFmtId="1" fontId="34" fillId="3" borderId="20" xfId="0" applyNumberFormat="1" applyFont="1" applyFill="1" applyBorder="1" applyAlignment="1">
      <alignment horizontal="center" vertical="center"/>
    </xf>
    <xf numFmtId="3" fontId="39" fillId="3" borderId="20" xfId="60" applyNumberFormat="1" applyFont="1" applyFill="1" applyBorder="1" applyAlignment="1">
      <alignment horizontal="center" vertical="center"/>
    </xf>
    <xf numFmtId="3" fontId="32" fillId="3" borderId="21" xfId="60" applyNumberFormat="1" applyFont="1" applyFill="1" applyBorder="1" applyAlignment="1">
      <alignment horizontal="center" vertical="center"/>
    </xf>
    <xf numFmtId="1" fontId="32" fillId="7" borderId="0" xfId="154" applyNumberFormat="1" applyFont="1" applyFill="1" applyBorder="1" applyAlignment="1">
      <alignment horizontal="center"/>
    </xf>
    <xf numFmtId="1" fontId="33" fillId="7" borderId="0" xfId="0" applyNumberFormat="1" applyFont="1" applyFill="1"/>
    <xf numFmtId="0" fontId="32" fillId="0" borderId="0" xfId="61" applyFont="1" applyFill="1" applyBorder="1"/>
    <xf numFmtId="0" fontId="33" fillId="0" borderId="0" xfId="0" applyFont="1" applyAlignment="1">
      <alignment horizontal="center"/>
    </xf>
    <xf numFmtId="2" fontId="29" fillId="0" borderId="0" xfId="4" applyNumberFormat="1" applyFont="1" applyFill="1" applyBorder="1" applyAlignment="1">
      <alignment horizontal="center" vertical="center"/>
    </xf>
    <xf numFmtId="2" fontId="32" fillId="2" borderId="0" xfId="154" applyNumberFormat="1" applyFont="1" applyFill="1" applyBorder="1" applyAlignment="1">
      <alignment horizontal="center" vertical="center"/>
    </xf>
    <xf numFmtId="1" fontId="32" fillId="2" borderId="0" xfId="154" applyNumberFormat="1" applyFont="1" applyFill="1" applyBorder="1" applyAlignment="1">
      <alignment horizontal="center" vertical="center"/>
    </xf>
    <xf numFmtId="0" fontId="106" fillId="0" borderId="0" xfId="0" applyFont="1"/>
    <xf numFmtId="3" fontId="108" fillId="42" borderId="0" xfId="154" applyNumberFormat="1" applyFont="1" applyFill="1" applyBorder="1" applyAlignment="1">
      <alignment horizontal="center" vertical="center"/>
    </xf>
    <xf numFmtId="0" fontId="34" fillId="42" borderId="13" xfId="154" applyFont="1" applyFill="1" applyBorder="1" applyAlignment="1">
      <alignment horizontal="left"/>
    </xf>
    <xf numFmtId="166" fontId="109" fillId="42" borderId="0" xfId="154" applyNumberFormat="1" applyFont="1" applyFill="1" applyBorder="1" applyAlignment="1">
      <alignment horizontal="center"/>
    </xf>
    <xf numFmtId="166" fontId="110" fillId="42" borderId="0" xfId="154" applyNumberFormat="1" applyFont="1" applyFill="1" applyBorder="1" applyAlignment="1">
      <alignment horizontal="center"/>
    </xf>
    <xf numFmtId="166" fontId="109" fillId="42" borderId="20" xfId="154" applyNumberFormat="1" applyFont="1" applyFill="1" applyBorder="1" applyAlignment="1">
      <alignment horizontal="center"/>
    </xf>
    <xf numFmtId="0" fontId="104" fillId="42" borderId="13" xfId="154" applyFont="1" applyFill="1" applyBorder="1" applyAlignment="1">
      <alignment horizontal="left"/>
    </xf>
    <xf numFmtId="2" fontId="3" fillId="2" borderId="0" xfId="0" applyNumberFormat="1" applyFont="1" applyFill="1" applyAlignment="1">
      <alignment horizontal="center"/>
    </xf>
    <xf numFmtId="0" fontId="7" fillId="42" borderId="0" xfId="0" applyFont="1" applyFill="1"/>
    <xf numFmtId="0" fontId="2" fillId="42" borderId="0" xfId="0" applyFont="1" applyFill="1"/>
    <xf numFmtId="0" fontId="11" fillId="42" borderId="0" xfId="0" applyFont="1" applyFill="1"/>
    <xf numFmtId="0" fontId="12" fillId="42" borderId="0" xfId="0" applyFont="1" applyFill="1"/>
    <xf numFmtId="0" fontId="8" fillId="42" borderId="0" xfId="0" applyFont="1" applyFill="1"/>
    <xf numFmtId="0" fontId="8" fillId="42" borderId="2" xfId="0" applyFont="1" applyFill="1" applyBorder="1"/>
    <xf numFmtId="0" fontId="8" fillId="42" borderId="2" xfId="0" applyFont="1" applyFill="1" applyBorder="1" applyAlignment="1">
      <alignment horizontal="center"/>
    </xf>
    <xf numFmtId="0" fontId="2" fillId="42" borderId="2" xfId="0" applyFont="1" applyFill="1" applyBorder="1"/>
    <xf numFmtId="0" fontId="8" fillId="42" borderId="0" xfId="0" applyFont="1" applyFill="1" applyBorder="1"/>
    <xf numFmtId="0" fontId="8" fillId="42" borderId="0" xfId="0" applyFont="1" applyFill="1" applyBorder="1" applyAlignment="1">
      <alignment horizontal="center"/>
    </xf>
    <xf numFmtId="0" fontId="8" fillId="42" borderId="1" xfId="0" applyFont="1" applyFill="1" applyBorder="1" applyAlignment="1">
      <alignment horizontal="center"/>
    </xf>
    <xf numFmtId="0" fontId="2" fillId="42" borderId="0" xfId="4" applyFont="1" applyFill="1" applyBorder="1" applyAlignment="1">
      <alignment horizontal="center"/>
    </xf>
    <xf numFmtId="3" fontId="15" fillId="42" borderId="0" xfId="0" applyNumberFormat="1" applyFont="1" applyFill="1" applyAlignment="1">
      <alignment horizontal="center"/>
    </xf>
    <xf numFmtId="3" fontId="15" fillId="42" borderId="0" xfId="0" applyNumberFormat="1" applyFont="1" applyFill="1" applyAlignment="1">
      <alignment horizontal="center" vertical="center"/>
    </xf>
    <xf numFmtId="1" fontId="15" fillId="42" borderId="0" xfId="0" applyNumberFormat="1" applyFont="1" applyFill="1" applyAlignment="1">
      <alignment horizontal="center" vertical="center"/>
    </xf>
    <xf numFmtId="2" fontId="15" fillId="42" borderId="0" xfId="0" applyNumberFormat="1" applyFont="1" applyFill="1" applyAlignment="1">
      <alignment horizontal="center" vertical="center"/>
    </xf>
    <xf numFmtId="16" fontId="2" fillId="42" borderId="0" xfId="4" applyNumberFormat="1" applyFont="1" applyFill="1" applyBorder="1" applyAlignment="1">
      <alignment horizontal="center"/>
    </xf>
    <xf numFmtId="1" fontId="2" fillId="42" borderId="0" xfId="0" applyNumberFormat="1" applyFont="1" applyFill="1"/>
    <xf numFmtId="3" fontId="10" fillId="42" borderId="0" xfId="4" applyNumberFormat="1" applyFont="1" applyFill="1" applyBorder="1" applyAlignment="1">
      <alignment horizontal="right"/>
    </xf>
    <xf numFmtId="2" fontId="2" fillId="42" borderId="0" xfId="0" applyNumberFormat="1" applyFont="1" applyFill="1" applyAlignment="1">
      <alignment horizontal="center" vertical="center"/>
    </xf>
    <xf numFmtId="3" fontId="15" fillId="42" borderId="0" xfId="0" applyNumberFormat="1" applyFont="1" applyFill="1" applyAlignment="1">
      <alignment horizontal="right"/>
    </xf>
    <xf numFmtId="3" fontId="28" fillId="42" borderId="0" xfId="4" applyNumberFormat="1" applyFont="1" applyFill="1" applyBorder="1" applyAlignment="1">
      <alignment horizontal="right"/>
    </xf>
    <xf numFmtId="2" fontId="28" fillId="42" borderId="0" xfId="4" applyNumberFormat="1" applyFont="1" applyFill="1" applyBorder="1" applyAlignment="1">
      <alignment horizontal="center" vertical="center"/>
    </xf>
    <xf numFmtId="1" fontId="28" fillId="42" borderId="0" xfId="4" applyNumberFormat="1" applyFont="1" applyFill="1" applyBorder="1" applyAlignment="1">
      <alignment horizontal="right"/>
    </xf>
    <xf numFmtId="3" fontId="2" fillId="42" borderId="0" xfId="4" applyNumberFormat="1" applyFont="1" applyFill="1" applyBorder="1" applyAlignment="1">
      <alignment horizontal="center"/>
    </xf>
    <xf numFmtId="3" fontId="2" fillId="42" borderId="0" xfId="4" applyNumberFormat="1" applyFont="1" applyFill="1" applyBorder="1" applyAlignment="1">
      <alignment horizontal="center" vertical="center"/>
    </xf>
    <xf numFmtId="1" fontId="2" fillId="42" borderId="0" xfId="4" applyNumberFormat="1" applyFont="1" applyFill="1" applyBorder="1" applyAlignment="1">
      <alignment horizontal="center" vertical="center"/>
    </xf>
    <xf numFmtId="2" fontId="2" fillId="42" borderId="0" xfId="4" applyNumberFormat="1" applyFont="1" applyFill="1" applyBorder="1" applyAlignment="1">
      <alignment horizontal="center" vertical="center"/>
    </xf>
    <xf numFmtId="9" fontId="10" fillId="42" borderId="0" xfId="3" applyFont="1" applyFill="1" applyBorder="1" applyAlignment="1">
      <alignment horizontal="right"/>
    </xf>
    <xf numFmtId="0" fontId="11" fillId="42" borderId="0" xfId="4" applyFont="1" applyFill="1" applyBorder="1" applyAlignment="1">
      <alignment horizontal="center"/>
    </xf>
    <xf numFmtId="3" fontId="14" fillId="42" borderId="0" xfId="4" applyNumberFormat="1" applyFont="1" applyFill="1" applyBorder="1" applyAlignment="1">
      <alignment horizontal="center"/>
    </xf>
    <xf numFmtId="3" fontId="14" fillId="42" borderId="0" xfId="4" applyNumberFormat="1" applyFont="1" applyFill="1" applyBorder="1" applyAlignment="1">
      <alignment horizontal="center" vertical="center"/>
    </xf>
    <xf numFmtId="1" fontId="14" fillId="42" borderId="0" xfId="4" applyNumberFormat="1" applyFont="1" applyFill="1" applyBorder="1" applyAlignment="1">
      <alignment horizontal="center" vertical="center"/>
    </xf>
    <xf numFmtId="3" fontId="14" fillId="42" borderId="0" xfId="4" applyNumberFormat="1" applyFont="1" applyFill="1" applyBorder="1" applyAlignment="1">
      <alignment horizontal="right"/>
    </xf>
    <xf numFmtId="9" fontId="14" fillId="42" borderId="0" xfId="3" applyFont="1" applyFill="1" applyBorder="1" applyAlignment="1">
      <alignment horizontal="right"/>
    </xf>
    <xf numFmtId="1" fontId="14" fillId="42" borderId="0" xfId="0" applyNumberFormat="1" applyFont="1" applyFill="1" applyAlignment="1">
      <alignment horizontal="right"/>
    </xf>
    <xf numFmtId="1" fontId="14" fillId="42" borderId="0" xfId="4" applyNumberFormat="1" applyFont="1" applyFill="1" applyBorder="1" applyAlignment="1">
      <alignment horizontal="right"/>
    </xf>
    <xf numFmtId="2" fontId="14" fillId="42" borderId="0" xfId="4" applyNumberFormat="1" applyFont="1" applyFill="1" applyBorder="1" applyAlignment="1">
      <alignment horizontal="center" vertical="center"/>
    </xf>
    <xf numFmtId="3" fontId="2" fillId="42" borderId="0" xfId="4" applyNumberFormat="1" applyFont="1" applyFill="1" applyBorder="1" applyAlignment="1">
      <alignment horizontal="right"/>
    </xf>
    <xf numFmtId="2" fontId="29" fillId="42" borderId="0" xfId="4" applyNumberFormat="1" applyFont="1" applyFill="1" applyBorder="1" applyAlignment="1">
      <alignment horizontal="center" vertical="center"/>
    </xf>
    <xf numFmtId="1" fontId="28" fillId="42" borderId="0" xfId="4" applyNumberFormat="1" applyFont="1" applyFill="1" applyAlignment="1">
      <alignment horizontal="right"/>
    </xf>
    <xf numFmtId="2" fontId="28" fillId="42" borderId="0" xfId="4" applyNumberFormat="1" applyFont="1" applyFill="1" applyAlignment="1">
      <alignment horizontal="center" vertical="center"/>
    </xf>
    <xf numFmtId="3" fontId="2" fillId="42" borderId="0" xfId="4" applyNumberFormat="1" applyFont="1" applyFill="1" applyAlignment="1">
      <alignment horizontal="right"/>
    </xf>
    <xf numFmtId="0" fontId="2" fillId="42" borderId="0" xfId="4" applyFont="1" applyFill="1" applyAlignment="1">
      <alignment horizontal="center"/>
    </xf>
    <xf numFmtId="1" fontId="2" fillId="42" borderId="0" xfId="4" applyNumberFormat="1" applyFont="1" applyFill="1" applyAlignment="1">
      <alignment horizontal="right"/>
    </xf>
    <xf numFmtId="2" fontId="2" fillId="42" borderId="0" xfId="4" applyNumberFormat="1" applyFont="1" applyFill="1" applyAlignment="1">
      <alignment horizontal="center" vertical="center"/>
    </xf>
    <xf numFmtId="0" fontId="2" fillId="42" borderId="0" xfId="0" applyFont="1" applyFill="1" applyBorder="1" applyAlignment="1">
      <alignment horizontal="center"/>
    </xf>
    <xf numFmtId="0" fontId="2" fillId="42" borderId="0" xfId="0" applyFont="1" applyFill="1" applyBorder="1" applyAlignment="1">
      <alignment horizontal="center" vertical="center"/>
    </xf>
    <xf numFmtId="3" fontId="2" fillId="42" borderId="0" xfId="0" applyNumberFormat="1" applyFont="1" applyFill="1"/>
    <xf numFmtId="0" fontId="2" fillId="42" borderId="0" xfId="0" applyFont="1" applyFill="1" applyBorder="1" applyAlignment="1">
      <alignment horizontal="right"/>
    </xf>
    <xf numFmtId="3" fontId="2" fillId="42" borderId="0" xfId="0" applyNumberFormat="1" applyFont="1" applyFill="1" applyBorder="1"/>
    <xf numFmtId="0" fontId="2" fillId="42" borderId="0" xfId="0" applyFont="1" applyFill="1" applyAlignment="1">
      <alignment horizontal="right"/>
    </xf>
    <xf numFmtId="3" fontId="24" fillId="42" borderId="0" xfId="4" applyNumberFormat="1" applyFont="1" applyFill="1" applyBorder="1" applyAlignment="1">
      <alignment horizontal="right"/>
    </xf>
    <xf numFmtId="0" fontId="16" fillId="42" borderId="0" xfId="0" applyFont="1" applyFill="1"/>
    <xf numFmtId="3" fontId="23" fillId="42" borderId="0" xfId="4" applyNumberFormat="1" applyFont="1" applyFill="1" applyBorder="1" applyAlignment="1">
      <alignment horizontal="right"/>
    </xf>
    <xf numFmtId="3" fontId="22" fillId="42" borderId="0" xfId="4" applyNumberFormat="1" applyFont="1" applyFill="1" applyBorder="1" applyAlignment="1">
      <alignment horizontal="right"/>
    </xf>
    <xf numFmtId="3" fontId="22" fillId="42" borderId="0" xfId="4" applyNumberFormat="1" applyFont="1" applyFill="1" applyAlignment="1">
      <alignment horizontal="right"/>
    </xf>
    <xf numFmtId="0" fontId="12" fillId="42" borderId="0" xfId="4" applyFont="1" applyFill="1" applyBorder="1" applyAlignment="1">
      <alignment horizontal="center"/>
    </xf>
    <xf numFmtId="9" fontId="3" fillId="42" borderId="0" xfId="3" applyFont="1" applyFill="1"/>
    <xf numFmtId="0" fontId="3" fillId="42" borderId="0" xfId="0" applyFont="1" applyFill="1"/>
    <xf numFmtId="3" fontId="11" fillId="0" borderId="0" xfId="0" applyNumberFormat="1" applyFont="1"/>
    <xf numFmtId="16" fontId="11" fillId="0" borderId="0" xfId="4" applyNumberFormat="1" applyFont="1" applyBorder="1" applyAlignment="1">
      <alignment horizontal="center"/>
    </xf>
    <xf numFmtId="3" fontId="14" fillId="4" borderId="0" xfId="0" applyNumberFormat="1" applyFont="1" applyFill="1" applyAlignment="1">
      <alignment horizontal="center"/>
    </xf>
    <xf numFmtId="3" fontId="14" fillId="4" borderId="0" xfId="0" applyNumberFormat="1" applyFont="1" applyFill="1" applyAlignment="1">
      <alignment horizontal="center" vertical="center"/>
    </xf>
    <xf numFmtId="1" fontId="14" fillId="4" borderId="0" xfId="0" applyNumberFormat="1" applyFont="1" applyFill="1" applyAlignment="1">
      <alignment horizontal="center" vertical="center"/>
    </xf>
    <xf numFmtId="3" fontId="11" fillId="4" borderId="0" xfId="4" applyNumberFormat="1" applyFont="1" applyFill="1" applyBorder="1" applyAlignment="1">
      <alignment horizontal="center"/>
    </xf>
    <xf numFmtId="0" fontId="11" fillId="4" borderId="0" xfId="0" applyFont="1" applyFill="1" applyBorder="1" applyAlignment="1">
      <alignment horizontal="center"/>
    </xf>
    <xf numFmtId="2" fontId="108" fillId="43" borderId="0" xfId="3" applyNumberFormat="1" applyFont="1" applyFill="1" applyBorder="1" applyAlignment="1">
      <alignment horizontal="center" vertical="center"/>
    </xf>
    <xf numFmtId="2" fontId="53" fillId="43" borderId="20" xfId="3" applyNumberFormat="1" applyFont="1" applyFill="1" applyBorder="1" applyAlignment="1">
      <alignment horizontal="center"/>
    </xf>
    <xf numFmtId="9" fontId="33" fillId="7" borderId="0" xfId="0" applyNumberFormat="1" applyFont="1" applyFill="1" applyAlignment="1">
      <alignment horizontal="center" vertical="center"/>
    </xf>
    <xf numFmtId="9" fontId="33" fillId="0" borderId="0" xfId="0" applyNumberFormat="1" applyFont="1"/>
    <xf numFmtId="166" fontId="33" fillId="0" borderId="0" xfId="0" applyNumberFormat="1" applyFont="1" applyAlignment="1">
      <alignment horizontal="center"/>
    </xf>
    <xf numFmtId="9" fontId="111" fillId="7" borderId="0" xfId="0" applyNumberFormat="1" applyFont="1" applyFill="1" applyAlignment="1">
      <alignment horizontal="center" vertical="center"/>
    </xf>
    <xf numFmtId="9" fontId="10" fillId="44" borderId="0" xfId="3" applyFont="1" applyFill="1" applyBorder="1" applyAlignment="1">
      <alignment horizontal="right"/>
    </xf>
    <xf numFmtId="3" fontId="2" fillId="44" borderId="0" xfId="4" applyNumberFormat="1" applyFont="1" applyFill="1" applyBorder="1" applyAlignment="1">
      <alignment horizontal="right"/>
    </xf>
    <xf numFmtId="3" fontId="2" fillId="44" borderId="0" xfId="0" applyNumberFormat="1" applyFont="1" applyFill="1"/>
    <xf numFmtId="0" fontId="37" fillId="0" borderId="2" xfId="0" applyFont="1" applyBorder="1" applyAlignment="1">
      <alignment horizontal="center"/>
    </xf>
    <xf numFmtId="0" fontId="39" fillId="5" borderId="2" xfId="8" applyFont="1" applyFill="1" applyBorder="1" applyAlignment="1">
      <alignment horizontal="center"/>
    </xf>
    <xf numFmtId="0" fontId="34" fillId="0" borderId="2" xfId="0" applyFont="1" applyBorder="1" applyAlignment="1">
      <alignment horizontal="center" vertical="center"/>
    </xf>
    <xf numFmtId="0" fontId="34" fillId="0" borderId="12" xfId="0" applyFont="1" applyBorder="1" applyAlignment="1">
      <alignment horizontal="center" vertical="center"/>
    </xf>
    <xf numFmtId="0" fontId="47" fillId="8" borderId="2" xfId="0" applyFont="1" applyFill="1" applyBorder="1" applyAlignment="1">
      <alignment horizontal="center" vertical="center"/>
    </xf>
    <xf numFmtId="0" fontId="47" fillId="8" borderId="12" xfId="0" applyFont="1" applyFill="1" applyBorder="1" applyAlignment="1">
      <alignment horizontal="center" vertical="center"/>
    </xf>
  </cellXfs>
  <cellStyles count="323">
    <cellStyle name="20% - Accent1 2" xfId="192" xr:uid="{00000000-0005-0000-0000-000000000000}"/>
    <cellStyle name="20% - Accent1 2 2" xfId="279" xr:uid="{00000000-0005-0000-0000-000001000000}"/>
    <cellStyle name="20% - Accent2 2" xfId="196" xr:uid="{00000000-0005-0000-0000-000002000000}"/>
    <cellStyle name="20% - Accent2 2 2" xfId="280" xr:uid="{00000000-0005-0000-0000-000003000000}"/>
    <cellStyle name="20% - Accent3 2" xfId="200" xr:uid="{00000000-0005-0000-0000-000004000000}"/>
    <cellStyle name="20% - Accent3 2 2" xfId="281" xr:uid="{00000000-0005-0000-0000-000005000000}"/>
    <cellStyle name="20% - Accent4 2" xfId="204" xr:uid="{00000000-0005-0000-0000-000006000000}"/>
    <cellStyle name="20% - Accent4 2 2" xfId="282" xr:uid="{00000000-0005-0000-0000-000007000000}"/>
    <cellStyle name="20% - Accent5 2" xfId="208" xr:uid="{00000000-0005-0000-0000-000008000000}"/>
    <cellStyle name="20% - Accent5 2 2" xfId="283" xr:uid="{00000000-0005-0000-0000-000009000000}"/>
    <cellStyle name="20% - Accent6 2" xfId="212" xr:uid="{00000000-0005-0000-0000-00000A000000}"/>
    <cellStyle name="20% - Accent6 2 2" xfId="284" xr:uid="{00000000-0005-0000-0000-00000B000000}"/>
    <cellStyle name="40% - Accent1 2" xfId="193" xr:uid="{00000000-0005-0000-0000-00000C000000}"/>
    <cellStyle name="40% - Accent1 2 2" xfId="285" xr:uid="{00000000-0005-0000-0000-00000D000000}"/>
    <cellStyle name="40% - Accent2 2" xfId="197" xr:uid="{00000000-0005-0000-0000-00000E000000}"/>
    <cellStyle name="40% - Accent2 2 2" xfId="286" xr:uid="{00000000-0005-0000-0000-00000F000000}"/>
    <cellStyle name="40% - Accent3 2" xfId="201" xr:uid="{00000000-0005-0000-0000-000010000000}"/>
    <cellStyle name="40% - Accent3 2 2" xfId="287" xr:uid="{00000000-0005-0000-0000-000011000000}"/>
    <cellStyle name="40% - Accent4 2" xfId="205" xr:uid="{00000000-0005-0000-0000-000012000000}"/>
    <cellStyle name="40% - Accent4 2 2" xfId="288" xr:uid="{00000000-0005-0000-0000-000013000000}"/>
    <cellStyle name="40% - Accent5 2" xfId="209" xr:uid="{00000000-0005-0000-0000-000014000000}"/>
    <cellStyle name="40% - Accent5 2 2" xfId="289" xr:uid="{00000000-0005-0000-0000-000015000000}"/>
    <cellStyle name="40% - Accent6 2" xfId="213" xr:uid="{00000000-0005-0000-0000-000016000000}"/>
    <cellStyle name="40% - Accent6 2 2" xfId="290" xr:uid="{00000000-0005-0000-0000-000017000000}"/>
    <cellStyle name="60% - Accent1 2" xfId="194" xr:uid="{00000000-0005-0000-0000-000018000000}"/>
    <cellStyle name="60% - Accent1 2 2" xfId="291" xr:uid="{00000000-0005-0000-0000-000019000000}"/>
    <cellStyle name="60% - Accent2 2" xfId="198" xr:uid="{00000000-0005-0000-0000-00001A000000}"/>
    <cellStyle name="60% - Accent2 2 2" xfId="292" xr:uid="{00000000-0005-0000-0000-00001B000000}"/>
    <cellStyle name="60% - Accent3 2" xfId="202" xr:uid="{00000000-0005-0000-0000-00001C000000}"/>
    <cellStyle name="60% - Accent3 2 2" xfId="293" xr:uid="{00000000-0005-0000-0000-00001D000000}"/>
    <cellStyle name="60% - Accent4 2" xfId="206" xr:uid="{00000000-0005-0000-0000-00001E000000}"/>
    <cellStyle name="60% - Accent4 2 2" xfId="294" xr:uid="{00000000-0005-0000-0000-00001F000000}"/>
    <cellStyle name="60% - Accent5 2" xfId="210" xr:uid="{00000000-0005-0000-0000-000020000000}"/>
    <cellStyle name="60% - Accent5 2 2" xfId="295" xr:uid="{00000000-0005-0000-0000-000021000000}"/>
    <cellStyle name="60% - Accent6 2" xfId="214" xr:uid="{00000000-0005-0000-0000-000022000000}"/>
    <cellStyle name="60% - Accent6 2 2" xfId="296" xr:uid="{00000000-0005-0000-0000-000023000000}"/>
    <cellStyle name="Accent1 2" xfId="191" xr:uid="{00000000-0005-0000-0000-000024000000}"/>
    <cellStyle name="Accent1 2 2" xfId="297" xr:uid="{00000000-0005-0000-0000-000025000000}"/>
    <cellStyle name="Accent2 2" xfId="195" xr:uid="{00000000-0005-0000-0000-000026000000}"/>
    <cellStyle name="Accent2 2 2" xfId="298" xr:uid="{00000000-0005-0000-0000-000027000000}"/>
    <cellStyle name="Accent3 2" xfId="199" xr:uid="{00000000-0005-0000-0000-000028000000}"/>
    <cellStyle name="Accent3 2 2" xfId="299" xr:uid="{00000000-0005-0000-0000-000029000000}"/>
    <cellStyle name="Accent4 2" xfId="203" xr:uid="{00000000-0005-0000-0000-00002A000000}"/>
    <cellStyle name="Accent4 2 2" xfId="300" xr:uid="{00000000-0005-0000-0000-00002B000000}"/>
    <cellStyle name="Accent5 2" xfId="207" xr:uid="{00000000-0005-0000-0000-00002C000000}"/>
    <cellStyle name="Accent5 2 2" xfId="301" xr:uid="{00000000-0005-0000-0000-00002D000000}"/>
    <cellStyle name="Accent6 2" xfId="211" xr:uid="{00000000-0005-0000-0000-00002E000000}"/>
    <cellStyle name="Accent6 2 2" xfId="302" xr:uid="{00000000-0005-0000-0000-00002F000000}"/>
    <cellStyle name="Bad 2" xfId="180" xr:uid="{00000000-0005-0000-0000-000030000000}"/>
    <cellStyle name="Bad 2 2" xfId="303" xr:uid="{00000000-0005-0000-0000-000031000000}"/>
    <cellStyle name="Calculation 2" xfId="184" xr:uid="{00000000-0005-0000-0000-000032000000}"/>
    <cellStyle name="Calculation 2 2" xfId="304" xr:uid="{00000000-0005-0000-0000-000033000000}"/>
    <cellStyle name="Check Cell 2" xfId="186" xr:uid="{00000000-0005-0000-0000-000034000000}"/>
    <cellStyle name="Check Cell 2 2" xfId="305" xr:uid="{00000000-0005-0000-0000-000035000000}"/>
    <cellStyle name="Comma 10" xfId="277" xr:uid="{00000000-0005-0000-0000-000036000000}"/>
    <cellStyle name="Comma 2" xfId="163" xr:uid="{00000000-0005-0000-0000-000037000000}"/>
    <cellStyle name="Comma 2 2" xfId="228" xr:uid="{00000000-0005-0000-0000-000038000000}"/>
    <cellStyle name="Comma 3" xfId="165" xr:uid="{00000000-0005-0000-0000-000039000000}"/>
    <cellStyle name="Comma 3 2" xfId="229" xr:uid="{00000000-0005-0000-0000-00003A000000}"/>
    <cellStyle name="Comma 3 3" xfId="230" xr:uid="{00000000-0005-0000-0000-00003B000000}"/>
    <cellStyle name="Comma 3 4" xfId="270" xr:uid="{00000000-0005-0000-0000-00003C000000}"/>
    <cellStyle name="Comma 4" xfId="166" xr:uid="{00000000-0005-0000-0000-00003D000000}"/>
    <cellStyle name="Comma 5" xfId="215" xr:uid="{00000000-0005-0000-0000-00003E000000}"/>
    <cellStyle name="Comma 5 2" xfId="216" xr:uid="{00000000-0005-0000-0000-00003F000000}"/>
    <cellStyle name="Comma 6" xfId="226" xr:uid="{00000000-0005-0000-0000-000040000000}"/>
    <cellStyle name="Comma 7" xfId="231" xr:uid="{00000000-0005-0000-0000-000041000000}"/>
    <cellStyle name="Comma 8" xfId="232" xr:uid="{00000000-0005-0000-0000-000042000000}"/>
    <cellStyle name="Comma 9" xfId="233" xr:uid="{00000000-0005-0000-0000-000043000000}"/>
    <cellStyle name="Comma0" xfId="167" xr:uid="{00000000-0005-0000-0000-000044000000}"/>
    <cellStyle name="Comma0 2" xfId="234" xr:uid="{00000000-0005-0000-0000-000045000000}"/>
    <cellStyle name="Comma0 3" xfId="235" xr:uid="{00000000-0005-0000-0000-000046000000}"/>
    <cellStyle name="Comma0 4" xfId="236" xr:uid="{00000000-0005-0000-0000-000047000000}"/>
    <cellStyle name="Currency0" xfId="168" xr:uid="{00000000-0005-0000-0000-000048000000}"/>
    <cellStyle name="Currency0 2" xfId="237" xr:uid="{00000000-0005-0000-0000-000049000000}"/>
    <cellStyle name="Currency0 3" xfId="238" xr:uid="{00000000-0005-0000-0000-00004A000000}"/>
    <cellStyle name="Currency0 4" xfId="239" xr:uid="{00000000-0005-0000-0000-00004B000000}"/>
    <cellStyle name="Date" xfId="240" xr:uid="{00000000-0005-0000-0000-00004C000000}"/>
    <cellStyle name="Date 2" xfId="241" xr:uid="{00000000-0005-0000-0000-00004D000000}"/>
    <cellStyle name="Date 3" xfId="242" xr:uid="{00000000-0005-0000-0000-00004E000000}"/>
    <cellStyle name="Date 4" xfId="243" xr:uid="{00000000-0005-0000-0000-00004F000000}"/>
    <cellStyle name="Explanatory Text 2" xfId="189" xr:uid="{00000000-0005-0000-0000-000050000000}"/>
    <cellStyle name="Explanatory Text 2 2" xfId="306" xr:uid="{00000000-0005-0000-0000-000051000000}"/>
    <cellStyle name="Fixed" xfId="244" xr:uid="{00000000-0005-0000-0000-000052000000}"/>
    <cellStyle name="Fixed 2" xfId="245" xr:uid="{00000000-0005-0000-0000-000053000000}"/>
    <cellStyle name="Fixed 3" xfId="246" xr:uid="{00000000-0005-0000-0000-000054000000}"/>
    <cellStyle name="Fixed 4" xfId="247" xr:uid="{00000000-0005-0000-0000-000055000000}"/>
    <cellStyle name="Good 2" xfId="179" xr:uid="{00000000-0005-0000-0000-000056000000}"/>
    <cellStyle name="Good 2 2" xfId="307" xr:uid="{00000000-0005-0000-0000-000057000000}"/>
    <cellStyle name="Heading 1 2" xfId="175" xr:uid="{00000000-0005-0000-0000-000058000000}"/>
    <cellStyle name="Heading 1 2 2" xfId="248" xr:uid="{00000000-0005-0000-0000-000059000000}"/>
    <cellStyle name="Heading 1 2 3" xfId="249" xr:uid="{00000000-0005-0000-0000-00005A000000}"/>
    <cellStyle name="Heading 1 2 4" xfId="308" xr:uid="{00000000-0005-0000-0000-00005B000000}"/>
    <cellStyle name="Heading 1 3" xfId="250" xr:uid="{00000000-0005-0000-0000-00005C000000}"/>
    <cellStyle name="Heading 1 4" xfId="251" xr:uid="{00000000-0005-0000-0000-00005D000000}"/>
    <cellStyle name="Heading 2 2" xfId="176" xr:uid="{00000000-0005-0000-0000-00005E000000}"/>
    <cellStyle name="Heading 2 2 2" xfId="252" xr:uid="{00000000-0005-0000-0000-00005F000000}"/>
    <cellStyle name="Heading 2 2 3" xfId="253" xr:uid="{00000000-0005-0000-0000-000060000000}"/>
    <cellStyle name="Heading 2 2 4" xfId="309" xr:uid="{00000000-0005-0000-0000-000061000000}"/>
    <cellStyle name="Heading 2 3" xfId="254" xr:uid="{00000000-0005-0000-0000-000062000000}"/>
    <cellStyle name="Heading 2 4" xfId="255" xr:uid="{00000000-0005-0000-0000-000063000000}"/>
    <cellStyle name="Heading 3 2" xfId="177" xr:uid="{00000000-0005-0000-0000-000064000000}"/>
    <cellStyle name="Heading 3 2 2" xfId="310" xr:uid="{00000000-0005-0000-0000-000065000000}"/>
    <cellStyle name="Heading 4 2" xfId="178" xr:uid="{00000000-0005-0000-0000-000066000000}"/>
    <cellStyle name="Heading 4 2 2" xfId="311" xr:uid="{00000000-0005-0000-0000-000067000000}"/>
    <cellStyle name="Hyperlink 2" xfId="169" xr:uid="{00000000-0005-0000-0000-000068000000}"/>
    <cellStyle name="Input 2" xfId="182" xr:uid="{00000000-0005-0000-0000-000069000000}"/>
    <cellStyle name="Input 2 2" xfId="312" xr:uid="{00000000-0005-0000-0000-00006A000000}"/>
    <cellStyle name="Linked Cell 2" xfId="185" xr:uid="{00000000-0005-0000-0000-00006B000000}"/>
    <cellStyle name="Linked Cell 2 2" xfId="313" xr:uid="{00000000-0005-0000-0000-00006C000000}"/>
    <cellStyle name="Neutral 2" xfId="181" xr:uid="{00000000-0005-0000-0000-00006D000000}"/>
    <cellStyle name="Neutral 2 2" xfId="314" xr:uid="{00000000-0005-0000-0000-00006E000000}"/>
    <cellStyle name="Normal" xfId="0" builtinId="0"/>
    <cellStyle name="Normal 10" xfId="13" xr:uid="{00000000-0005-0000-0000-000070000000}"/>
    <cellStyle name="Normal 11" xfId="14" xr:uid="{00000000-0005-0000-0000-000071000000}"/>
    <cellStyle name="Normal 11 2" xfId="227" xr:uid="{00000000-0005-0000-0000-000072000000}"/>
    <cellStyle name="Normal 12" xfId="15" xr:uid="{00000000-0005-0000-0000-000073000000}"/>
    <cellStyle name="Normal 12 2" xfId="256" xr:uid="{00000000-0005-0000-0000-000074000000}"/>
    <cellStyle name="Normal 13" xfId="34" xr:uid="{00000000-0005-0000-0000-000075000000}"/>
    <cellStyle name="Normal 13 2" xfId="69" xr:uid="{00000000-0005-0000-0000-000076000000}"/>
    <cellStyle name="Normal 13 2 2" xfId="272" xr:uid="{00000000-0005-0000-0000-000077000000}"/>
    <cellStyle name="Normal 13 3" xfId="98" xr:uid="{00000000-0005-0000-0000-000078000000}"/>
    <cellStyle name="Normal 13 4" xfId="126" xr:uid="{00000000-0005-0000-0000-000079000000}"/>
    <cellStyle name="Normal 14" xfId="36" xr:uid="{00000000-0005-0000-0000-00007A000000}"/>
    <cellStyle name="Normal 14 2" xfId="71" xr:uid="{00000000-0005-0000-0000-00007B000000}"/>
    <cellStyle name="Normal 14 3" xfId="100" xr:uid="{00000000-0005-0000-0000-00007C000000}"/>
    <cellStyle name="Normal 14 4" xfId="128" xr:uid="{00000000-0005-0000-0000-00007D000000}"/>
    <cellStyle name="Normal 15" xfId="37" xr:uid="{00000000-0005-0000-0000-00007E000000}"/>
    <cellStyle name="Normal 15 2" xfId="72" xr:uid="{00000000-0005-0000-0000-00007F000000}"/>
    <cellStyle name="Normal 15 3" xfId="101" xr:uid="{00000000-0005-0000-0000-000080000000}"/>
    <cellStyle name="Normal 15 4" xfId="129" xr:uid="{00000000-0005-0000-0000-000081000000}"/>
    <cellStyle name="Normal 15 5" xfId="273" xr:uid="{00000000-0005-0000-0000-000082000000}"/>
    <cellStyle name="Normal 16" xfId="38" xr:uid="{00000000-0005-0000-0000-000083000000}"/>
    <cellStyle name="Normal 16 2" xfId="73" xr:uid="{00000000-0005-0000-0000-000084000000}"/>
    <cellStyle name="Normal 16 3" xfId="102" xr:uid="{00000000-0005-0000-0000-000085000000}"/>
    <cellStyle name="Normal 16 4" xfId="130" xr:uid="{00000000-0005-0000-0000-000086000000}"/>
    <cellStyle name="Normal 16 5" xfId="276" xr:uid="{00000000-0005-0000-0000-000087000000}"/>
    <cellStyle name="Normal 17" xfId="39" xr:uid="{00000000-0005-0000-0000-000088000000}"/>
    <cellStyle name="Normal 17 2" xfId="74" xr:uid="{00000000-0005-0000-0000-000089000000}"/>
    <cellStyle name="Normal 17 3" xfId="103" xr:uid="{00000000-0005-0000-0000-00008A000000}"/>
    <cellStyle name="Normal 17 4" xfId="131" xr:uid="{00000000-0005-0000-0000-00008B000000}"/>
    <cellStyle name="Normal 17 5" xfId="274" xr:uid="{00000000-0005-0000-0000-00008C000000}"/>
    <cellStyle name="Normal 18" xfId="40" xr:uid="{00000000-0005-0000-0000-00008D000000}"/>
    <cellStyle name="Normal 18 2" xfId="75" xr:uid="{00000000-0005-0000-0000-00008E000000}"/>
    <cellStyle name="Normal 18 3" xfId="104" xr:uid="{00000000-0005-0000-0000-00008F000000}"/>
    <cellStyle name="Normal 18 4" xfId="132" xr:uid="{00000000-0005-0000-0000-000090000000}"/>
    <cellStyle name="Normal 18 5" xfId="275" xr:uid="{00000000-0005-0000-0000-000091000000}"/>
    <cellStyle name="Normal 19" xfId="41" xr:uid="{00000000-0005-0000-0000-000092000000}"/>
    <cellStyle name="Normal 19 2" xfId="76" xr:uid="{00000000-0005-0000-0000-000093000000}"/>
    <cellStyle name="Normal 19 3" xfId="105" xr:uid="{00000000-0005-0000-0000-000094000000}"/>
    <cellStyle name="Normal 19 4" xfId="133" xr:uid="{00000000-0005-0000-0000-000095000000}"/>
    <cellStyle name="Normal 19 5" xfId="278" xr:uid="{00000000-0005-0000-0000-000096000000}"/>
    <cellStyle name="Normal 2" xfId="1" xr:uid="{00000000-0005-0000-0000-000097000000}"/>
    <cellStyle name="Normal 2 2" xfId="9" xr:uid="{00000000-0005-0000-0000-000098000000}"/>
    <cellStyle name="Normal 2 2 2" xfId="257" xr:uid="{00000000-0005-0000-0000-000099000000}"/>
    <cellStyle name="Normal 2 3" xfId="12" xr:uid="{00000000-0005-0000-0000-00009A000000}"/>
    <cellStyle name="Normal 2 3 2" xfId="258" xr:uid="{00000000-0005-0000-0000-00009B000000}"/>
    <cellStyle name="Normal 2 4" xfId="16" xr:uid="{00000000-0005-0000-0000-00009C000000}"/>
    <cellStyle name="Normal 2 4 2" xfId="315" xr:uid="{00000000-0005-0000-0000-00009D000000}"/>
    <cellStyle name="Normal 2 5" xfId="17" xr:uid="{00000000-0005-0000-0000-00009E000000}"/>
    <cellStyle name="Normal 2 6" xfId="153" xr:uid="{00000000-0005-0000-0000-00009F000000}"/>
    <cellStyle name="Normal 2 7" xfId="161" xr:uid="{00000000-0005-0000-0000-0000A0000000}"/>
    <cellStyle name="Normal 20" xfId="42" xr:uid="{00000000-0005-0000-0000-0000A1000000}"/>
    <cellStyle name="Normal 20 2" xfId="77" xr:uid="{00000000-0005-0000-0000-0000A2000000}"/>
    <cellStyle name="Normal 20 3" xfId="106" xr:uid="{00000000-0005-0000-0000-0000A3000000}"/>
    <cellStyle name="Normal 20 4" xfId="134" xr:uid="{00000000-0005-0000-0000-0000A4000000}"/>
    <cellStyle name="Normal 20 5" xfId="322" xr:uid="{00000000-0005-0000-0000-0000A5000000}"/>
    <cellStyle name="Normal 21" xfId="43" xr:uid="{00000000-0005-0000-0000-0000A6000000}"/>
    <cellStyle name="Normal 21 2" xfId="78" xr:uid="{00000000-0005-0000-0000-0000A7000000}"/>
    <cellStyle name="Normal 21 3" xfId="107" xr:uid="{00000000-0005-0000-0000-0000A8000000}"/>
    <cellStyle name="Normal 21 4" xfId="135" xr:uid="{00000000-0005-0000-0000-0000A9000000}"/>
    <cellStyle name="Normal 22" xfId="44" xr:uid="{00000000-0005-0000-0000-0000AA000000}"/>
    <cellStyle name="Normal 22 2" xfId="79" xr:uid="{00000000-0005-0000-0000-0000AB000000}"/>
    <cellStyle name="Normal 22 3" xfId="108" xr:uid="{00000000-0005-0000-0000-0000AC000000}"/>
    <cellStyle name="Normal 22 4" xfId="136" xr:uid="{00000000-0005-0000-0000-0000AD000000}"/>
    <cellStyle name="Normal 23" xfId="45" xr:uid="{00000000-0005-0000-0000-0000AE000000}"/>
    <cellStyle name="Normal 23 2" xfId="80" xr:uid="{00000000-0005-0000-0000-0000AF000000}"/>
    <cellStyle name="Normal 23 3" xfId="109" xr:uid="{00000000-0005-0000-0000-0000B0000000}"/>
    <cellStyle name="Normal 23 4" xfId="137" xr:uid="{00000000-0005-0000-0000-0000B1000000}"/>
    <cellStyle name="Normal 24" xfId="46" xr:uid="{00000000-0005-0000-0000-0000B2000000}"/>
    <cellStyle name="Normal 24 2" xfId="81" xr:uid="{00000000-0005-0000-0000-0000B3000000}"/>
    <cellStyle name="Normal 24 3" xfId="110" xr:uid="{00000000-0005-0000-0000-0000B4000000}"/>
    <cellStyle name="Normal 24 4" xfId="138" xr:uid="{00000000-0005-0000-0000-0000B5000000}"/>
    <cellStyle name="Normal 25" xfId="47" xr:uid="{00000000-0005-0000-0000-0000B6000000}"/>
    <cellStyle name="Normal 25 2" xfId="82" xr:uid="{00000000-0005-0000-0000-0000B7000000}"/>
    <cellStyle name="Normal 25 3" xfId="111" xr:uid="{00000000-0005-0000-0000-0000B8000000}"/>
    <cellStyle name="Normal 25 4" xfId="139" xr:uid="{00000000-0005-0000-0000-0000B9000000}"/>
    <cellStyle name="Normal 26" xfId="48" xr:uid="{00000000-0005-0000-0000-0000BA000000}"/>
    <cellStyle name="Normal 26 2" xfId="83" xr:uid="{00000000-0005-0000-0000-0000BB000000}"/>
    <cellStyle name="Normal 26 3" xfId="112" xr:uid="{00000000-0005-0000-0000-0000BC000000}"/>
    <cellStyle name="Normal 26 4" xfId="140" xr:uid="{00000000-0005-0000-0000-0000BD000000}"/>
    <cellStyle name="Normal 27" xfId="49" xr:uid="{00000000-0005-0000-0000-0000BE000000}"/>
    <cellStyle name="Normal 27 2" xfId="84" xr:uid="{00000000-0005-0000-0000-0000BF000000}"/>
    <cellStyle name="Normal 27 3" xfId="113" xr:uid="{00000000-0005-0000-0000-0000C0000000}"/>
    <cellStyle name="Normal 27 4" xfId="141" xr:uid="{00000000-0005-0000-0000-0000C1000000}"/>
    <cellStyle name="Normal 28" xfId="50" xr:uid="{00000000-0005-0000-0000-0000C2000000}"/>
    <cellStyle name="Normal 28 2" xfId="85" xr:uid="{00000000-0005-0000-0000-0000C3000000}"/>
    <cellStyle name="Normal 28 3" xfId="114" xr:uid="{00000000-0005-0000-0000-0000C4000000}"/>
    <cellStyle name="Normal 28 4" xfId="142" xr:uid="{00000000-0005-0000-0000-0000C5000000}"/>
    <cellStyle name="Normal 29" xfId="51" xr:uid="{00000000-0005-0000-0000-0000C6000000}"/>
    <cellStyle name="Normal 29 2" xfId="86" xr:uid="{00000000-0005-0000-0000-0000C7000000}"/>
    <cellStyle name="Normal 29 3" xfId="115" xr:uid="{00000000-0005-0000-0000-0000C8000000}"/>
    <cellStyle name="Normal 29 4" xfId="143" xr:uid="{00000000-0005-0000-0000-0000C9000000}"/>
    <cellStyle name="Normal 3" xfId="6" xr:uid="{00000000-0005-0000-0000-0000CA000000}"/>
    <cellStyle name="Normal 3 10" xfId="158" xr:uid="{00000000-0005-0000-0000-0000CB000000}"/>
    <cellStyle name="Normal 3 2" xfId="35" xr:uid="{00000000-0005-0000-0000-0000CC000000}"/>
    <cellStyle name="Normal 3 2 2" xfId="18" xr:uid="{00000000-0005-0000-0000-0000CD000000}"/>
    <cellStyle name="Normal 3 2 3" xfId="155" xr:uid="{00000000-0005-0000-0000-0000CE000000}"/>
    <cellStyle name="Normal 3 2 4" xfId="160" xr:uid="{00000000-0005-0000-0000-0000CF000000}"/>
    <cellStyle name="Normal 3 2 5" xfId="217" xr:uid="{00000000-0005-0000-0000-0000D0000000}"/>
    <cellStyle name="Normal 3 3" xfId="19" xr:uid="{00000000-0005-0000-0000-0000D1000000}"/>
    <cellStyle name="Normal 3 3 2" xfId="259" xr:uid="{00000000-0005-0000-0000-0000D2000000}"/>
    <cellStyle name="Normal 3 3 3" xfId="218" xr:uid="{00000000-0005-0000-0000-0000D3000000}"/>
    <cellStyle name="Normal 3 4" xfId="20" xr:uid="{00000000-0005-0000-0000-0000D4000000}"/>
    <cellStyle name="Normal 3 4 2" xfId="260" xr:uid="{00000000-0005-0000-0000-0000D5000000}"/>
    <cellStyle name="Normal 3 5" xfId="31" xr:uid="{00000000-0005-0000-0000-0000D6000000}"/>
    <cellStyle name="Normal 3 5 2" xfId="316" xr:uid="{00000000-0005-0000-0000-0000D7000000}"/>
    <cellStyle name="Normal 3 6" xfId="70" xr:uid="{00000000-0005-0000-0000-0000D8000000}"/>
    <cellStyle name="Normal 3 7" xfId="99" xr:uid="{00000000-0005-0000-0000-0000D9000000}"/>
    <cellStyle name="Normal 3 8" xfId="127" xr:uid="{00000000-0005-0000-0000-0000DA000000}"/>
    <cellStyle name="Normal 3 9" xfId="156" xr:uid="{00000000-0005-0000-0000-0000DB000000}"/>
    <cellStyle name="Normal 30" xfId="52" xr:uid="{00000000-0005-0000-0000-0000DC000000}"/>
    <cellStyle name="Normal 30 2" xfId="87" xr:uid="{00000000-0005-0000-0000-0000DD000000}"/>
    <cellStyle name="Normal 30 3" xfId="116" xr:uid="{00000000-0005-0000-0000-0000DE000000}"/>
    <cellStyle name="Normal 30 4" xfId="144" xr:uid="{00000000-0005-0000-0000-0000DF000000}"/>
    <cellStyle name="Normal 31" xfId="60" xr:uid="{00000000-0005-0000-0000-0000E0000000}"/>
    <cellStyle name="Normal 32" xfId="53" xr:uid="{00000000-0005-0000-0000-0000E1000000}"/>
    <cellStyle name="Normal 32 2" xfId="88" xr:uid="{00000000-0005-0000-0000-0000E2000000}"/>
    <cellStyle name="Normal 32 3" xfId="117" xr:uid="{00000000-0005-0000-0000-0000E3000000}"/>
    <cellStyle name="Normal 32 4" xfId="145" xr:uid="{00000000-0005-0000-0000-0000E4000000}"/>
    <cellStyle name="Normal 33" xfId="54" xr:uid="{00000000-0005-0000-0000-0000E5000000}"/>
    <cellStyle name="Normal 33 2" xfId="89" xr:uid="{00000000-0005-0000-0000-0000E6000000}"/>
    <cellStyle name="Normal 33 3" xfId="118" xr:uid="{00000000-0005-0000-0000-0000E7000000}"/>
    <cellStyle name="Normal 33 4" xfId="146" xr:uid="{00000000-0005-0000-0000-0000E8000000}"/>
    <cellStyle name="Normal 34" xfId="55" xr:uid="{00000000-0005-0000-0000-0000E9000000}"/>
    <cellStyle name="Normal 34 2" xfId="90" xr:uid="{00000000-0005-0000-0000-0000EA000000}"/>
    <cellStyle name="Normal 34 3" xfId="119" xr:uid="{00000000-0005-0000-0000-0000EB000000}"/>
    <cellStyle name="Normal 34 4" xfId="147" xr:uid="{00000000-0005-0000-0000-0000EC000000}"/>
    <cellStyle name="Normal 35" xfId="56" xr:uid="{00000000-0005-0000-0000-0000ED000000}"/>
    <cellStyle name="Normal 35 2" xfId="91" xr:uid="{00000000-0005-0000-0000-0000EE000000}"/>
    <cellStyle name="Normal 35 3" xfId="120" xr:uid="{00000000-0005-0000-0000-0000EF000000}"/>
    <cellStyle name="Normal 35 4" xfId="148" xr:uid="{00000000-0005-0000-0000-0000F0000000}"/>
    <cellStyle name="Normal 36" xfId="57" xr:uid="{00000000-0005-0000-0000-0000F1000000}"/>
    <cellStyle name="Normal 36 2" xfId="92" xr:uid="{00000000-0005-0000-0000-0000F2000000}"/>
    <cellStyle name="Normal 36 3" xfId="121" xr:uid="{00000000-0005-0000-0000-0000F3000000}"/>
    <cellStyle name="Normal 36 4" xfId="149" xr:uid="{00000000-0005-0000-0000-0000F4000000}"/>
    <cellStyle name="Normal 37" xfId="58" xr:uid="{00000000-0005-0000-0000-0000F5000000}"/>
    <cellStyle name="Normal 37 2" xfId="93" xr:uid="{00000000-0005-0000-0000-0000F6000000}"/>
    <cellStyle name="Normal 37 3" xfId="122" xr:uid="{00000000-0005-0000-0000-0000F7000000}"/>
    <cellStyle name="Normal 37 4" xfId="150" xr:uid="{00000000-0005-0000-0000-0000F8000000}"/>
    <cellStyle name="Normal 38" xfId="59" xr:uid="{00000000-0005-0000-0000-0000F9000000}"/>
    <cellStyle name="Normal 38 2" xfId="94" xr:uid="{00000000-0005-0000-0000-0000FA000000}"/>
    <cellStyle name="Normal 38 3" xfId="123" xr:uid="{00000000-0005-0000-0000-0000FB000000}"/>
    <cellStyle name="Normal 38 4" xfId="151" xr:uid="{00000000-0005-0000-0000-0000FC000000}"/>
    <cellStyle name="Normal 39" xfId="61" xr:uid="{00000000-0005-0000-0000-0000FD000000}"/>
    <cellStyle name="Normal 4" xfId="7" xr:uid="{00000000-0005-0000-0000-0000FE000000}"/>
    <cellStyle name="Normal 4 2" xfId="21" xr:uid="{00000000-0005-0000-0000-0000FF000000}"/>
    <cellStyle name="Normal 4 2 2" xfId="261" xr:uid="{00000000-0005-0000-0000-000000010000}"/>
    <cellStyle name="Normal 4 3" xfId="22" xr:uid="{00000000-0005-0000-0000-000001010000}"/>
    <cellStyle name="Normal 4 4" xfId="23" xr:uid="{00000000-0005-0000-0000-000002010000}"/>
    <cellStyle name="Normal 4 4 2" xfId="262" xr:uid="{00000000-0005-0000-0000-000003010000}"/>
    <cellStyle name="Normal 4 5" xfId="32" xr:uid="{00000000-0005-0000-0000-000004010000}"/>
    <cellStyle name="Normal 4 6" xfId="62" xr:uid="{00000000-0005-0000-0000-000005010000}"/>
    <cellStyle name="Normal 4 7" xfId="67" xr:uid="{00000000-0005-0000-0000-000006010000}"/>
    <cellStyle name="Normal 4 8" xfId="65" xr:uid="{00000000-0005-0000-0000-000007010000}"/>
    <cellStyle name="Normal 4 9" xfId="170" xr:uid="{00000000-0005-0000-0000-000008010000}"/>
    <cellStyle name="Normal 40" xfId="5" xr:uid="{00000000-0005-0000-0000-000009010000}"/>
    <cellStyle name="Normal 40 2" xfId="95" xr:uid="{00000000-0005-0000-0000-00000A010000}"/>
    <cellStyle name="Normal 40 3" xfId="124" xr:uid="{00000000-0005-0000-0000-00000B010000}"/>
    <cellStyle name="Normal 40 4" xfId="152" xr:uid="{00000000-0005-0000-0000-00000C010000}"/>
    <cellStyle name="Normal 41" xfId="64" xr:uid="{00000000-0005-0000-0000-00000D010000}"/>
    <cellStyle name="Normal 42" xfId="8" xr:uid="{00000000-0005-0000-0000-00000E010000}"/>
    <cellStyle name="Normal 43" xfId="154" xr:uid="{00000000-0005-0000-0000-00000F010000}"/>
    <cellStyle name="Normal 45" xfId="162" xr:uid="{00000000-0005-0000-0000-000010010000}"/>
    <cellStyle name="Normal 5" xfId="2" xr:uid="{00000000-0005-0000-0000-000011010000}"/>
    <cellStyle name="Normal 5 2" xfId="24" xr:uid="{00000000-0005-0000-0000-000012010000}"/>
    <cellStyle name="Normal 5 2 2" xfId="219" xr:uid="{00000000-0005-0000-0000-000013010000}"/>
    <cellStyle name="Normal 5 3" xfId="25" xr:uid="{00000000-0005-0000-0000-000014010000}"/>
    <cellStyle name="Normal 5 3 2" xfId="220" xr:uid="{00000000-0005-0000-0000-000015010000}"/>
    <cellStyle name="Normal 5 4" xfId="26" xr:uid="{00000000-0005-0000-0000-000016010000}"/>
    <cellStyle name="Normal 5 4 2" xfId="263" xr:uid="{00000000-0005-0000-0000-000017010000}"/>
    <cellStyle name="Normal 5 5" xfId="33" xr:uid="{00000000-0005-0000-0000-000018010000}"/>
    <cellStyle name="Normal 5 6" xfId="63" xr:uid="{00000000-0005-0000-0000-000019010000}"/>
    <cellStyle name="Normal 5 7" xfId="66" xr:uid="{00000000-0005-0000-0000-00001A010000}"/>
    <cellStyle name="Normal 5 8" xfId="97" xr:uid="{00000000-0005-0000-0000-00001B010000}"/>
    <cellStyle name="Normal 5 9" xfId="171" xr:uid="{00000000-0005-0000-0000-00001C010000}"/>
    <cellStyle name="Normal 6" xfId="10" xr:uid="{00000000-0005-0000-0000-00001D010000}"/>
    <cellStyle name="Normal 6 2" xfId="11" xr:uid="{00000000-0005-0000-0000-00001E010000}"/>
    <cellStyle name="Normal 6 2 2" xfId="264" xr:uid="{00000000-0005-0000-0000-00001F010000}"/>
    <cellStyle name="Normal 6 3" xfId="27" xr:uid="{00000000-0005-0000-0000-000020010000}"/>
    <cellStyle name="Normal 6 4" xfId="172" xr:uid="{00000000-0005-0000-0000-000021010000}"/>
    <cellStyle name="Normal 7" xfId="28" xr:uid="{00000000-0005-0000-0000-000022010000}"/>
    <cellStyle name="Normal 7 2" xfId="224" xr:uid="{00000000-0005-0000-0000-000023010000}"/>
    <cellStyle name="Normal 7 3" xfId="174" xr:uid="{00000000-0005-0000-0000-000024010000}"/>
    <cellStyle name="Normal 8" xfId="29" xr:uid="{00000000-0005-0000-0000-000025010000}"/>
    <cellStyle name="Normal 9" xfId="30" xr:uid="{00000000-0005-0000-0000-000026010000}"/>
    <cellStyle name="Normal 9 2" xfId="68" xr:uid="{00000000-0005-0000-0000-000027010000}"/>
    <cellStyle name="Normal 9 2 2" xfId="225" xr:uid="{00000000-0005-0000-0000-000028010000}"/>
    <cellStyle name="Normal 9 3" xfId="96" xr:uid="{00000000-0005-0000-0000-000029010000}"/>
    <cellStyle name="Normal 9 4" xfId="125" xr:uid="{00000000-0005-0000-0000-00002A010000}"/>
    <cellStyle name="Normal 9 5" xfId="221" xr:uid="{00000000-0005-0000-0000-00002B010000}"/>
    <cellStyle name="Normal_Chilkat Appendix Tables" xfId="4" xr:uid="{00000000-0005-0000-0000-00002C010000}"/>
    <cellStyle name="Note 2" xfId="188" xr:uid="{00000000-0005-0000-0000-00002D010000}"/>
    <cellStyle name="Note 2 2" xfId="317" xr:uid="{00000000-0005-0000-0000-00002E010000}"/>
    <cellStyle name="Note 3" xfId="265" xr:uid="{00000000-0005-0000-0000-00002F010000}"/>
    <cellStyle name="Output 2" xfId="183" xr:uid="{00000000-0005-0000-0000-000030010000}"/>
    <cellStyle name="Output 2 2" xfId="318" xr:uid="{00000000-0005-0000-0000-000031010000}"/>
    <cellStyle name="Percent" xfId="3" builtinId="5"/>
    <cellStyle name="Percent 2" xfId="173" xr:uid="{00000000-0005-0000-0000-000033010000}"/>
    <cellStyle name="Percent 3" xfId="159" xr:uid="{00000000-0005-0000-0000-000034010000}"/>
    <cellStyle name="Percent 3 2" xfId="271" xr:uid="{00000000-0005-0000-0000-000035010000}"/>
    <cellStyle name="Percent 3 3" xfId="222" xr:uid="{00000000-0005-0000-0000-000036010000}"/>
    <cellStyle name="Percent 4" xfId="157" xr:uid="{00000000-0005-0000-0000-000037010000}"/>
    <cellStyle name="Percent 4 2" xfId="223" xr:uid="{00000000-0005-0000-0000-000038010000}"/>
    <cellStyle name="Percent 5" xfId="319" xr:uid="{00000000-0005-0000-0000-000039010000}"/>
    <cellStyle name="Title" xfId="164" builtinId="15" customBuiltin="1"/>
    <cellStyle name="Total 2" xfId="190" xr:uid="{00000000-0005-0000-0000-00003B010000}"/>
    <cellStyle name="Total 2 2" xfId="266" xr:uid="{00000000-0005-0000-0000-00003C010000}"/>
    <cellStyle name="Total 2 3" xfId="267" xr:uid="{00000000-0005-0000-0000-00003D010000}"/>
    <cellStyle name="Total 2 4" xfId="320" xr:uid="{00000000-0005-0000-0000-00003E010000}"/>
    <cellStyle name="Total 3" xfId="268" xr:uid="{00000000-0005-0000-0000-00003F010000}"/>
    <cellStyle name="Total 4" xfId="269" xr:uid="{00000000-0005-0000-0000-000040010000}"/>
    <cellStyle name="Warning Text 2" xfId="187" xr:uid="{00000000-0005-0000-0000-000041010000}"/>
    <cellStyle name="Warning Text 2 2" xfId="321" xr:uid="{00000000-0005-0000-0000-000042010000}"/>
  </cellStyles>
  <dxfs count="0"/>
  <tableStyles count="0" defaultTableStyle="TableStyleMedium9" defaultPivotStyle="PivotStyleLight16"/>
  <colors>
    <mruColors>
      <color rgb="FFFFFFCC"/>
      <color rgb="FFCCFFFF"/>
      <color rgb="FFCC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299"/>
          <c:y val="4.4492132783920148E-2"/>
          <c:w val="0.48008201632603231"/>
          <c:h val="0.74002697579469234"/>
        </c:manualLayout>
      </c:layout>
      <c:scatterChart>
        <c:scatterStyle val="lineMarker"/>
        <c:varyColors val="0"/>
        <c:ser>
          <c:idx val="0"/>
          <c:order val="0"/>
          <c:tx>
            <c:strRef>
              <c:f>'Weir Expansion Factors'!$A$21</c:f>
              <c:strCache>
                <c:ptCount val="1"/>
                <c:pt idx="0">
                  <c:v>26-Aug</c:v>
                </c:pt>
              </c:strCache>
            </c:strRef>
          </c:tx>
          <c:spPr>
            <a:ln w="28575">
              <a:noFill/>
            </a:ln>
          </c:spPr>
          <c:dLbls>
            <c:dLbl>
              <c:idx val="1"/>
              <c:layout>
                <c:manualLayout>
                  <c:x val="-4.7460844803037493E-2"/>
                  <c:y val="-0.131260794473229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AC-44C8-AD76-E1B750021411}"/>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trendline>
            <c:trendlineType val="linear"/>
            <c:dispRSqr val="0"/>
            <c:dispEq val="0"/>
          </c:trendline>
          <c:trendline>
            <c:trendlineType val="linear"/>
            <c:dispRSqr val="0"/>
            <c:dispEq val="1"/>
            <c:trendlineLbl>
              <c:layout>
                <c:manualLayout>
                  <c:x val="0.3856765412629069"/>
                  <c:y val="0.27854650293065697"/>
                </c:manualLayout>
              </c:layout>
              <c:numFmt formatCode="General" sourceLinked="0"/>
            </c:trendlineLbl>
          </c:trendline>
          <c:trendline>
            <c:trendlineType val="linear"/>
            <c:dispRSqr val="1"/>
            <c:dispEq val="0"/>
            <c:trendlineLbl>
              <c:layout>
                <c:manualLayout>
                  <c:x val="0.36213596224060035"/>
                  <c:y val="0.16110263419145146"/>
                </c:manualLayout>
              </c:layout>
              <c:numFmt formatCode="General" sourceLinked="0"/>
            </c:trendlineLbl>
          </c:trendline>
          <c:xVal>
            <c:numRef>
              <c:f>'Weir Expansion Factors'!$B$21:$O$21</c:f>
              <c:numCache>
                <c:formatCode>#,##0</c:formatCode>
                <c:ptCount val="14"/>
                <c:pt idx="0">
                  <c:v>8975</c:v>
                </c:pt>
                <c:pt idx="1">
                  <c:v>2085</c:v>
                </c:pt>
                <c:pt idx="2">
                  <c:v>4045</c:v>
                </c:pt>
                <c:pt idx="3">
                  <c:v>5261</c:v>
                </c:pt>
                <c:pt idx="4">
                  <c:v>4420</c:v>
                </c:pt>
                <c:pt idx="5">
                  <c:v>6225</c:v>
                </c:pt>
                <c:pt idx="6">
                  <c:v>3903</c:v>
                </c:pt>
                <c:pt idx="7">
                  <c:v>1969</c:v>
                </c:pt>
                <c:pt idx="8">
                  <c:v>1566</c:v>
                </c:pt>
                <c:pt idx="9">
                  <c:v>2974</c:v>
                </c:pt>
                <c:pt idx="10">
                  <c:v>4849</c:v>
                </c:pt>
                <c:pt idx="11">
                  <c:v>4730</c:v>
                </c:pt>
                <c:pt idx="12">
                  <c:v>4905</c:v>
                </c:pt>
                <c:pt idx="13">
                  <c:v>5144</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4-C3AC-44C8-AD76-E1B750021411}"/>
            </c:ext>
          </c:extLst>
        </c:ser>
        <c:dLbls>
          <c:showLegendKey val="0"/>
          <c:showVal val="0"/>
          <c:showCatName val="0"/>
          <c:showSerName val="0"/>
          <c:showPercent val="0"/>
          <c:showBubbleSize val="0"/>
        </c:dLbls>
        <c:axId val="144918400"/>
        <c:axId val="144920576"/>
      </c:scatterChart>
      <c:valAx>
        <c:axId val="14491840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44920576"/>
        <c:crosses val="autoZero"/>
        <c:crossBetween val="midCat"/>
      </c:valAx>
      <c:valAx>
        <c:axId val="144920576"/>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44918400"/>
        <c:crosses val="autoZero"/>
        <c:crossBetween val="midCat"/>
      </c:valAx>
    </c:plotArea>
    <c:legend>
      <c:legendPos val="r"/>
      <c:legendEntry>
        <c:idx val="1"/>
        <c:delete val="1"/>
      </c:legendEntry>
      <c:legendEntry>
        <c:idx val="2"/>
        <c:delete val="1"/>
      </c:legendEntry>
      <c:layout>
        <c:manualLayout>
          <c:xMode val="edge"/>
          <c:yMode val="edge"/>
          <c:x val="0.70407103934343285"/>
          <c:y val="2.1162237532808399E-2"/>
          <c:w val="0.28885353797780389"/>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33"/>
          <c:y val="5.1400554097404488E-2"/>
          <c:w val="0.55601924759405075"/>
          <c:h val="0.74002697579469234"/>
        </c:manualLayout>
      </c:layout>
      <c:scatterChart>
        <c:scatterStyle val="lineMarker"/>
        <c:varyColors val="0"/>
        <c:ser>
          <c:idx val="0"/>
          <c:order val="0"/>
          <c:tx>
            <c:strRef>
              <c:f>'Weir Expansion Factors'!$A$27</c:f>
              <c:strCache>
                <c:ptCount val="1"/>
                <c:pt idx="0">
                  <c:v>1-Sep</c:v>
                </c:pt>
              </c:strCache>
            </c:strRef>
          </c:tx>
          <c:spPr>
            <a:ln w="28575">
              <a:noFill/>
            </a:ln>
          </c:spPr>
          <c:trendline>
            <c:trendlineType val="linear"/>
            <c:dispRSqr val="1"/>
            <c:dispEq val="1"/>
            <c:trendlineLbl>
              <c:numFmt formatCode="General" sourceLinked="0"/>
            </c:trendlineLbl>
          </c:trendline>
          <c:xVal>
            <c:numRef>
              <c:f>'Weir Expansion Factors'!$B$27:$O$27</c:f>
              <c:numCache>
                <c:formatCode>#,##0</c:formatCode>
                <c:ptCount val="14"/>
                <c:pt idx="0">
                  <c:v>9026</c:v>
                </c:pt>
                <c:pt idx="1">
                  <c:v>6066</c:v>
                </c:pt>
                <c:pt idx="2">
                  <c:v>4143</c:v>
                </c:pt>
                <c:pt idx="3">
                  <c:v>5634</c:v>
                </c:pt>
                <c:pt idx="4">
                  <c:v>5485</c:v>
                </c:pt>
                <c:pt idx="5">
                  <c:v>6861</c:v>
                </c:pt>
                <c:pt idx="6">
                  <c:v>4144</c:v>
                </c:pt>
                <c:pt idx="7">
                  <c:v>2045</c:v>
                </c:pt>
                <c:pt idx="8">
                  <c:v>1575</c:v>
                </c:pt>
                <c:pt idx="9">
                  <c:v>3287</c:v>
                </c:pt>
                <c:pt idx="10">
                  <c:v>5172</c:v>
                </c:pt>
                <c:pt idx="11">
                  <c:v>4739</c:v>
                </c:pt>
                <c:pt idx="12">
                  <c:v>5466</c:v>
                </c:pt>
                <c:pt idx="13">
                  <c:v>6032</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1-861B-4CC7-98BE-344B1BD9F277}"/>
            </c:ext>
          </c:extLst>
        </c:ser>
        <c:dLbls>
          <c:showLegendKey val="0"/>
          <c:showVal val="0"/>
          <c:showCatName val="0"/>
          <c:showSerName val="0"/>
          <c:showPercent val="0"/>
          <c:showBubbleSize val="0"/>
        </c:dLbls>
        <c:axId val="160048640"/>
        <c:axId val="160050560"/>
      </c:scatterChart>
      <c:valAx>
        <c:axId val="16004864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60050560"/>
        <c:crosses val="autoZero"/>
        <c:crossBetween val="midCat"/>
      </c:valAx>
      <c:valAx>
        <c:axId val="160050560"/>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60048640"/>
        <c:crosses val="autoZero"/>
        <c:crossBetween val="midCat"/>
      </c:valAx>
    </c:plotArea>
    <c:legend>
      <c:legendPos val="r"/>
      <c:layout>
        <c:manualLayout>
          <c:xMode val="edge"/>
          <c:yMode val="edge"/>
          <c:x val="0.67566164755721392"/>
          <c:y val="3.413552851348127E-2"/>
          <c:w val="0.31105090755476184"/>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33"/>
          <c:y val="5.1400554097404488E-2"/>
          <c:w val="0.55601924759405075"/>
          <c:h val="0.74002697579469234"/>
        </c:manualLayout>
      </c:layout>
      <c:scatterChart>
        <c:scatterStyle val="lineMarker"/>
        <c:varyColors val="0"/>
        <c:ser>
          <c:idx val="0"/>
          <c:order val="0"/>
          <c:tx>
            <c:strRef>
              <c:f>'Weir Expansion Factors'!$A$30</c:f>
              <c:strCache>
                <c:ptCount val="1"/>
                <c:pt idx="0">
                  <c:v>4-Sep</c:v>
                </c:pt>
              </c:strCache>
            </c:strRef>
          </c:tx>
          <c:spPr>
            <a:ln w="28575">
              <a:noFill/>
            </a:ln>
          </c:spPr>
          <c:trendline>
            <c:trendlineType val="linear"/>
            <c:dispRSqr val="1"/>
            <c:dispEq val="1"/>
            <c:trendlineLbl>
              <c:numFmt formatCode="General" sourceLinked="0"/>
            </c:trendlineLbl>
          </c:trendline>
          <c:xVal>
            <c:numRef>
              <c:f>'Weir Expansion Factors'!$B$30:$O$30</c:f>
              <c:numCache>
                <c:formatCode>#,##0</c:formatCode>
                <c:ptCount val="14"/>
                <c:pt idx="0">
                  <c:v>9480</c:v>
                </c:pt>
                <c:pt idx="1">
                  <c:v>6666</c:v>
                </c:pt>
                <c:pt idx="2">
                  <c:v>4182</c:v>
                </c:pt>
                <c:pt idx="3">
                  <c:v>6453</c:v>
                </c:pt>
                <c:pt idx="4">
                  <c:v>6533</c:v>
                </c:pt>
                <c:pt idx="5">
                  <c:v>6975</c:v>
                </c:pt>
                <c:pt idx="6">
                  <c:v>4144</c:v>
                </c:pt>
                <c:pt idx="7">
                  <c:v>2129</c:v>
                </c:pt>
                <c:pt idx="8">
                  <c:v>1578</c:v>
                </c:pt>
                <c:pt idx="9">
                  <c:v>3365</c:v>
                </c:pt>
                <c:pt idx="10">
                  <c:v>5479</c:v>
                </c:pt>
                <c:pt idx="11">
                  <c:v>4760</c:v>
                </c:pt>
                <c:pt idx="12">
                  <c:v>5500</c:v>
                </c:pt>
                <c:pt idx="13">
                  <c:v>6129</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1-A520-4D23-8C2C-2269FFD05AFD}"/>
            </c:ext>
          </c:extLst>
        </c:ser>
        <c:dLbls>
          <c:showLegendKey val="0"/>
          <c:showVal val="0"/>
          <c:showCatName val="0"/>
          <c:showSerName val="0"/>
          <c:showPercent val="0"/>
          <c:showBubbleSize val="0"/>
        </c:dLbls>
        <c:axId val="160084352"/>
        <c:axId val="160086272"/>
      </c:scatterChart>
      <c:valAx>
        <c:axId val="160084352"/>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60086272"/>
        <c:crosses val="autoZero"/>
        <c:crossBetween val="midCat"/>
      </c:valAx>
      <c:valAx>
        <c:axId val="160086272"/>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60084352"/>
        <c:crosses val="autoZero"/>
        <c:crossBetween val="midCat"/>
      </c:valAx>
    </c:plotArea>
    <c:legend>
      <c:legendPos val="r"/>
      <c:layout>
        <c:manualLayout>
          <c:xMode val="edge"/>
          <c:yMode val="edge"/>
          <c:x val="0.62545012062171479"/>
          <c:y val="2.1162088072324312E-2"/>
          <c:w val="0.36837291564969515"/>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33"/>
          <c:y val="5.1400554097404488E-2"/>
          <c:w val="0.55601924759405075"/>
          <c:h val="0.74002697579469234"/>
        </c:manualLayout>
      </c:layout>
      <c:scatterChart>
        <c:scatterStyle val="lineMarker"/>
        <c:varyColors val="0"/>
        <c:ser>
          <c:idx val="0"/>
          <c:order val="0"/>
          <c:tx>
            <c:strRef>
              <c:f>'Weir Expansion Factors'!$A$13</c:f>
              <c:strCache>
                <c:ptCount val="1"/>
                <c:pt idx="0">
                  <c:v>1 Aug+</c:v>
                </c:pt>
              </c:strCache>
            </c:strRef>
          </c:tx>
          <c:spPr>
            <a:ln w="28575">
              <a:noFill/>
            </a:ln>
          </c:spPr>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48C-4343-920A-531DBA2D0963}"/>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trendline>
            <c:trendlineType val="linear"/>
            <c:dispRSqr val="0"/>
            <c:dispEq val="0"/>
          </c:trendline>
          <c:trendline>
            <c:trendlineType val="linear"/>
            <c:dispRSqr val="0"/>
            <c:dispEq val="1"/>
            <c:trendlineLbl>
              <c:layout>
                <c:manualLayout>
                  <c:x val="0.27520950744101136"/>
                  <c:y val="0.35905844348641941"/>
                </c:manualLayout>
              </c:layout>
              <c:numFmt formatCode="General" sourceLinked="0"/>
            </c:trendlineLbl>
          </c:trendline>
          <c:trendline>
            <c:trendlineType val="linear"/>
            <c:dispRSqr val="1"/>
            <c:dispEq val="0"/>
            <c:trendlineLbl>
              <c:layout>
                <c:manualLayout>
                  <c:x val="0.26356822148500481"/>
                  <c:y val="0.45558936354675139"/>
                </c:manualLayout>
              </c:layout>
              <c:numFmt formatCode="General" sourceLinked="0"/>
            </c:trendlineLbl>
          </c:trendline>
          <c:xVal>
            <c:numRef>
              <c:f>'Weir Expansion Factors'!$B$13:$N$13</c:f>
              <c:numCache>
                <c:formatCode>#,##0</c:formatCode>
                <c:ptCount val="13"/>
                <c:pt idx="0">
                  <c:v>10350</c:v>
                </c:pt>
                <c:pt idx="1">
                  <c:v>4963</c:v>
                </c:pt>
                <c:pt idx="2">
                  <c:v>5544</c:v>
                </c:pt>
                <c:pt idx="3">
                  <c:v>6850</c:v>
                </c:pt>
                <c:pt idx="4">
                  <c:v>7199</c:v>
                </c:pt>
                <c:pt idx="5">
                  <c:v>4099</c:v>
                </c:pt>
                <c:pt idx="6">
                  <c:v>2789</c:v>
                </c:pt>
                <c:pt idx="7">
                  <c:v>1636</c:v>
                </c:pt>
                <c:pt idx="8">
                  <c:v>3110</c:v>
                </c:pt>
                <c:pt idx="9">
                  <c:v>4457</c:v>
                </c:pt>
                <c:pt idx="10">
                  <c:v>4537</c:v>
                </c:pt>
                <c:pt idx="11">
                  <c:v>5482</c:v>
                </c:pt>
                <c:pt idx="12">
                  <c:v>5672</c:v>
                </c:pt>
              </c:numCache>
            </c:numRef>
          </c:xVal>
          <c:yVal>
            <c:numRef>
              <c:f>'Weir Expansion Factors'!$B$14:$N$14</c:f>
              <c:numCache>
                <c:formatCode>#,##0</c:formatCode>
                <c:ptCount val="13"/>
                <c:pt idx="0">
                  <c:v>10484</c:v>
                </c:pt>
                <c:pt idx="1">
                  <c:v>5071</c:v>
                </c:pt>
                <c:pt idx="2">
                  <c:v>7014</c:v>
                </c:pt>
                <c:pt idx="3">
                  <c:v>7813</c:v>
                </c:pt>
                <c:pt idx="4">
                  <c:v>7549</c:v>
                </c:pt>
                <c:pt idx="5">
                  <c:v>4165</c:v>
                </c:pt>
                <c:pt idx="6">
                  <c:v>3099</c:v>
                </c:pt>
                <c:pt idx="7">
                  <c:v>1763</c:v>
                </c:pt>
                <c:pt idx="8">
                  <c:v>3689</c:v>
                </c:pt>
                <c:pt idx="9">
                  <c:v>5640</c:v>
                </c:pt>
                <c:pt idx="10">
                  <c:v>4777</c:v>
                </c:pt>
                <c:pt idx="11">
                  <c:v>5681</c:v>
                </c:pt>
                <c:pt idx="12">
                  <c:v>6426</c:v>
                </c:pt>
              </c:numCache>
            </c:numRef>
          </c:yVal>
          <c:smooth val="0"/>
          <c:extLst>
            <c:ext xmlns:c16="http://schemas.microsoft.com/office/drawing/2014/chart" uri="{C3380CC4-5D6E-409C-BE32-E72D297353CC}">
              <c16:uniqueId val="{00000004-648C-4343-920A-531DBA2D0963}"/>
            </c:ext>
          </c:extLst>
        </c:ser>
        <c:dLbls>
          <c:showLegendKey val="0"/>
          <c:showVal val="0"/>
          <c:showCatName val="0"/>
          <c:showSerName val="0"/>
          <c:showPercent val="0"/>
          <c:showBubbleSize val="0"/>
        </c:dLbls>
        <c:axId val="170347520"/>
        <c:axId val="170366080"/>
      </c:scatterChart>
      <c:valAx>
        <c:axId val="17034752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70366080"/>
        <c:crosses val="autoZero"/>
        <c:crossBetween val="midCat"/>
      </c:valAx>
      <c:valAx>
        <c:axId val="170366080"/>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70347520"/>
        <c:crosses val="autoZero"/>
        <c:crossBetween val="midCat"/>
      </c:valAx>
    </c:plotArea>
    <c:legend>
      <c:legendPos val="r"/>
      <c:legendEntry>
        <c:idx val="1"/>
        <c:delete val="1"/>
      </c:legendEntry>
      <c:legendEntry>
        <c:idx val="2"/>
        <c:delete val="1"/>
      </c:legendEntry>
      <c:layout>
        <c:manualLayout>
          <c:xMode val="edge"/>
          <c:yMode val="edge"/>
          <c:x val="0.70407103934343285"/>
          <c:y val="2.1162237532808399E-2"/>
          <c:w val="0.28885353797780389"/>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299"/>
          <c:y val="4.4492132783920148E-2"/>
          <c:w val="0.48008201632603231"/>
          <c:h val="0.74002697579469234"/>
        </c:manualLayout>
      </c:layout>
      <c:scatterChart>
        <c:scatterStyle val="lineMarker"/>
        <c:varyColors val="0"/>
        <c:ser>
          <c:idx val="0"/>
          <c:order val="0"/>
          <c:tx>
            <c:strRef>
              <c:f>'Weir Expansion Factors'!$A$22</c:f>
              <c:strCache>
                <c:ptCount val="1"/>
                <c:pt idx="0">
                  <c:v>27-Aug</c:v>
                </c:pt>
              </c:strCache>
            </c:strRef>
          </c:tx>
          <c:spPr>
            <a:ln w="28575">
              <a:noFill/>
            </a:ln>
          </c:spPr>
          <c:dLbls>
            <c:dLbl>
              <c:idx val="1"/>
              <c:layout>
                <c:manualLayout>
                  <c:x val="-4.7460844803037493E-2"/>
                  <c:y val="-0.131260794473229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176-43A2-8404-68173E66AB3B}"/>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trendline>
            <c:trendlineType val="linear"/>
            <c:dispRSqr val="0"/>
            <c:dispEq val="0"/>
          </c:trendline>
          <c:trendline>
            <c:trendlineType val="linear"/>
            <c:dispRSqr val="0"/>
            <c:dispEq val="1"/>
            <c:trendlineLbl>
              <c:layout>
                <c:manualLayout>
                  <c:x val="0.3856765412629069"/>
                  <c:y val="0.27854650293065697"/>
                </c:manualLayout>
              </c:layout>
              <c:numFmt formatCode="General" sourceLinked="0"/>
            </c:trendlineLbl>
          </c:trendline>
          <c:trendline>
            <c:trendlineType val="linear"/>
            <c:dispRSqr val="1"/>
            <c:dispEq val="0"/>
            <c:trendlineLbl>
              <c:layout>
                <c:manualLayout>
                  <c:x val="0.36213596224060035"/>
                  <c:y val="0.16110263419145146"/>
                </c:manualLayout>
              </c:layout>
              <c:numFmt formatCode="General" sourceLinked="0"/>
            </c:trendlineLbl>
          </c:trendline>
          <c:xVal>
            <c:numRef>
              <c:f>'Weir Expansion Factors'!$B$22:$O$22</c:f>
              <c:numCache>
                <c:formatCode>#,##0</c:formatCode>
                <c:ptCount val="14"/>
                <c:pt idx="0">
                  <c:v>8975</c:v>
                </c:pt>
                <c:pt idx="1">
                  <c:v>2101</c:v>
                </c:pt>
                <c:pt idx="2">
                  <c:v>4048</c:v>
                </c:pt>
                <c:pt idx="3">
                  <c:v>5274</c:v>
                </c:pt>
                <c:pt idx="4">
                  <c:v>4931</c:v>
                </c:pt>
                <c:pt idx="5">
                  <c:v>6293</c:v>
                </c:pt>
                <c:pt idx="6">
                  <c:v>3904</c:v>
                </c:pt>
                <c:pt idx="7">
                  <c:v>1980</c:v>
                </c:pt>
                <c:pt idx="8">
                  <c:v>1566</c:v>
                </c:pt>
                <c:pt idx="9">
                  <c:v>3001</c:v>
                </c:pt>
                <c:pt idx="10">
                  <c:v>4853</c:v>
                </c:pt>
                <c:pt idx="11">
                  <c:v>4734</c:v>
                </c:pt>
                <c:pt idx="12">
                  <c:v>4916</c:v>
                </c:pt>
                <c:pt idx="13">
                  <c:v>5150</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4-B176-43A2-8404-68173E66AB3B}"/>
            </c:ext>
          </c:extLst>
        </c:ser>
        <c:dLbls>
          <c:showLegendKey val="0"/>
          <c:showVal val="0"/>
          <c:showCatName val="0"/>
          <c:showSerName val="0"/>
          <c:showPercent val="0"/>
          <c:showBubbleSize val="0"/>
        </c:dLbls>
        <c:axId val="185619584"/>
        <c:axId val="185621504"/>
      </c:scatterChart>
      <c:valAx>
        <c:axId val="185619584"/>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5621504"/>
        <c:crosses val="autoZero"/>
        <c:crossBetween val="midCat"/>
      </c:valAx>
      <c:valAx>
        <c:axId val="185621504"/>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619584"/>
        <c:crosses val="autoZero"/>
        <c:crossBetween val="midCat"/>
      </c:valAx>
    </c:plotArea>
    <c:legend>
      <c:legendPos val="r"/>
      <c:legendEntry>
        <c:idx val="1"/>
        <c:delete val="1"/>
      </c:legendEntry>
      <c:legendEntry>
        <c:idx val="2"/>
        <c:delete val="1"/>
      </c:legendEntry>
      <c:layout>
        <c:manualLayout>
          <c:xMode val="edge"/>
          <c:yMode val="edge"/>
          <c:x val="0.70407103934343285"/>
          <c:y val="2.1162237532808399E-2"/>
          <c:w val="0.28885353797780389"/>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299"/>
          <c:y val="4.4492132783920148E-2"/>
          <c:w val="0.48008201632603231"/>
          <c:h val="0.74002697579469234"/>
        </c:manualLayout>
      </c:layout>
      <c:scatterChart>
        <c:scatterStyle val="lineMarker"/>
        <c:varyColors val="0"/>
        <c:ser>
          <c:idx val="0"/>
          <c:order val="0"/>
          <c:tx>
            <c:strRef>
              <c:f>'Weir Expansion Factors'!$A$23</c:f>
              <c:strCache>
                <c:ptCount val="1"/>
                <c:pt idx="0">
                  <c:v>28-Aug</c:v>
                </c:pt>
              </c:strCache>
            </c:strRef>
          </c:tx>
          <c:spPr>
            <a:ln w="28575">
              <a:noFill/>
            </a:ln>
          </c:spPr>
          <c:dLbls>
            <c:dLbl>
              <c:idx val="1"/>
              <c:layout>
                <c:manualLayout>
                  <c:x val="-4.7460844803037493E-2"/>
                  <c:y val="-0.131260794473229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B43-4B80-B9E9-CC72D2C36112}"/>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trendline>
            <c:trendlineType val="linear"/>
            <c:dispRSqr val="0"/>
            <c:dispEq val="0"/>
          </c:trendline>
          <c:trendline>
            <c:trendlineType val="linear"/>
            <c:dispRSqr val="0"/>
            <c:dispEq val="1"/>
            <c:trendlineLbl>
              <c:layout>
                <c:manualLayout>
                  <c:x val="0.3856765412629069"/>
                  <c:y val="0.27854650293065697"/>
                </c:manualLayout>
              </c:layout>
              <c:numFmt formatCode="General" sourceLinked="0"/>
            </c:trendlineLbl>
          </c:trendline>
          <c:trendline>
            <c:trendlineType val="linear"/>
            <c:dispRSqr val="1"/>
            <c:dispEq val="0"/>
            <c:trendlineLbl>
              <c:layout>
                <c:manualLayout>
                  <c:x val="0.36213596224060035"/>
                  <c:y val="0.16110263419145146"/>
                </c:manualLayout>
              </c:layout>
              <c:numFmt formatCode="General" sourceLinked="0"/>
            </c:trendlineLbl>
          </c:trendline>
          <c:xVal>
            <c:numRef>
              <c:f>'Weir Expansion Factors'!$B$23:$O$23</c:f>
              <c:numCache>
                <c:formatCode>#,##0</c:formatCode>
                <c:ptCount val="14"/>
                <c:pt idx="0">
                  <c:v>8976</c:v>
                </c:pt>
                <c:pt idx="1">
                  <c:v>2108</c:v>
                </c:pt>
                <c:pt idx="2">
                  <c:v>4104</c:v>
                </c:pt>
                <c:pt idx="3">
                  <c:v>5278</c:v>
                </c:pt>
                <c:pt idx="4">
                  <c:v>5341</c:v>
                </c:pt>
                <c:pt idx="5">
                  <c:v>6348</c:v>
                </c:pt>
                <c:pt idx="6">
                  <c:v>3904</c:v>
                </c:pt>
                <c:pt idx="7">
                  <c:v>1981</c:v>
                </c:pt>
                <c:pt idx="8">
                  <c:v>1568</c:v>
                </c:pt>
                <c:pt idx="9">
                  <c:v>3001</c:v>
                </c:pt>
                <c:pt idx="10">
                  <c:v>4855</c:v>
                </c:pt>
                <c:pt idx="11">
                  <c:v>4734</c:v>
                </c:pt>
                <c:pt idx="12">
                  <c:v>5387</c:v>
                </c:pt>
                <c:pt idx="13">
                  <c:v>5155</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4-6B43-4B80-B9E9-CC72D2C36112}"/>
            </c:ext>
          </c:extLst>
        </c:ser>
        <c:dLbls>
          <c:showLegendKey val="0"/>
          <c:showVal val="0"/>
          <c:showCatName val="0"/>
          <c:showSerName val="0"/>
          <c:showPercent val="0"/>
          <c:showBubbleSize val="0"/>
        </c:dLbls>
        <c:axId val="185653120"/>
        <c:axId val="185667584"/>
      </c:scatterChart>
      <c:valAx>
        <c:axId val="18565312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5667584"/>
        <c:crosses val="autoZero"/>
        <c:crossBetween val="midCat"/>
      </c:valAx>
      <c:valAx>
        <c:axId val="185667584"/>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653120"/>
        <c:crosses val="autoZero"/>
        <c:crossBetween val="midCat"/>
      </c:valAx>
    </c:plotArea>
    <c:legend>
      <c:legendPos val="r"/>
      <c:legendEntry>
        <c:idx val="1"/>
        <c:delete val="1"/>
      </c:legendEntry>
      <c:legendEntry>
        <c:idx val="2"/>
        <c:delete val="1"/>
      </c:legendEntry>
      <c:layout>
        <c:manualLayout>
          <c:xMode val="edge"/>
          <c:yMode val="edge"/>
          <c:x val="0.70407103934343285"/>
          <c:y val="2.1162237532808399E-2"/>
          <c:w val="0.28885353797780389"/>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299"/>
          <c:y val="4.4492132783920148E-2"/>
          <c:w val="0.48008201632603231"/>
          <c:h val="0.74002697579469234"/>
        </c:manualLayout>
      </c:layout>
      <c:scatterChart>
        <c:scatterStyle val="lineMarker"/>
        <c:varyColors val="0"/>
        <c:ser>
          <c:idx val="0"/>
          <c:order val="0"/>
          <c:tx>
            <c:strRef>
              <c:f>'Weir Expansion Factors'!$A$24</c:f>
              <c:strCache>
                <c:ptCount val="1"/>
                <c:pt idx="0">
                  <c:v>29-Aug</c:v>
                </c:pt>
              </c:strCache>
            </c:strRef>
          </c:tx>
          <c:spPr>
            <a:ln w="28575">
              <a:noFill/>
            </a:ln>
          </c:spPr>
          <c:dLbls>
            <c:dLbl>
              <c:idx val="1"/>
              <c:layout>
                <c:manualLayout>
                  <c:x val="-4.7460844803037493E-2"/>
                  <c:y val="-0.131260794473229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0CE-46C7-83EB-625C0DE44E31}"/>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trendline>
            <c:trendlineType val="linear"/>
            <c:dispRSqr val="0"/>
            <c:dispEq val="0"/>
          </c:trendline>
          <c:trendline>
            <c:trendlineType val="linear"/>
            <c:dispRSqr val="0"/>
            <c:dispEq val="1"/>
            <c:trendlineLbl>
              <c:layout>
                <c:manualLayout>
                  <c:x val="0.3856765412629069"/>
                  <c:y val="0.27854650293065697"/>
                </c:manualLayout>
              </c:layout>
              <c:numFmt formatCode="General" sourceLinked="0"/>
            </c:trendlineLbl>
          </c:trendline>
          <c:trendline>
            <c:trendlineType val="linear"/>
            <c:dispRSqr val="1"/>
            <c:dispEq val="0"/>
            <c:trendlineLbl>
              <c:layout>
                <c:manualLayout>
                  <c:x val="0.36213596224060035"/>
                  <c:y val="0.16110263419145146"/>
                </c:manualLayout>
              </c:layout>
              <c:numFmt formatCode="General" sourceLinked="0"/>
            </c:trendlineLbl>
          </c:trendline>
          <c:xVal>
            <c:numRef>
              <c:f>'Weir Expansion Factors'!$B$24:$O$24</c:f>
              <c:numCache>
                <c:formatCode>#,##0</c:formatCode>
                <c:ptCount val="14"/>
                <c:pt idx="0">
                  <c:v>8979</c:v>
                </c:pt>
                <c:pt idx="1">
                  <c:v>2341</c:v>
                </c:pt>
                <c:pt idx="2">
                  <c:v>4125</c:v>
                </c:pt>
                <c:pt idx="3">
                  <c:v>5278</c:v>
                </c:pt>
                <c:pt idx="4">
                  <c:v>5385</c:v>
                </c:pt>
                <c:pt idx="5">
                  <c:v>6360</c:v>
                </c:pt>
                <c:pt idx="6">
                  <c:v>4013</c:v>
                </c:pt>
                <c:pt idx="7">
                  <c:v>2000</c:v>
                </c:pt>
                <c:pt idx="8">
                  <c:v>1568</c:v>
                </c:pt>
                <c:pt idx="9">
                  <c:v>3143</c:v>
                </c:pt>
                <c:pt idx="10">
                  <c:v>4862</c:v>
                </c:pt>
                <c:pt idx="11">
                  <c:v>4736</c:v>
                </c:pt>
                <c:pt idx="12">
                  <c:v>5415</c:v>
                </c:pt>
                <c:pt idx="13">
                  <c:v>5176</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4-C0CE-46C7-83EB-625C0DE44E31}"/>
            </c:ext>
          </c:extLst>
        </c:ser>
        <c:dLbls>
          <c:showLegendKey val="0"/>
          <c:showVal val="0"/>
          <c:showCatName val="0"/>
          <c:showSerName val="0"/>
          <c:showPercent val="0"/>
          <c:showBubbleSize val="0"/>
        </c:dLbls>
        <c:axId val="185802752"/>
        <c:axId val="185804672"/>
      </c:scatterChart>
      <c:valAx>
        <c:axId val="185802752"/>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5804672"/>
        <c:crosses val="autoZero"/>
        <c:crossBetween val="midCat"/>
      </c:valAx>
      <c:valAx>
        <c:axId val="185804672"/>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802752"/>
        <c:crosses val="autoZero"/>
        <c:crossBetween val="midCat"/>
      </c:valAx>
    </c:plotArea>
    <c:legend>
      <c:legendPos val="r"/>
      <c:legendEntry>
        <c:idx val="1"/>
        <c:delete val="1"/>
      </c:legendEntry>
      <c:legendEntry>
        <c:idx val="2"/>
        <c:delete val="1"/>
      </c:legendEntry>
      <c:layout>
        <c:manualLayout>
          <c:xMode val="edge"/>
          <c:yMode val="edge"/>
          <c:x val="0.70407103934343285"/>
          <c:y val="2.1162237532808399E-2"/>
          <c:w val="0.28885353797780389"/>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299"/>
          <c:y val="4.4492132783920148E-2"/>
          <c:w val="0.48008201632603231"/>
          <c:h val="0.74002697579469234"/>
        </c:manualLayout>
      </c:layout>
      <c:scatterChart>
        <c:scatterStyle val="lineMarker"/>
        <c:varyColors val="0"/>
        <c:ser>
          <c:idx val="0"/>
          <c:order val="0"/>
          <c:tx>
            <c:strRef>
              <c:f>'Weir Expansion Factors'!$A$25</c:f>
              <c:strCache>
                <c:ptCount val="1"/>
                <c:pt idx="0">
                  <c:v>30-Aug</c:v>
                </c:pt>
              </c:strCache>
            </c:strRef>
          </c:tx>
          <c:spPr>
            <a:ln w="28575">
              <a:noFill/>
            </a:ln>
          </c:spPr>
          <c:dLbls>
            <c:dLbl>
              <c:idx val="1"/>
              <c:layout>
                <c:manualLayout>
                  <c:x val="-4.7460844803037493E-2"/>
                  <c:y val="-0.131260794473229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71D-4BD8-81D3-5F7DE3CDB161}"/>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trendline>
            <c:trendlineType val="linear"/>
            <c:dispRSqr val="0"/>
            <c:dispEq val="0"/>
          </c:trendline>
          <c:trendline>
            <c:trendlineType val="linear"/>
            <c:dispRSqr val="0"/>
            <c:dispEq val="1"/>
            <c:trendlineLbl>
              <c:layout>
                <c:manualLayout>
                  <c:x val="0.3856765412629069"/>
                  <c:y val="0.27854650293065697"/>
                </c:manualLayout>
              </c:layout>
              <c:numFmt formatCode="General" sourceLinked="0"/>
            </c:trendlineLbl>
          </c:trendline>
          <c:trendline>
            <c:trendlineType val="linear"/>
            <c:dispRSqr val="1"/>
            <c:dispEq val="0"/>
            <c:trendlineLbl>
              <c:layout>
                <c:manualLayout>
                  <c:x val="0.36213596224060035"/>
                  <c:y val="0.16110263419145146"/>
                </c:manualLayout>
              </c:layout>
              <c:numFmt formatCode="General" sourceLinked="0"/>
            </c:trendlineLbl>
          </c:trendline>
          <c:xVal>
            <c:numRef>
              <c:f>'Weir Expansion Factors'!$B$25:$O$25</c:f>
              <c:numCache>
                <c:formatCode>#,##0</c:formatCode>
                <c:ptCount val="14"/>
                <c:pt idx="0">
                  <c:v>8995</c:v>
                </c:pt>
                <c:pt idx="1">
                  <c:v>2397</c:v>
                </c:pt>
                <c:pt idx="2">
                  <c:v>4125</c:v>
                </c:pt>
                <c:pt idx="3">
                  <c:v>5281</c:v>
                </c:pt>
                <c:pt idx="4">
                  <c:v>5416</c:v>
                </c:pt>
                <c:pt idx="5">
                  <c:v>6617</c:v>
                </c:pt>
                <c:pt idx="6">
                  <c:v>4013</c:v>
                </c:pt>
                <c:pt idx="7">
                  <c:v>2003</c:v>
                </c:pt>
                <c:pt idx="8">
                  <c:v>1570</c:v>
                </c:pt>
                <c:pt idx="9">
                  <c:v>3244</c:v>
                </c:pt>
                <c:pt idx="10">
                  <c:v>4866</c:v>
                </c:pt>
                <c:pt idx="11">
                  <c:v>4736</c:v>
                </c:pt>
                <c:pt idx="12">
                  <c:v>5416</c:v>
                </c:pt>
                <c:pt idx="13">
                  <c:v>5197</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4-E71D-4BD8-81D3-5F7DE3CDB161}"/>
            </c:ext>
          </c:extLst>
        </c:ser>
        <c:dLbls>
          <c:showLegendKey val="0"/>
          <c:showVal val="0"/>
          <c:showCatName val="0"/>
          <c:showSerName val="0"/>
          <c:showPercent val="0"/>
          <c:showBubbleSize val="0"/>
        </c:dLbls>
        <c:axId val="185828480"/>
        <c:axId val="185830400"/>
      </c:scatterChart>
      <c:valAx>
        <c:axId val="18582848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5830400"/>
        <c:crosses val="autoZero"/>
        <c:crossBetween val="midCat"/>
      </c:valAx>
      <c:valAx>
        <c:axId val="185830400"/>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828480"/>
        <c:crosses val="autoZero"/>
        <c:crossBetween val="midCat"/>
      </c:valAx>
    </c:plotArea>
    <c:legend>
      <c:legendPos val="r"/>
      <c:legendEntry>
        <c:idx val="1"/>
        <c:delete val="1"/>
      </c:legendEntry>
      <c:legendEntry>
        <c:idx val="2"/>
        <c:delete val="1"/>
      </c:legendEntry>
      <c:layout>
        <c:manualLayout>
          <c:xMode val="edge"/>
          <c:yMode val="edge"/>
          <c:x val="0.70407103934343285"/>
          <c:y val="2.1162237532808399E-2"/>
          <c:w val="0.28885353797780389"/>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02595149028299"/>
          <c:y val="4.4492132783920148E-2"/>
          <c:w val="0.48008201632603231"/>
          <c:h val="0.74002697579469234"/>
        </c:manualLayout>
      </c:layout>
      <c:scatterChart>
        <c:scatterStyle val="lineMarker"/>
        <c:varyColors val="0"/>
        <c:ser>
          <c:idx val="0"/>
          <c:order val="0"/>
          <c:tx>
            <c:strRef>
              <c:f>'Weir Expansion Factors'!$A$26</c:f>
              <c:strCache>
                <c:ptCount val="1"/>
                <c:pt idx="0">
                  <c:v>31-Aug</c:v>
                </c:pt>
              </c:strCache>
            </c:strRef>
          </c:tx>
          <c:spPr>
            <a:ln w="28575">
              <a:noFill/>
            </a:ln>
          </c:spPr>
          <c:dLbls>
            <c:dLbl>
              <c:idx val="1"/>
              <c:layout>
                <c:manualLayout>
                  <c:x val="-4.7460844803037493E-2"/>
                  <c:y val="-0.131260794473229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EDA-4C37-A891-5B5EA0BC247C}"/>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trendline>
            <c:trendlineType val="linear"/>
            <c:dispRSqr val="0"/>
            <c:dispEq val="0"/>
          </c:trendline>
          <c:trendline>
            <c:trendlineType val="linear"/>
            <c:dispRSqr val="0"/>
            <c:dispEq val="1"/>
            <c:trendlineLbl>
              <c:layout>
                <c:manualLayout>
                  <c:x val="0.3856765412629069"/>
                  <c:y val="0.27854650293065697"/>
                </c:manualLayout>
              </c:layout>
              <c:numFmt formatCode="General" sourceLinked="0"/>
            </c:trendlineLbl>
          </c:trendline>
          <c:trendline>
            <c:trendlineType val="linear"/>
            <c:dispRSqr val="1"/>
            <c:dispEq val="0"/>
            <c:trendlineLbl>
              <c:layout>
                <c:manualLayout>
                  <c:x val="0.36213596224060035"/>
                  <c:y val="0.16110263419145146"/>
                </c:manualLayout>
              </c:layout>
              <c:numFmt formatCode="General" sourceLinked="0"/>
            </c:trendlineLbl>
          </c:trendline>
          <c:xVal>
            <c:numRef>
              <c:f>'Weir Expansion Factors'!$B$26:$O$26</c:f>
              <c:numCache>
                <c:formatCode>#,##0</c:formatCode>
                <c:ptCount val="14"/>
                <c:pt idx="0">
                  <c:v>9013</c:v>
                </c:pt>
                <c:pt idx="1">
                  <c:v>3783</c:v>
                </c:pt>
                <c:pt idx="2">
                  <c:v>4139</c:v>
                </c:pt>
                <c:pt idx="3">
                  <c:v>5411</c:v>
                </c:pt>
                <c:pt idx="4">
                  <c:v>5450</c:v>
                </c:pt>
                <c:pt idx="5">
                  <c:v>6787</c:v>
                </c:pt>
                <c:pt idx="6">
                  <c:v>4144</c:v>
                </c:pt>
                <c:pt idx="7">
                  <c:v>2042</c:v>
                </c:pt>
                <c:pt idx="8">
                  <c:v>1572</c:v>
                </c:pt>
                <c:pt idx="9">
                  <c:v>3274</c:v>
                </c:pt>
                <c:pt idx="10">
                  <c:v>4869</c:v>
                </c:pt>
                <c:pt idx="11">
                  <c:v>4739</c:v>
                </c:pt>
                <c:pt idx="12">
                  <c:v>5441</c:v>
                </c:pt>
                <c:pt idx="13">
                  <c:v>5219</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4-5EDA-4C37-A891-5B5EA0BC247C}"/>
            </c:ext>
          </c:extLst>
        </c:ser>
        <c:dLbls>
          <c:showLegendKey val="0"/>
          <c:showVal val="0"/>
          <c:showCatName val="0"/>
          <c:showSerName val="0"/>
          <c:showPercent val="0"/>
          <c:showBubbleSize val="0"/>
        </c:dLbls>
        <c:axId val="185883648"/>
        <c:axId val="185894016"/>
      </c:scatterChart>
      <c:valAx>
        <c:axId val="185883648"/>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5894016"/>
        <c:crosses val="autoZero"/>
        <c:crossBetween val="midCat"/>
      </c:valAx>
      <c:valAx>
        <c:axId val="185894016"/>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883648"/>
        <c:crosses val="autoZero"/>
        <c:crossBetween val="midCat"/>
      </c:valAx>
    </c:plotArea>
    <c:legend>
      <c:legendPos val="r"/>
      <c:legendEntry>
        <c:idx val="1"/>
        <c:delete val="1"/>
      </c:legendEntry>
      <c:legendEntry>
        <c:idx val="2"/>
        <c:delete val="1"/>
      </c:legendEntry>
      <c:layout>
        <c:manualLayout>
          <c:xMode val="edge"/>
          <c:yMode val="edge"/>
          <c:x val="0.70407103934343285"/>
          <c:y val="2.1162237532808399E-2"/>
          <c:w val="0.28885353797780389"/>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33"/>
          <c:y val="5.1400554097404488E-2"/>
          <c:w val="0.55601924759405075"/>
          <c:h val="0.74002697579469234"/>
        </c:manualLayout>
      </c:layout>
      <c:scatterChart>
        <c:scatterStyle val="lineMarker"/>
        <c:varyColors val="0"/>
        <c:ser>
          <c:idx val="0"/>
          <c:order val="0"/>
          <c:tx>
            <c:strRef>
              <c:f>'Weir Expansion Factors'!$A$28</c:f>
              <c:strCache>
                <c:ptCount val="1"/>
                <c:pt idx="0">
                  <c:v>2-Sep</c:v>
                </c:pt>
              </c:strCache>
            </c:strRef>
          </c:tx>
          <c:spPr>
            <a:ln w="28575">
              <a:noFill/>
            </a:ln>
          </c:spPr>
          <c:trendline>
            <c:trendlineType val="linear"/>
            <c:dispRSqr val="1"/>
            <c:dispEq val="1"/>
            <c:trendlineLbl>
              <c:numFmt formatCode="General" sourceLinked="0"/>
            </c:trendlineLbl>
          </c:trendline>
          <c:xVal>
            <c:numRef>
              <c:f>'Weir Expansion Factors'!$B$28:$O$28</c:f>
              <c:numCache>
                <c:formatCode>#,##0</c:formatCode>
                <c:ptCount val="14"/>
                <c:pt idx="0">
                  <c:v>9143</c:v>
                </c:pt>
                <c:pt idx="1">
                  <c:v>6423</c:v>
                </c:pt>
                <c:pt idx="2">
                  <c:v>4143</c:v>
                </c:pt>
                <c:pt idx="3">
                  <c:v>6344</c:v>
                </c:pt>
                <c:pt idx="4">
                  <c:v>5491</c:v>
                </c:pt>
                <c:pt idx="5">
                  <c:v>6903</c:v>
                </c:pt>
                <c:pt idx="6">
                  <c:v>4144</c:v>
                </c:pt>
                <c:pt idx="7">
                  <c:v>2049</c:v>
                </c:pt>
                <c:pt idx="8">
                  <c:v>1575</c:v>
                </c:pt>
                <c:pt idx="9">
                  <c:v>3307</c:v>
                </c:pt>
                <c:pt idx="10">
                  <c:v>5359</c:v>
                </c:pt>
                <c:pt idx="11">
                  <c:v>4742</c:v>
                </c:pt>
                <c:pt idx="12">
                  <c:v>5468</c:v>
                </c:pt>
                <c:pt idx="13">
                  <c:v>6089</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1-4CF5-4319-8473-25328C5CE395}"/>
            </c:ext>
          </c:extLst>
        </c:ser>
        <c:dLbls>
          <c:showLegendKey val="0"/>
          <c:showVal val="0"/>
          <c:showCatName val="0"/>
          <c:showSerName val="0"/>
          <c:showPercent val="0"/>
          <c:showBubbleSize val="0"/>
        </c:dLbls>
        <c:axId val="185932416"/>
        <c:axId val="185934592"/>
      </c:scatterChart>
      <c:valAx>
        <c:axId val="185932416"/>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5934592"/>
        <c:crosses val="autoZero"/>
        <c:crossBetween val="midCat"/>
      </c:valAx>
      <c:valAx>
        <c:axId val="185934592"/>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932416"/>
        <c:crosses val="autoZero"/>
        <c:crossBetween val="midCat"/>
      </c:valAx>
    </c:plotArea>
    <c:legend>
      <c:legendPos val="r"/>
      <c:layout>
        <c:manualLayout>
          <c:xMode val="edge"/>
          <c:yMode val="edge"/>
          <c:x val="0.67566164755721392"/>
          <c:y val="3.413552851348127E-2"/>
          <c:w val="0.31105090755476184"/>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33"/>
          <c:y val="5.1400554097404488E-2"/>
          <c:w val="0.55601924759405075"/>
          <c:h val="0.74002697579469234"/>
        </c:manualLayout>
      </c:layout>
      <c:scatterChart>
        <c:scatterStyle val="lineMarker"/>
        <c:varyColors val="0"/>
        <c:ser>
          <c:idx val="0"/>
          <c:order val="0"/>
          <c:tx>
            <c:strRef>
              <c:f>'Weir Expansion Factors'!$A$29</c:f>
              <c:strCache>
                <c:ptCount val="1"/>
                <c:pt idx="0">
                  <c:v>3-Sep</c:v>
                </c:pt>
              </c:strCache>
            </c:strRef>
          </c:tx>
          <c:spPr>
            <a:ln w="28575">
              <a:noFill/>
            </a:ln>
          </c:spPr>
          <c:trendline>
            <c:trendlineType val="linear"/>
            <c:dispRSqr val="1"/>
            <c:dispEq val="1"/>
            <c:trendlineLbl>
              <c:numFmt formatCode="General" sourceLinked="0"/>
            </c:trendlineLbl>
          </c:trendline>
          <c:xVal>
            <c:numRef>
              <c:f>'Weir Expansion Factors'!$B$29:$O$29</c:f>
              <c:numCache>
                <c:formatCode>#,##0</c:formatCode>
                <c:ptCount val="14"/>
                <c:pt idx="0">
                  <c:v>9210</c:v>
                </c:pt>
                <c:pt idx="1">
                  <c:v>6633</c:v>
                </c:pt>
                <c:pt idx="2">
                  <c:v>4148</c:v>
                </c:pt>
                <c:pt idx="3">
                  <c:v>6411</c:v>
                </c:pt>
                <c:pt idx="4">
                  <c:v>6067</c:v>
                </c:pt>
                <c:pt idx="5">
                  <c:v>6936</c:v>
                </c:pt>
                <c:pt idx="6">
                  <c:v>4144</c:v>
                </c:pt>
                <c:pt idx="7">
                  <c:v>2050</c:v>
                </c:pt>
                <c:pt idx="8">
                  <c:v>1575</c:v>
                </c:pt>
                <c:pt idx="9">
                  <c:v>3312</c:v>
                </c:pt>
                <c:pt idx="10">
                  <c:v>5434</c:v>
                </c:pt>
                <c:pt idx="11">
                  <c:v>4751</c:v>
                </c:pt>
                <c:pt idx="12">
                  <c:v>5471</c:v>
                </c:pt>
                <c:pt idx="13">
                  <c:v>6105</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1-586B-4F9D-9666-29A922E4F13F}"/>
            </c:ext>
          </c:extLst>
        </c:ser>
        <c:dLbls>
          <c:showLegendKey val="0"/>
          <c:showVal val="0"/>
          <c:showCatName val="0"/>
          <c:showSerName val="0"/>
          <c:showPercent val="0"/>
          <c:showBubbleSize val="0"/>
        </c:dLbls>
        <c:axId val="185968128"/>
        <c:axId val="185970048"/>
      </c:scatterChart>
      <c:valAx>
        <c:axId val="185968128"/>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5970048"/>
        <c:crosses val="autoZero"/>
        <c:crossBetween val="midCat"/>
      </c:valAx>
      <c:valAx>
        <c:axId val="185970048"/>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5968128"/>
        <c:crosses val="autoZero"/>
        <c:crossBetween val="midCat"/>
      </c:valAx>
    </c:plotArea>
    <c:legend>
      <c:legendPos val="r"/>
      <c:layout>
        <c:manualLayout>
          <c:xMode val="edge"/>
          <c:yMode val="edge"/>
          <c:x val="0.67566164755721392"/>
          <c:y val="3.413552851348127E-2"/>
          <c:w val="0.31105090755476184"/>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33"/>
          <c:y val="5.1400554097404488E-2"/>
          <c:w val="0.55601924759405075"/>
          <c:h val="0.74002697579469234"/>
        </c:manualLayout>
      </c:layout>
      <c:scatterChart>
        <c:scatterStyle val="lineMarker"/>
        <c:varyColors val="0"/>
        <c:ser>
          <c:idx val="0"/>
          <c:order val="0"/>
          <c:tx>
            <c:strRef>
              <c:f>'Weir Expansion Factors'!$A$31</c:f>
              <c:strCache>
                <c:ptCount val="1"/>
                <c:pt idx="0">
                  <c:v>5-Sep</c:v>
                </c:pt>
              </c:strCache>
            </c:strRef>
          </c:tx>
          <c:spPr>
            <a:ln w="28575">
              <a:noFill/>
            </a:ln>
          </c:spPr>
          <c:trendline>
            <c:trendlineType val="linear"/>
            <c:dispRSqr val="1"/>
            <c:dispEq val="1"/>
            <c:trendlineLbl>
              <c:numFmt formatCode="General" sourceLinked="0"/>
            </c:trendlineLbl>
          </c:trendline>
          <c:xVal>
            <c:numRef>
              <c:f>'Weir Expansion Factors'!$B$31:$O$31</c:f>
              <c:numCache>
                <c:formatCode>#,##0</c:formatCode>
                <c:ptCount val="14"/>
                <c:pt idx="0">
                  <c:v>9540</c:v>
                </c:pt>
                <c:pt idx="1">
                  <c:v>6688</c:v>
                </c:pt>
                <c:pt idx="2">
                  <c:v>4255</c:v>
                </c:pt>
                <c:pt idx="3">
                  <c:v>6488</c:v>
                </c:pt>
                <c:pt idx="4">
                  <c:v>6669</c:v>
                </c:pt>
                <c:pt idx="5">
                  <c:v>7018</c:v>
                </c:pt>
                <c:pt idx="6">
                  <c:v>4144</c:v>
                </c:pt>
                <c:pt idx="7">
                  <c:v>2696</c:v>
                </c:pt>
                <c:pt idx="8">
                  <c:v>1581</c:v>
                </c:pt>
                <c:pt idx="9">
                  <c:v>3401</c:v>
                </c:pt>
                <c:pt idx="10">
                  <c:v>5513</c:v>
                </c:pt>
                <c:pt idx="11">
                  <c:v>4760</c:v>
                </c:pt>
                <c:pt idx="12">
                  <c:v>5515</c:v>
                </c:pt>
                <c:pt idx="13">
                  <c:v>6243</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1-12B3-4810-B190-8536DC120B5E}"/>
            </c:ext>
          </c:extLst>
        </c:ser>
        <c:dLbls>
          <c:showLegendKey val="0"/>
          <c:showVal val="0"/>
          <c:showCatName val="0"/>
          <c:showSerName val="0"/>
          <c:showPercent val="0"/>
          <c:showBubbleSize val="0"/>
        </c:dLbls>
        <c:axId val="186003840"/>
        <c:axId val="186005760"/>
      </c:scatterChart>
      <c:valAx>
        <c:axId val="18600384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6005760"/>
        <c:crosses val="autoZero"/>
        <c:crossBetween val="midCat"/>
      </c:valAx>
      <c:valAx>
        <c:axId val="186005760"/>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6003840"/>
        <c:crosses val="autoZero"/>
        <c:crossBetween val="midCat"/>
      </c:valAx>
    </c:plotArea>
    <c:legend>
      <c:legendPos val="r"/>
      <c:layout>
        <c:manualLayout>
          <c:xMode val="edge"/>
          <c:yMode val="edge"/>
          <c:x val="0.61735958726410223"/>
          <c:y val="7.2107989776387119E-2"/>
          <c:w val="0.36837291564969515"/>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33"/>
          <c:y val="5.1400554097404488E-2"/>
          <c:w val="0.55601924759405075"/>
          <c:h val="0.74002697579469234"/>
        </c:manualLayout>
      </c:layout>
      <c:scatterChart>
        <c:scatterStyle val="lineMarker"/>
        <c:varyColors val="0"/>
        <c:ser>
          <c:idx val="0"/>
          <c:order val="0"/>
          <c:tx>
            <c:strRef>
              <c:f>'Weir Expansion Factors'!$A$32</c:f>
              <c:strCache>
                <c:ptCount val="1"/>
                <c:pt idx="0">
                  <c:v>6-Sep</c:v>
                </c:pt>
              </c:strCache>
            </c:strRef>
          </c:tx>
          <c:spPr>
            <a:ln w="28575">
              <a:noFill/>
            </a:ln>
          </c:spPr>
          <c:trendline>
            <c:trendlineType val="linear"/>
            <c:dispRSqr val="1"/>
            <c:dispEq val="1"/>
            <c:trendlineLbl>
              <c:numFmt formatCode="General" sourceLinked="0"/>
            </c:trendlineLbl>
          </c:trendline>
          <c:xVal>
            <c:numRef>
              <c:f>'Weir Expansion Factors'!$B$32:$O$32</c:f>
              <c:numCache>
                <c:formatCode>#,##0</c:formatCode>
                <c:ptCount val="14"/>
                <c:pt idx="0">
                  <c:v>9558</c:v>
                </c:pt>
                <c:pt idx="1">
                  <c:v>6691</c:v>
                </c:pt>
                <c:pt idx="2">
                  <c:v>4289</c:v>
                </c:pt>
                <c:pt idx="3">
                  <c:v>6533</c:v>
                </c:pt>
                <c:pt idx="4">
                  <c:v>6794</c:v>
                </c:pt>
                <c:pt idx="5">
                  <c:v>7073</c:v>
                </c:pt>
                <c:pt idx="6">
                  <c:v>4144</c:v>
                </c:pt>
                <c:pt idx="7">
                  <c:v>3013</c:v>
                </c:pt>
                <c:pt idx="8">
                  <c:v>1589</c:v>
                </c:pt>
                <c:pt idx="9">
                  <c:v>3424</c:v>
                </c:pt>
                <c:pt idx="10">
                  <c:v>5528</c:v>
                </c:pt>
                <c:pt idx="11">
                  <c:v>4760</c:v>
                </c:pt>
                <c:pt idx="12">
                  <c:v>5516</c:v>
                </c:pt>
                <c:pt idx="13">
                  <c:v>6270</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1-912E-48B3-921D-602BFA287B0B}"/>
            </c:ext>
          </c:extLst>
        </c:ser>
        <c:dLbls>
          <c:showLegendKey val="0"/>
          <c:showVal val="0"/>
          <c:showCatName val="0"/>
          <c:showSerName val="0"/>
          <c:showPercent val="0"/>
          <c:showBubbleSize val="0"/>
        </c:dLbls>
        <c:axId val="186027008"/>
        <c:axId val="186029184"/>
      </c:scatterChart>
      <c:valAx>
        <c:axId val="186027008"/>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6029184"/>
        <c:crosses val="autoZero"/>
        <c:crossBetween val="midCat"/>
      </c:valAx>
      <c:valAx>
        <c:axId val="186029184"/>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6027008"/>
        <c:crosses val="autoZero"/>
        <c:crossBetween val="midCat"/>
      </c:valAx>
    </c:plotArea>
    <c:legend>
      <c:legendPos val="r"/>
      <c:layout>
        <c:manualLayout>
          <c:xMode val="edge"/>
          <c:yMode val="edge"/>
          <c:x val="0.62545012062171479"/>
          <c:y val="2.1162088072324312E-2"/>
          <c:w val="0.36837291564969515"/>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33"/>
          <c:y val="5.1400554097404488E-2"/>
          <c:w val="0.55601924759405075"/>
          <c:h val="0.74002697579469234"/>
        </c:manualLayout>
      </c:layout>
      <c:scatterChart>
        <c:scatterStyle val="lineMarker"/>
        <c:varyColors val="0"/>
        <c:ser>
          <c:idx val="0"/>
          <c:order val="0"/>
          <c:tx>
            <c:strRef>
              <c:f>'Weir Expansion Factors'!$A$33</c:f>
              <c:strCache>
                <c:ptCount val="1"/>
                <c:pt idx="0">
                  <c:v>7-Sep</c:v>
                </c:pt>
              </c:strCache>
            </c:strRef>
          </c:tx>
          <c:spPr>
            <a:ln w="28575">
              <a:noFill/>
            </a:ln>
          </c:spPr>
          <c:trendline>
            <c:trendlineType val="linear"/>
            <c:dispRSqr val="1"/>
            <c:dispEq val="1"/>
            <c:trendlineLbl>
              <c:numFmt formatCode="General" sourceLinked="0"/>
            </c:trendlineLbl>
          </c:trendline>
          <c:xVal>
            <c:numRef>
              <c:f>'Weir Expansion Factors'!$B$33:$O$33</c:f>
              <c:numCache>
                <c:formatCode>#,##0</c:formatCode>
                <c:ptCount val="14"/>
                <c:pt idx="0">
                  <c:v>9560</c:v>
                </c:pt>
                <c:pt idx="1">
                  <c:v>6702</c:v>
                </c:pt>
                <c:pt idx="2">
                  <c:v>4315</c:v>
                </c:pt>
                <c:pt idx="3">
                  <c:v>6563</c:v>
                </c:pt>
                <c:pt idx="4">
                  <c:v>7029</c:v>
                </c:pt>
                <c:pt idx="5">
                  <c:v>7201</c:v>
                </c:pt>
                <c:pt idx="6">
                  <c:v>4146</c:v>
                </c:pt>
                <c:pt idx="7">
                  <c:v>3058</c:v>
                </c:pt>
                <c:pt idx="8">
                  <c:v>1589</c:v>
                </c:pt>
                <c:pt idx="9">
                  <c:v>3424</c:v>
                </c:pt>
                <c:pt idx="10">
                  <c:v>5548</c:v>
                </c:pt>
                <c:pt idx="11">
                  <c:v>4760</c:v>
                </c:pt>
                <c:pt idx="12">
                  <c:v>5518</c:v>
                </c:pt>
                <c:pt idx="13">
                  <c:v>6292</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1-065D-4330-B19A-FD6B7417D07E}"/>
            </c:ext>
          </c:extLst>
        </c:ser>
        <c:dLbls>
          <c:showLegendKey val="0"/>
          <c:showVal val="0"/>
          <c:showCatName val="0"/>
          <c:showSerName val="0"/>
          <c:showPercent val="0"/>
          <c:showBubbleSize val="0"/>
        </c:dLbls>
        <c:axId val="186140544"/>
        <c:axId val="186142720"/>
      </c:scatterChart>
      <c:valAx>
        <c:axId val="186140544"/>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6142720"/>
        <c:crosses val="autoZero"/>
        <c:crossBetween val="midCat"/>
      </c:valAx>
      <c:valAx>
        <c:axId val="186142720"/>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6140544"/>
        <c:crosses val="autoZero"/>
        <c:crossBetween val="midCat"/>
      </c:valAx>
    </c:plotArea>
    <c:legend>
      <c:legendPos val="r"/>
      <c:layout>
        <c:manualLayout>
          <c:xMode val="edge"/>
          <c:yMode val="edge"/>
          <c:x val="0.62545012062171479"/>
          <c:y val="2.1162088072324312E-2"/>
          <c:w val="0.36837291564969515"/>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33"/>
          <c:y val="5.1400554097404488E-2"/>
          <c:w val="0.55601924759405075"/>
          <c:h val="0.74002697579469234"/>
        </c:manualLayout>
      </c:layout>
      <c:scatterChart>
        <c:scatterStyle val="lineMarker"/>
        <c:varyColors val="0"/>
        <c:ser>
          <c:idx val="0"/>
          <c:order val="0"/>
          <c:tx>
            <c:strRef>
              <c:f>'Weir Expansion Factors'!$A$34</c:f>
              <c:strCache>
                <c:ptCount val="1"/>
                <c:pt idx="0">
                  <c:v>8-Sep</c:v>
                </c:pt>
              </c:strCache>
            </c:strRef>
          </c:tx>
          <c:spPr>
            <a:ln w="28575">
              <a:noFill/>
            </a:ln>
          </c:spPr>
          <c:trendline>
            <c:trendlineType val="linear"/>
            <c:dispRSqr val="1"/>
            <c:dispEq val="1"/>
            <c:trendlineLbl>
              <c:numFmt formatCode="General" sourceLinked="0"/>
            </c:trendlineLbl>
          </c:trendline>
          <c:xVal>
            <c:numRef>
              <c:f>'Weir Expansion Factors'!$B$34:$O$34</c:f>
              <c:numCache>
                <c:formatCode>#,##0</c:formatCode>
                <c:ptCount val="14"/>
                <c:pt idx="0">
                  <c:v>9573</c:v>
                </c:pt>
                <c:pt idx="1">
                  <c:v>6713</c:v>
                </c:pt>
                <c:pt idx="2">
                  <c:v>4323</c:v>
                </c:pt>
                <c:pt idx="3">
                  <c:v>6589</c:v>
                </c:pt>
                <c:pt idx="4">
                  <c:v>7178</c:v>
                </c:pt>
                <c:pt idx="5">
                  <c:v>7227</c:v>
                </c:pt>
                <c:pt idx="6">
                  <c:v>4150</c:v>
                </c:pt>
                <c:pt idx="7">
                  <c:v>3075</c:v>
                </c:pt>
                <c:pt idx="8">
                  <c:v>1599</c:v>
                </c:pt>
                <c:pt idx="9">
                  <c:v>3460</c:v>
                </c:pt>
                <c:pt idx="10">
                  <c:v>5567</c:v>
                </c:pt>
                <c:pt idx="11">
                  <c:v>4769</c:v>
                </c:pt>
                <c:pt idx="12">
                  <c:v>5531</c:v>
                </c:pt>
                <c:pt idx="13">
                  <c:v>6300</c:v>
                </c:pt>
              </c:numCache>
            </c:numRef>
          </c:xVal>
          <c:yVal>
            <c:numRef>
              <c:f>'Weir Expansion Factors'!$B$35:$O$35</c:f>
              <c:numCache>
                <c:formatCode>#,##0</c:formatCode>
                <c:ptCount val="14"/>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pt idx="13">
                  <c:v>6426</c:v>
                </c:pt>
              </c:numCache>
            </c:numRef>
          </c:yVal>
          <c:smooth val="0"/>
          <c:extLst>
            <c:ext xmlns:c16="http://schemas.microsoft.com/office/drawing/2014/chart" uri="{C3380CC4-5D6E-409C-BE32-E72D297353CC}">
              <c16:uniqueId val="{00000001-138C-47EA-B8AF-4C338DC5116C}"/>
            </c:ext>
          </c:extLst>
        </c:ser>
        <c:dLbls>
          <c:showLegendKey val="0"/>
          <c:showVal val="0"/>
          <c:showCatName val="0"/>
          <c:showSerName val="0"/>
          <c:showPercent val="0"/>
          <c:showBubbleSize val="0"/>
        </c:dLbls>
        <c:axId val="186176640"/>
        <c:axId val="186178560"/>
      </c:scatterChart>
      <c:valAx>
        <c:axId val="18617664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86178560"/>
        <c:crosses val="autoZero"/>
        <c:crossBetween val="midCat"/>
      </c:valAx>
      <c:valAx>
        <c:axId val="186178560"/>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86176640"/>
        <c:crosses val="autoZero"/>
        <c:crossBetween val="midCat"/>
      </c:valAx>
    </c:plotArea>
    <c:legend>
      <c:legendPos val="r"/>
      <c:layout>
        <c:manualLayout>
          <c:xMode val="edge"/>
          <c:yMode val="edge"/>
          <c:x val="0.62545012062171479"/>
          <c:y val="2.1162088072324312E-2"/>
          <c:w val="0.36837291564969515"/>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50240594925633"/>
          <c:y val="5.1400554097404488E-2"/>
          <c:w val="0.55601924759405075"/>
          <c:h val="0.74002697579469234"/>
        </c:manualLayout>
      </c:layout>
      <c:scatterChart>
        <c:scatterStyle val="lineMarker"/>
        <c:varyColors val="0"/>
        <c:ser>
          <c:idx val="0"/>
          <c:order val="0"/>
          <c:tx>
            <c:strRef>
              <c:f>'Weir Expansion Factors'!$A$33</c:f>
              <c:strCache>
                <c:ptCount val="1"/>
                <c:pt idx="0">
                  <c:v>7-Sep</c:v>
                </c:pt>
              </c:strCache>
            </c:strRef>
          </c:tx>
          <c:spPr>
            <a:ln w="28575">
              <a:noFill/>
            </a:ln>
          </c:spPr>
          <c:trendline>
            <c:trendlineType val="linear"/>
            <c:dispRSqr val="0"/>
            <c:dispEq val="0"/>
          </c:trendline>
          <c:trendline>
            <c:trendlineType val="linear"/>
            <c:dispRSqr val="1"/>
            <c:dispEq val="1"/>
            <c:trendlineLbl>
              <c:layout>
                <c:manualLayout>
                  <c:x val="0.43400534838805532"/>
                  <c:y val="9.4888451443569555E-2"/>
                </c:manualLayout>
              </c:layout>
              <c:numFmt formatCode="General" sourceLinked="0"/>
            </c:trendlineLbl>
          </c:trendline>
          <c:xVal>
            <c:numRef>
              <c:f>'Weir Expansion Factors'!$B$33:$O$33</c:f>
              <c:numCache>
                <c:formatCode>#,##0</c:formatCode>
                <c:ptCount val="14"/>
                <c:pt idx="0">
                  <c:v>9560</c:v>
                </c:pt>
                <c:pt idx="1">
                  <c:v>6702</c:v>
                </c:pt>
                <c:pt idx="2">
                  <c:v>4315</c:v>
                </c:pt>
                <c:pt idx="3">
                  <c:v>6563</c:v>
                </c:pt>
                <c:pt idx="4">
                  <c:v>7029</c:v>
                </c:pt>
                <c:pt idx="5">
                  <c:v>7201</c:v>
                </c:pt>
                <c:pt idx="6">
                  <c:v>4146</c:v>
                </c:pt>
                <c:pt idx="7">
                  <c:v>3058</c:v>
                </c:pt>
                <c:pt idx="8">
                  <c:v>1589</c:v>
                </c:pt>
                <c:pt idx="9">
                  <c:v>3424</c:v>
                </c:pt>
                <c:pt idx="10">
                  <c:v>5548</c:v>
                </c:pt>
                <c:pt idx="11">
                  <c:v>4760</c:v>
                </c:pt>
                <c:pt idx="12">
                  <c:v>5518</c:v>
                </c:pt>
                <c:pt idx="13">
                  <c:v>6292</c:v>
                </c:pt>
              </c:numCache>
            </c:numRef>
          </c:xVal>
          <c:yVal>
            <c:numRef>
              <c:f>'Weir Expansion Factors'!$B$35:$N$35</c:f>
              <c:numCache>
                <c:formatCode>#,##0</c:formatCode>
                <c:ptCount val="13"/>
                <c:pt idx="0">
                  <c:v>10484</c:v>
                </c:pt>
                <c:pt idx="1">
                  <c:v>8201</c:v>
                </c:pt>
                <c:pt idx="2">
                  <c:v>5071</c:v>
                </c:pt>
                <c:pt idx="3">
                  <c:v>7014</c:v>
                </c:pt>
                <c:pt idx="4">
                  <c:v>7813</c:v>
                </c:pt>
                <c:pt idx="5">
                  <c:v>7549</c:v>
                </c:pt>
                <c:pt idx="6">
                  <c:v>4165</c:v>
                </c:pt>
                <c:pt idx="7">
                  <c:v>3099</c:v>
                </c:pt>
                <c:pt idx="8">
                  <c:v>1763</c:v>
                </c:pt>
                <c:pt idx="9">
                  <c:v>3689</c:v>
                </c:pt>
                <c:pt idx="10">
                  <c:v>5640</c:v>
                </c:pt>
                <c:pt idx="11">
                  <c:v>4777</c:v>
                </c:pt>
                <c:pt idx="12">
                  <c:v>5681</c:v>
                </c:pt>
              </c:numCache>
            </c:numRef>
          </c:yVal>
          <c:smooth val="0"/>
          <c:extLst>
            <c:ext xmlns:c16="http://schemas.microsoft.com/office/drawing/2014/chart" uri="{C3380CC4-5D6E-409C-BE32-E72D297353CC}">
              <c16:uniqueId val="{00000002-5F77-4C8A-B371-EF5F1E9553AA}"/>
            </c:ext>
          </c:extLst>
        </c:ser>
        <c:dLbls>
          <c:showLegendKey val="0"/>
          <c:showVal val="0"/>
          <c:showCatName val="0"/>
          <c:showSerName val="0"/>
          <c:showPercent val="0"/>
          <c:showBubbleSize val="0"/>
        </c:dLbls>
        <c:axId val="159791360"/>
        <c:axId val="159797632"/>
      </c:scatterChart>
      <c:valAx>
        <c:axId val="159791360"/>
        <c:scaling>
          <c:orientation val="minMax"/>
        </c:scaling>
        <c:delete val="0"/>
        <c:axPos val="b"/>
        <c:title>
          <c:tx>
            <c:rich>
              <a:bodyPr/>
              <a:lstStyle/>
              <a:p>
                <a:pPr>
                  <a:defRPr/>
                </a:pPr>
                <a:r>
                  <a:rPr lang="en-US"/>
                  <a:t>Cumulative Weir Counts</a:t>
                </a:r>
              </a:p>
            </c:rich>
          </c:tx>
          <c:overlay val="0"/>
        </c:title>
        <c:numFmt formatCode="#,##0" sourceLinked="1"/>
        <c:majorTickMark val="out"/>
        <c:minorTickMark val="none"/>
        <c:tickLblPos val="nextTo"/>
        <c:crossAx val="159797632"/>
        <c:crosses val="autoZero"/>
        <c:crossBetween val="midCat"/>
      </c:valAx>
      <c:valAx>
        <c:axId val="159797632"/>
        <c:scaling>
          <c:orientation val="minMax"/>
        </c:scaling>
        <c:delete val="0"/>
        <c:axPos val="l"/>
        <c:majorGridlines/>
        <c:title>
          <c:tx>
            <c:rich>
              <a:bodyPr rot="-5400000" vert="horz"/>
              <a:lstStyle/>
              <a:p>
                <a:pPr>
                  <a:defRPr/>
                </a:pPr>
                <a:r>
                  <a:rPr lang="en-US"/>
                  <a:t>Total Weir Count</a:t>
                </a:r>
              </a:p>
            </c:rich>
          </c:tx>
          <c:overlay val="0"/>
        </c:title>
        <c:numFmt formatCode="#,##0" sourceLinked="1"/>
        <c:majorTickMark val="out"/>
        <c:minorTickMark val="none"/>
        <c:tickLblPos val="nextTo"/>
        <c:crossAx val="159791360"/>
        <c:crosses val="autoZero"/>
        <c:crossBetween val="midCat"/>
      </c:valAx>
    </c:plotArea>
    <c:legend>
      <c:legendPos val="r"/>
      <c:layout>
        <c:manualLayout>
          <c:xMode val="edge"/>
          <c:yMode val="edge"/>
          <c:x val="0.84018496508691087"/>
          <c:y val="5.5372375328083994E-3"/>
          <c:w val="0.15273956321497548"/>
          <c:h val="0.10975885826771653"/>
        </c:manualLayout>
      </c:layout>
      <c:overlay val="0"/>
      <c:txPr>
        <a:bodyPr/>
        <a:lstStyle/>
        <a:p>
          <a:pPr>
            <a:defRPr sz="800"/>
          </a:pPr>
          <a:endParaRPr lang="en-U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a:latin typeface="+mj-lt"/>
              </a:defRPr>
            </a:pPr>
            <a:r>
              <a:rPr lang="en-US" sz="1200" b="1">
                <a:latin typeface="+mj-lt"/>
              </a:rPr>
              <a:t>Linear Regression Confidence Intervals</a:t>
            </a:r>
          </a:p>
        </c:rich>
      </c:tx>
      <c:layout>
        <c:manualLayout>
          <c:xMode val="edge"/>
          <c:yMode val="edge"/>
          <c:x val="0.30792494481236238"/>
          <c:y val="3.2258064516129052E-2"/>
        </c:manualLayout>
      </c:layout>
      <c:overlay val="1"/>
    </c:title>
    <c:autoTitleDeleted val="0"/>
    <c:plotArea>
      <c:layout>
        <c:manualLayout>
          <c:layoutTarget val="inner"/>
          <c:xMode val="edge"/>
          <c:yMode val="edge"/>
          <c:x val="0.18595522414002896"/>
          <c:y val="0.1269765472864279"/>
          <c:w val="0.78067146408023502"/>
          <c:h val="0.55566082465498301"/>
        </c:manualLayout>
      </c:layout>
      <c:scatterChart>
        <c:scatterStyle val="lineMarker"/>
        <c:varyColors val="0"/>
        <c:ser>
          <c:idx val="0"/>
          <c:order val="0"/>
          <c:spPr>
            <a:ln w="25400">
              <a:noFill/>
            </a:ln>
          </c:spPr>
          <c:marker>
            <c:symbol val="diamond"/>
            <c:size val="5"/>
            <c:spPr>
              <a:solidFill>
                <a:srgbClr val="00B050"/>
              </a:solidFill>
            </c:spPr>
          </c:marker>
          <c:trendline>
            <c:spPr>
              <a:ln>
                <a:noFill/>
              </a:ln>
            </c:spPr>
            <c:trendlineType val="linear"/>
            <c:dispRSqr val="0"/>
            <c:dispEq val="0"/>
          </c:trendline>
          <c:errBars>
            <c:errDir val="y"/>
            <c:errBarType val="both"/>
            <c:errValType val="cust"/>
            <c:noEndCap val="0"/>
            <c:plus>
              <c:numRef>
                <c:f>'Weir Expansions'!$B$25:$Q$25</c:f>
                <c:numCache>
                  <c:formatCode>General</c:formatCode>
                  <c:ptCount val="16"/>
                  <c:pt idx="0">
                    <c:v>985.85338892779134</c:v>
                  </c:pt>
                  <c:pt idx="1">
                    <c:v>3668.8432394591896</c:v>
                  </c:pt>
                  <c:pt idx="2">
                    <c:v>3516.6986603215878</c:v>
                  </c:pt>
                  <c:pt idx="3">
                    <c:v>4331.9925139268835</c:v>
                  </c:pt>
                  <c:pt idx="4">
                    <c:v>3079.8765779874702</c:v>
                  </c:pt>
                  <c:pt idx="5">
                    <c:v>1299.4405076285618</c:v>
                  </c:pt>
                  <c:pt idx="6">
                    <c:v>7393.2787624306475</c:v>
                  </c:pt>
                  <c:pt idx="7">
                    <c:v>4013.0051353494741</c:v>
                  </c:pt>
                  <c:pt idx="8">
                    <c:v>4494.4425441732237</c:v>
                  </c:pt>
                  <c:pt idx="9">
                    <c:v>1146.0425123729303</c:v>
                  </c:pt>
                  <c:pt idx="10">
                    <c:v>2051.6278886408254</c:v>
                  </c:pt>
                  <c:pt idx="11">
                    <c:v>1629.79885166285</c:v>
                  </c:pt>
                  <c:pt idx="12">
                    <c:v>5699.901200970834</c:v>
                  </c:pt>
                  <c:pt idx="13">
                    <c:v>4380.5854635340747</c:v>
                  </c:pt>
                  <c:pt idx="14">
                    <c:v>2829.5680124107216</c:v>
                  </c:pt>
                  <c:pt idx="15">
                    <c:v>1774.9579293138625</c:v>
                  </c:pt>
                </c:numCache>
              </c:numRef>
            </c:plus>
            <c:minus>
              <c:numRef>
                <c:f>'Weir Expansions'!$B$25:$Q$25</c:f>
                <c:numCache>
                  <c:formatCode>General</c:formatCode>
                  <c:ptCount val="16"/>
                  <c:pt idx="0">
                    <c:v>985.85338892779134</c:v>
                  </c:pt>
                  <c:pt idx="1">
                    <c:v>3668.8432394591896</c:v>
                  </c:pt>
                  <c:pt idx="2">
                    <c:v>3516.6986603215878</c:v>
                  </c:pt>
                  <c:pt idx="3">
                    <c:v>4331.9925139268835</c:v>
                  </c:pt>
                  <c:pt idx="4">
                    <c:v>3079.8765779874702</c:v>
                  </c:pt>
                  <c:pt idx="5">
                    <c:v>1299.4405076285618</c:v>
                  </c:pt>
                  <c:pt idx="6">
                    <c:v>7393.2787624306475</c:v>
                  </c:pt>
                  <c:pt idx="7">
                    <c:v>4013.0051353494741</c:v>
                  </c:pt>
                  <c:pt idx="8">
                    <c:v>4494.4425441732237</c:v>
                  </c:pt>
                  <c:pt idx="9">
                    <c:v>1146.0425123729303</c:v>
                  </c:pt>
                  <c:pt idx="10">
                    <c:v>2051.6278886408254</c:v>
                  </c:pt>
                  <c:pt idx="11">
                    <c:v>1629.79885166285</c:v>
                  </c:pt>
                  <c:pt idx="12">
                    <c:v>5699.901200970834</c:v>
                  </c:pt>
                  <c:pt idx="13">
                    <c:v>4380.5854635340747</c:v>
                  </c:pt>
                  <c:pt idx="14">
                    <c:v>2829.5680124107216</c:v>
                  </c:pt>
                  <c:pt idx="15">
                    <c:v>1774.9579293138625</c:v>
                  </c:pt>
                </c:numCache>
              </c:numRef>
            </c:minus>
            <c:spPr>
              <a:ln w="12700">
                <a:solidFill>
                  <a:srgbClr val="000000"/>
                </a:solidFill>
                <a:prstDash val="solid"/>
              </a:ln>
            </c:spPr>
          </c:errBars>
          <c:xVal>
            <c:numRef>
              <c:f>'Weir Expansions'!$B$4:$Q$4</c:f>
              <c:numCache>
                <c:formatCode>General</c:formatCode>
                <c:ptCount val="16"/>
                <c:pt idx="0">
                  <c:v>1984</c:v>
                </c:pt>
                <c:pt idx="1">
                  <c:v>1985</c:v>
                </c:pt>
                <c:pt idx="2">
                  <c:v>1986</c:v>
                </c:pt>
                <c:pt idx="3">
                  <c:v>1987</c:v>
                </c:pt>
                <c:pt idx="4">
                  <c:v>1988</c:v>
                </c:pt>
                <c:pt idx="5">
                  <c:v>1989</c:v>
                </c:pt>
                <c:pt idx="6">
                  <c:v>1990</c:v>
                </c:pt>
                <c:pt idx="7">
                  <c:v>1991</c:v>
                </c:pt>
                <c:pt idx="8">
                  <c:v>1992</c:v>
                </c:pt>
                <c:pt idx="9">
                  <c:v>1995</c:v>
                </c:pt>
                <c:pt idx="10">
                  <c:v>1996</c:v>
                </c:pt>
                <c:pt idx="11">
                  <c:v>1997</c:v>
                </c:pt>
                <c:pt idx="12">
                  <c:v>1998</c:v>
                </c:pt>
                <c:pt idx="13">
                  <c:v>1999</c:v>
                </c:pt>
                <c:pt idx="14">
                  <c:v>2000</c:v>
                </c:pt>
                <c:pt idx="15">
                  <c:v>2001</c:v>
                </c:pt>
              </c:numCache>
            </c:numRef>
          </c:xVal>
          <c:yVal>
            <c:numRef>
              <c:f>'Weir Expansions'!$B$15:$Q$15</c:f>
              <c:numCache>
                <c:formatCode>#,##0</c:formatCode>
                <c:ptCount val="16"/>
                <c:pt idx="0">
                  <c:v>10619.443567532897</c:v>
                </c:pt>
                <c:pt idx="1">
                  <c:v>8157.0449090643469</c:v>
                </c:pt>
                <c:pt idx="2">
                  <c:v>7037.0656567450678</c:v>
                </c:pt>
                <c:pt idx="3">
                  <c:v>10257.416001624877</c:v>
                </c:pt>
                <c:pt idx="4">
                  <c:v>1818.6586926127331</c:v>
                </c:pt>
                <c:pt idx="5">
                  <c:v>14198.149499668281</c:v>
                </c:pt>
                <c:pt idx="6">
                  <c:v>18308.698954346499</c:v>
                </c:pt>
                <c:pt idx="7">
                  <c:v>1917.9499623449403</c:v>
                </c:pt>
                <c:pt idx="8">
                  <c:v>10299.108639223201</c:v>
                </c:pt>
                <c:pt idx="9">
                  <c:v>8201.4626751558026</c:v>
                </c:pt>
                <c:pt idx="10">
                  <c:v>12081.971469848308</c:v>
                </c:pt>
                <c:pt idx="11">
                  <c:v>5837.7699100430364</c:v>
                </c:pt>
                <c:pt idx="12">
                  <c:v>13858.295208905085</c:v>
                </c:pt>
                <c:pt idx="13">
                  <c:v>11060.254266462505</c:v>
                </c:pt>
                <c:pt idx="14">
                  <c:v>8010.6622381146835</c:v>
                </c:pt>
                <c:pt idx="15">
                  <c:v>9349.3445884490502</c:v>
                </c:pt>
              </c:numCache>
            </c:numRef>
          </c:yVal>
          <c:smooth val="0"/>
          <c:extLst>
            <c:ext xmlns:c16="http://schemas.microsoft.com/office/drawing/2014/chart" uri="{C3380CC4-5D6E-409C-BE32-E72D297353CC}">
              <c16:uniqueId val="{00000001-FBAE-4564-9208-8E5CCCCA3F6A}"/>
            </c:ext>
          </c:extLst>
        </c:ser>
        <c:dLbls>
          <c:showLegendKey val="0"/>
          <c:showVal val="0"/>
          <c:showCatName val="0"/>
          <c:showSerName val="0"/>
          <c:showPercent val="0"/>
          <c:showBubbleSize val="0"/>
        </c:dLbls>
        <c:axId val="159835648"/>
        <c:axId val="159837568"/>
      </c:scatterChart>
      <c:valAx>
        <c:axId val="159835648"/>
        <c:scaling>
          <c:orientation val="minMax"/>
        </c:scaling>
        <c:delete val="0"/>
        <c:axPos val="b"/>
        <c:title>
          <c:tx>
            <c:rich>
              <a:bodyPr/>
              <a:lstStyle/>
              <a:p>
                <a:pPr>
                  <a:defRPr sz="1600">
                    <a:latin typeface="+mj-lt"/>
                  </a:defRPr>
                </a:pPr>
                <a:r>
                  <a:rPr lang="en-US" sz="1600">
                    <a:latin typeface="+mj-lt"/>
                  </a:rPr>
                  <a:t>Year</a:t>
                </a:r>
              </a:p>
            </c:rich>
          </c:tx>
          <c:overlay val="0"/>
        </c:title>
        <c:numFmt formatCode="General" sourceLinked="1"/>
        <c:majorTickMark val="out"/>
        <c:minorTickMark val="none"/>
        <c:tickLblPos val="low"/>
        <c:spPr>
          <a:ln w="3175">
            <a:solidFill>
              <a:srgbClr val="000000"/>
            </a:solidFill>
            <a:prstDash val="solid"/>
          </a:ln>
        </c:spPr>
        <c:txPr>
          <a:bodyPr rot="-5400000" vert="horz"/>
          <a:lstStyle/>
          <a:p>
            <a:pPr>
              <a:defRPr sz="1100" b="0" i="0" u="none" strike="noStrike" baseline="0">
                <a:solidFill>
                  <a:srgbClr val="000000"/>
                </a:solidFill>
                <a:latin typeface="+mj-lt"/>
                <a:ea typeface="Arial"/>
                <a:cs typeface="Arial"/>
              </a:defRPr>
            </a:pPr>
            <a:endParaRPr lang="en-US"/>
          </a:p>
        </c:txPr>
        <c:crossAx val="159837568"/>
        <c:crosses val="autoZero"/>
        <c:crossBetween val="midCat"/>
        <c:majorUnit val="1"/>
        <c:minorUnit val="1"/>
      </c:valAx>
      <c:valAx>
        <c:axId val="159837568"/>
        <c:scaling>
          <c:orientation val="minMax"/>
          <c:max val="25000"/>
        </c:scaling>
        <c:delete val="0"/>
        <c:axPos val="l"/>
        <c:title>
          <c:tx>
            <c:rich>
              <a:bodyPr rot="-5400000" vert="horz"/>
              <a:lstStyle/>
              <a:p>
                <a:pPr>
                  <a:defRPr sz="1400">
                    <a:latin typeface="+mj-lt"/>
                  </a:defRPr>
                </a:pPr>
                <a:r>
                  <a:rPr lang="en-US" sz="1400">
                    <a:latin typeface="+mj-lt"/>
                  </a:rPr>
                  <a:t>Expanded </a:t>
                </a:r>
              </a:p>
              <a:p>
                <a:pPr>
                  <a:defRPr sz="1400">
                    <a:latin typeface="+mj-lt"/>
                  </a:defRPr>
                </a:pPr>
                <a:r>
                  <a:rPr lang="en-US" sz="1400">
                    <a:latin typeface="+mj-lt"/>
                  </a:rPr>
                  <a:t>Weir Counts</a:t>
                </a:r>
              </a:p>
            </c:rich>
          </c:tx>
          <c:layout>
            <c:manualLayout>
              <c:xMode val="edge"/>
              <c:yMode val="edge"/>
              <c:x val="1.3921711772783377E-2"/>
              <c:y val="0.22933621200575735"/>
            </c:manualLayout>
          </c:layout>
          <c:overlay val="0"/>
        </c:title>
        <c:numFmt formatCode="#,##0"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mj-lt"/>
                <a:ea typeface="Arial"/>
                <a:cs typeface="Arial"/>
              </a:defRPr>
            </a:pPr>
            <a:endParaRPr lang="en-US"/>
          </a:p>
        </c:txPr>
        <c:crossAx val="159835648"/>
        <c:crosses val="autoZero"/>
        <c:crossBetween val="midCat"/>
      </c:valAx>
      <c:spPr>
        <a:noFill/>
        <a:ln w="25400">
          <a:noFill/>
        </a:ln>
      </c:spPr>
    </c:plotArea>
    <c:plotVisOnly val="1"/>
    <c:dispBlanksAs val="gap"/>
    <c:showDLblsOverMax val="0"/>
  </c:chart>
  <c:spPr>
    <a:solidFill>
      <a:schemeClr val="bg1"/>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n-US"/>
    </a:p>
  </c:txPr>
  <c:printSettings>
    <c:headerFooter alignWithMargins="0"/>
    <c:pageMargins b="1" l="0.75000000000000033" r="0.75000000000000033" t="1" header="0.5" footer="0.5"/>
    <c:pageSetup orientation="portrait"/>
  </c:printSettings>
</c:chartSpac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vmlDrawing3.v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wmf"/><Relationship Id="rId1" Type="http://schemas.openxmlformats.org/officeDocument/2006/relationships/image" Target="../media/image1.wmf"/><Relationship Id="rId4"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5.emf"/><Relationship Id="rId1" Type="http://schemas.openxmlformats.org/officeDocument/2006/relationships/image" Target="../media/image2.wmf"/><Relationship Id="rId5" Type="http://schemas.openxmlformats.org/officeDocument/2006/relationships/image" Target="../media/image6.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xdr:col>
      <xdr:colOff>57150</xdr:colOff>
      <xdr:row>43</xdr:row>
      <xdr:rowOff>95250</xdr:rowOff>
    </xdr:from>
    <xdr:to>
      <xdr:col>8</xdr:col>
      <xdr:colOff>619125</xdr:colOff>
      <xdr:row>73</xdr:row>
      <xdr:rowOff>76200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81990" y="7273290"/>
          <a:ext cx="5415915" cy="520827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From Riffe and Clark (2003; Table 1, p. 14):</a:t>
          </a:r>
          <a:r>
            <a:rPr lang="en-US" sz="1100" baseline="0">
              <a:solidFill>
                <a:schemeClr val="dk1"/>
              </a:solidFill>
              <a:latin typeface="+mn-lt"/>
              <a:ea typeface="+mn-ea"/>
              <a:cs typeface="+mn-cs"/>
            </a:rPr>
            <a:t>  </a:t>
          </a:r>
          <a:r>
            <a:rPr lang="en-US" sz="1100">
              <a:solidFill>
                <a:schemeClr val="dk1"/>
              </a:solidFill>
              <a:latin typeface="+mn-lt"/>
              <a:ea typeface="+mn-ea"/>
              <a:cs typeface="+mn-cs"/>
            </a:rPr>
            <a:t>The otolith-brain parasite-scale pattern stock identification program provides age specific estimates of the harvest of various stocks of sockeye salmon in District 111. Estimates provided from this sampling program are age specific for the four major age classes (fish of age- 1.2, 1.3, 2.2, and 2.3), while the freshwater age- 0 fish are lumped together, as are the other age classes that make up a minor portion of the harvest. Since sockeye salmon released from Snettisham Hatchery are otolith marked, when terminal fisheries prosecuted near the hatchery are sampled, the portion of the harvest without otolith marks is assumed to be wild Speel Lake fish (column 8), and age compositions from the general district harvest are assigned to those fish. Sockeye salmon harvest estimates for 2002 are not yet available. </a:t>
          </a:r>
          <a:endParaRPr lang="en-US" sz="1100" baseline="0">
            <a:solidFill>
              <a:schemeClr val="dk1"/>
            </a:solidFill>
            <a:latin typeface="+mn-lt"/>
            <a:ea typeface="+mn-ea"/>
            <a:cs typeface="+mn-cs"/>
          </a:endParaRPr>
        </a:p>
        <a:p>
          <a:endParaRPr lang="en-US" sz="1100" baseline="0">
            <a:solidFill>
              <a:schemeClr val="dk1"/>
            </a:solidFill>
            <a:latin typeface="+mn-lt"/>
            <a:ea typeface="+mn-ea"/>
            <a:cs typeface="+mn-cs"/>
          </a:endParaRPr>
        </a:p>
        <a:p>
          <a:r>
            <a:rPr lang="en-US" sz="1100"/>
            <a:t>(From Kathleen Jensen 7-25-2011):</a:t>
          </a:r>
          <a:r>
            <a:rPr lang="en-US" sz="1100" baseline="0"/>
            <a:t> </a:t>
          </a:r>
          <a:r>
            <a:rPr lang="en-US" sz="1100"/>
            <a:t>The otolith is for all ages - split out hatchery vs wild by age.  We only do bp for the fish we digitize and only do age-1.2 and 1.3 in District 111.  There aren't enough of the other ages for either the known or unknown age samples.  These ages, 2.2, 2.3, and other are apportioned based on the abundance of age x stock y from the digitized ages and the abundance of of age x in stock y escapement.  I can get you the formula if you want.  Age 0 are all assumed to be Taku  mainstem since the only escapement where we find this age-class. District 106 and 108 we digitize 1.2, 1.3, 2.2, and 2.3.  Age 0 are mainstem and minor ages are apportioned based on the overall relative abundance of stock x for the digitized scales.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57</xdr:col>
      <xdr:colOff>272415</xdr:colOff>
      <xdr:row>16</xdr:row>
      <xdr:rowOff>45721</xdr:rowOff>
    </xdr:from>
    <xdr:to>
      <xdr:col>62</xdr:col>
      <xdr:colOff>60960</xdr:colOff>
      <xdr:row>25</xdr:row>
      <xdr:rowOff>15241</xdr:rowOff>
    </xdr:to>
    <xdr:graphicFrame macro="">
      <xdr:nvGraphicFramePr>
        <xdr:cNvPr id="10" name="Chart 9">
          <a:extLst>
            <a:ext uri="{FF2B5EF4-FFF2-40B4-BE49-F238E27FC236}">
              <a16:creationId xmlns:a16="http://schemas.microsoft.com/office/drawing/2014/main" id="{00000000-0008-0000-05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57</xdr:col>
      <xdr:colOff>192405</xdr:colOff>
      <xdr:row>35</xdr:row>
      <xdr:rowOff>123825</xdr:rowOff>
    </xdr:from>
    <xdr:to>
      <xdr:col>62</xdr:col>
      <xdr:colOff>114300</xdr:colOff>
      <xdr:row>46</xdr:row>
      <xdr:rowOff>53340</xdr:rowOff>
    </xdr:to>
    <xdr:graphicFrame macro="">
      <xdr:nvGraphicFramePr>
        <xdr:cNvPr id="12" name="Chart 11">
          <a:extLst>
            <a:ext uri="{FF2B5EF4-FFF2-40B4-BE49-F238E27FC236}">
              <a16:creationId xmlns:a16="http://schemas.microsoft.com/office/drawing/2014/main" id="{00000000-0008-0000-05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57</xdr:col>
      <xdr:colOff>121919</xdr:colOff>
      <xdr:row>47</xdr:row>
      <xdr:rowOff>121920</xdr:rowOff>
    </xdr:from>
    <xdr:to>
      <xdr:col>62</xdr:col>
      <xdr:colOff>53340</xdr:colOff>
      <xdr:row>57</xdr:row>
      <xdr:rowOff>38100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62</xdr:col>
      <xdr:colOff>320040</xdr:colOff>
      <xdr:row>12</xdr:row>
      <xdr:rowOff>22860</xdr:rowOff>
    </xdr:from>
    <xdr:to>
      <xdr:col>67</xdr:col>
      <xdr:colOff>28575</xdr:colOff>
      <xdr:row>14</xdr:row>
      <xdr:rowOff>165735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29580840" y="2453640"/>
          <a:ext cx="2756535" cy="508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rgbClr val="FF0000"/>
              </a:solidFill>
            </a:rPr>
            <a:t>Not as great a fit for 1995 with earlier dates, but  on Aug.31 and Sept. 1, alot of fish went through weir</a:t>
          </a:r>
          <a:r>
            <a:rPr lang="en-US" sz="800" baseline="0">
              <a:solidFill>
                <a:srgbClr val="FF0000"/>
              </a:solidFill>
            </a:rPr>
            <a:t>  compared to other years.</a:t>
          </a:r>
          <a:endParaRPr lang="en-US" sz="800">
            <a:solidFill>
              <a:srgbClr val="FF0000"/>
            </a:solidFill>
          </a:endParaRPr>
        </a:p>
      </xdr:txBody>
    </xdr:sp>
    <xdr:clientData/>
  </xdr:twoCellAnchor>
  <xdr:twoCellAnchor>
    <xdr:from>
      <xdr:col>55</xdr:col>
      <xdr:colOff>285750</xdr:colOff>
      <xdr:row>2</xdr:row>
      <xdr:rowOff>76200</xdr:rowOff>
    </xdr:from>
    <xdr:to>
      <xdr:col>61</xdr:col>
      <xdr:colOff>295275</xdr:colOff>
      <xdr:row>12</xdr:row>
      <xdr:rowOff>9525</xdr:rowOff>
    </xdr:to>
    <xdr:graphicFrame macro="">
      <xdr:nvGraphicFramePr>
        <xdr:cNvPr id="14" name="Chart 13">
          <a:extLst>
            <a:ext uri="{FF2B5EF4-FFF2-40B4-BE49-F238E27FC236}">
              <a16:creationId xmlns:a16="http://schemas.microsoft.com/office/drawing/2014/main" id="{00000000-0008-0000-0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xdr:from>
          <xdr:col>49</xdr:col>
          <xdr:colOff>200025</xdr:colOff>
          <xdr:row>10</xdr:row>
          <xdr:rowOff>114300</xdr:rowOff>
        </xdr:from>
        <xdr:to>
          <xdr:col>49</xdr:col>
          <xdr:colOff>514350</xdr:colOff>
          <xdr:row>11</xdr:row>
          <xdr:rowOff>133350</xdr:rowOff>
        </xdr:to>
        <xdr:sp macro="" textlink="">
          <xdr:nvSpPr>
            <xdr:cNvPr id="9221" name="Object 5" hidden="1">
              <a:extLst>
                <a:ext uri="{63B3BB69-23CF-44E3-9099-C40C66FF867C}">
                  <a14:compatExt spid="_x0000_s9221"/>
                </a:ext>
                <a:ext uri="{FF2B5EF4-FFF2-40B4-BE49-F238E27FC236}">
                  <a16:creationId xmlns:a16="http://schemas.microsoft.com/office/drawing/2014/main" id="{00000000-0008-0000-0500-000005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52</xdr:col>
          <xdr:colOff>171450</xdr:colOff>
          <xdr:row>19</xdr:row>
          <xdr:rowOff>19050</xdr:rowOff>
        </xdr:from>
        <xdr:to>
          <xdr:col>52</xdr:col>
          <xdr:colOff>552450</xdr:colOff>
          <xdr:row>19</xdr:row>
          <xdr:rowOff>276225</xdr:rowOff>
        </xdr:to>
        <xdr:sp macro="" textlink="">
          <xdr:nvSpPr>
            <xdr:cNvPr id="9222" name="Object 6" hidden="1">
              <a:extLst>
                <a:ext uri="{63B3BB69-23CF-44E3-9099-C40C66FF867C}">
                  <a14:compatExt spid="_x0000_s9222"/>
                </a:ext>
                <a:ext uri="{FF2B5EF4-FFF2-40B4-BE49-F238E27FC236}">
                  <a16:creationId xmlns:a16="http://schemas.microsoft.com/office/drawing/2014/main" id="{00000000-0008-0000-0500-000006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50</xdr:col>
          <xdr:colOff>257175</xdr:colOff>
          <xdr:row>19</xdr:row>
          <xdr:rowOff>66675</xdr:rowOff>
        </xdr:from>
        <xdr:to>
          <xdr:col>50</xdr:col>
          <xdr:colOff>438150</xdr:colOff>
          <xdr:row>19</xdr:row>
          <xdr:rowOff>257175</xdr:rowOff>
        </xdr:to>
        <xdr:sp macro="" textlink="">
          <xdr:nvSpPr>
            <xdr:cNvPr id="9224" name="Object 8" hidden="1">
              <a:extLst>
                <a:ext uri="{63B3BB69-23CF-44E3-9099-C40C66FF867C}">
                  <a14:compatExt spid="_x0000_s9224"/>
                </a:ext>
                <a:ext uri="{FF2B5EF4-FFF2-40B4-BE49-F238E27FC236}">
                  <a16:creationId xmlns:a16="http://schemas.microsoft.com/office/drawing/2014/main" id="{00000000-0008-0000-0500-000008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47</xdr:col>
          <xdr:colOff>257175</xdr:colOff>
          <xdr:row>10</xdr:row>
          <xdr:rowOff>161925</xdr:rowOff>
        </xdr:from>
        <xdr:to>
          <xdr:col>47</xdr:col>
          <xdr:colOff>438150</xdr:colOff>
          <xdr:row>11</xdr:row>
          <xdr:rowOff>161925</xdr:rowOff>
        </xdr:to>
        <xdr:sp macro="" textlink="">
          <xdr:nvSpPr>
            <xdr:cNvPr id="9225" name="Object 9" hidden="1">
              <a:extLst>
                <a:ext uri="{63B3BB69-23CF-44E3-9099-C40C66FF867C}">
                  <a14:compatExt spid="_x0000_s9225"/>
                </a:ext>
                <a:ext uri="{FF2B5EF4-FFF2-40B4-BE49-F238E27FC236}">
                  <a16:creationId xmlns:a16="http://schemas.microsoft.com/office/drawing/2014/main" id="{00000000-0008-0000-0500-000009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53</xdr:col>
          <xdr:colOff>257175</xdr:colOff>
          <xdr:row>19</xdr:row>
          <xdr:rowOff>38100</xdr:rowOff>
        </xdr:from>
        <xdr:to>
          <xdr:col>53</xdr:col>
          <xdr:colOff>552450</xdr:colOff>
          <xdr:row>19</xdr:row>
          <xdr:rowOff>266700</xdr:rowOff>
        </xdr:to>
        <xdr:sp macro="" textlink="">
          <xdr:nvSpPr>
            <xdr:cNvPr id="9226" name="Object 10" hidden="1">
              <a:extLst>
                <a:ext uri="{63B3BB69-23CF-44E3-9099-C40C66FF867C}">
                  <a14:compatExt spid="_x0000_s9226"/>
                </a:ext>
                <a:ext uri="{FF2B5EF4-FFF2-40B4-BE49-F238E27FC236}">
                  <a16:creationId xmlns:a16="http://schemas.microsoft.com/office/drawing/2014/main" id="{00000000-0008-0000-0500-00000A240000}"/>
                </a:ext>
              </a:extLst>
            </xdr:cNvPr>
            <xdr:cNvSpPr/>
          </xdr:nvSpPr>
          <xdr:spPr bwMode="auto">
            <a:xfrm>
              <a:off x="0" y="0"/>
              <a:ext cx="0" cy="0"/>
            </a:xfrm>
            <a:prstGeom prst="rect">
              <a:avLst/>
            </a:prstGeom>
            <a:solidFill>
              <a:srgbClr val="FFCC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50</xdr:col>
          <xdr:colOff>123825</xdr:colOff>
          <xdr:row>10</xdr:row>
          <xdr:rowOff>133350</xdr:rowOff>
        </xdr:from>
        <xdr:to>
          <xdr:col>50</xdr:col>
          <xdr:colOff>419100</xdr:colOff>
          <xdr:row>11</xdr:row>
          <xdr:rowOff>171450</xdr:rowOff>
        </xdr:to>
        <xdr:sp macro="" textlink="">
          <xdr:nvSpPr>
            <xdr:cNvPr id="9227" name="Object 11" hidden="1">
              <a:extLst>
                <a:ext uri="{63B3BB69-23CF-44E3-9099-C40C66FF867C}">
                  <a14:compatExt spid="_x0000_s9227"/>
                </a:ext>
                <a:ext uri="{FF2B5EF4-FFF2-40B4-BE49-F238E27FC236}">
                  <a16:creationId xmlns:a16="http://schemas.microsoft.com/office/drawing/2014/main" id="{00000000-0008-0000-0500-00000B240000}"/>
                </a:ext>
              </a:extLst>
            </xdr:cNvPr>
            <xdr:cNvSpPr/>
          </xdr:nvSpPr>
          <xdr:spPr bwMode="auto">
            <a:xfrm>
              <a:off x="0" y="0"/>
              <a:ext cx="0" cy="0"/>
            </a:xfrm>
            <a:prstGeom prst="rect">
              <a:avLst/>
            </a:prstGeom>
            <a:solidFill>
              <a:srgbClr val="FFCC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62</xdr:col>
      <xdr:colOff>205741</xdr:colOff>
      <xdr:row>16</xdr:row>
      <xdr:rowOff>60961</xdr:rowOff>
    </xdr:from>
    <xdr:to>
      <xdr:col>66</xdr:col>
      <xdr:colOff>236221</xdr:colOff>
      <xdr:row>24</xdr:row>
      <xdr:rowOff>144781</xdr:rowOff>
    </xdr:to>
    <xdr:graphicFrame macro="">
      <xdr:nvGraphicFramePr>
        <xdr:cNvPr id="15" name="Chart 14">
          <a:extLst>
            <a:ext uri="{FF2B5EF4-FFF2-40B4-BE49-F238E27FC236}">
              <a16:creationId xmlns:a16="http://schemas.microsoft.com/office/drawing/2014/main" id="{00000000-0008-0000-05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66</xdr:col>
      <xdr:colOff>297181</xdr:colOff>
      <xdr:row>16</xdr:row>
      <xdr:rowOff>121921</xdr:rowOff>
    </xdr:from>
    <xdr:to>
      <xdr:col>71</xdr:col>
      <xdr:colOff>190501</xdr:colOff>
      <xdr:row>24</xdr:row>
      <xdr:rowOff>114301</xdr:rowOff>
    </xdr:to>
    <xdr:graphicFrame macro="">
      <xdr:nvGraphicFramePr>
        <xdr:cNvPr id="16" name="Chart 15">
          <a:extLst>
            <a:ext uri="{FF2B5EF4-FFF2-40B4-BE49-F238E27FC236}">
              <a16:creationId xmlns:a16="http://schemas.microsoft.com/office/drawing/2014/main" id="{00000000-0008-0000-05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57</xdr:col>
      <xdr:colOff>205741</xdr:colOff>
      <xdr:row>25</xdr:row>
      <xdr:rowOff>99061</xdr:rowOff>
    </xdr:from>
    <xdr:to>
      <xdr:col>62</xdr:col>
      <xdr:colOff>68581</xdr:colOff>
      <xdr:row>35</xdr:row>
      <xdr:rowOff>7621</xdr:rowOff>
    </xdr:to>
    <xdr:graphicFrame macro="">
      <xdr:nvGraphicFramePr>
        <xdr:cNvPr id="17" name="Chart 16">
          <a:extLst>
            <a:ext uri="{FF2B5EF4-FFF2-40B4-BE49-F238E27FC236}">
              <a16:creationId xmlns:a16="http://schemas.microsoft.com/office/drawing/2014/main" id="{00000000-0008-0000-0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62</xdr:col>
      <xdr:colOff>274320</xdr:colOff>
      <xdr:row>25</xdr:row>
      <xdr:rowOff>152400</xdr:rowOff>
    </xdr:from>
    <xdr:to>
      <xdr:col>67</xdr:col>
      <xdr:colOff>297180</xdr:colOff>
      <xdr:row>35</xdr:row>
      <xdr:rowOff>60960</xdr:rowOff>
    </xdr:to>
    <xdr:graphicFrame macro="">
      <xdr:nvGraphicFramePr>
        <xdr:cNvPr id="18" name="Chart 17">
          <a:extLst>
            <a:ext uri="{FF2B5EF4-FFF2-40B4-BE49-F238E27FC236}">
              <a16:creationId xmlns:a16="http://schemas.microsoft.com/office/drawing/2014/main" id="{00000000-0008-0000-05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67</xdr:col>
      <xdr:colOff>396240</xdr:colOff>
      <xdr:row>25</xdr:row>
      <xdr:rowOff>175260</xdr:rowOff>
    </xdr:from>
    <xdr:to>
      <xdr:col>72</xdr:col>
      <xdr:colOff>419100</xdr:colOff>
      <xdr:row>35</xdr:row>
      <xdr:rowOff>83820</xdr:rowOff>
    </xdr:to>
    <xdr:graphicFrame macro="">
      <xdr:nvGraphicFramePr>
        <xdr:cNvPr id="19" name="Chart 18">
          <a:extLst>
            <a:ext uri="{FF2B5EF4-FFF2-40B4-BE49-F238E27FC236}">
              <a16:creationId xmlns:a16="http://schemas.microsoft.com/office/drawing/2014/main" id="{00000000-0008-0000-05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63</xdr:col>
      <xdr:colOff>0</xdr:colOff>
      <xdr:row>36</xdr:row>
      <xdr:rowOff>0</xdr:rowOff>
    </xdr:from>
    <xdr:to>
      <xdr:col>68</xdr:col>
      <xdr:colOff>81915</xdr:colOff>
      <xdr:row>46</xdr:row>
      <xdr:rowOff>112395</xdr:rowOff>
    </xdr:to>
    <xdr:graphicFrame macro="">
      <xdr:nvGraphicFramePr>
        <xdr:cNvPr id="20" name="Chart 19">
          <a:extLst>
            <a:ext uri="{FF2B5EF4-FFF2-40B4-BE49-F238E27FC236}">
              <a16:creationId xmlns:a16="http://schemas.microsoft.com/office/drawing/2014/main" id="{00000000-0008-0000-05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68</xdr:col>
      <xdr:colOff>441960</xdr:colOff>
      <xdr:row>36</xdr:row>
      <xdr:rowOff>76200</xdr:rowOff>
    </xdr:from>
    <xdr:to>
      <xdr:col>73</xdr:col>
      <xdr:colOff>523875</xdr:colOff>
      <xdr:row>47</xdr:row>
      <xdr:rowOff>5715</xdr:rowOff>
    </xdr:to>
    <xdr:graphicFrame macro="">
      <xdr:nvGraphicFramePr>
        <xdr:cNvPr id="21" name="Chart 20">
          <a:extLst>
            <a:ext uri="{FF2B5EF4-FFF2-40B4-BE49-F238E27FC236}">
              <a16:creationId xmlns:a16="http://schemas.microsoft.com/office/drawing/2014/main" id="{00000000-0008-0000-05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62</xdr:col>
      <xdr:colOff>396240</xdr:colOff>
      <xdr:row>48</xdr:row>
      <xdr:rowOff>22860</xdr:rowOff>
    </xdr:from>
    <xdr:to>
      <xdr:col>67</xdr:col>
      <xdr:colOff>487681</xdr:colOff>
      <xdr:row>57</xdr:row>
      <xdr:rowOff>121920</xdr:rowOff>
    </xdr:to>
    <xdr:graphicFrame macro="">
      <xdr:nvGraphicFramePr>
        <xdr:cNvPr id="22" name="Chart 21">
          <a:extLst>
            <a:ext uri="{FF2B5EF4-FFF2-40B4-BE49-F238E27FC236}">
              <a16:creationId xmlns:a16="http://schemas.microsoft.com/office/drawing/2014/main" id="{00000000-0008-0000-05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69</xdr:col>
      <xdr:colOff>0</xdr:colOff>
      <xdr:row>48</xdr:row>
      <xdr:rowOff>0</xdr:rowOff>
    </xdr:from>
    <xdr:to>
      <xdr:col>74</xdr:col>
      <xdr:colOff>91441</xdr:colOff>
      <xdr:row>57</xdr:row>
      <xdr:rowOff>99060</xdr:rowOff>
    </xdr:to>
    <xdr:graphicFrame macro="">
      <xdr:nvGraphicFramePr>
        <xdr:cNvPr id="23" name="Chart 22">
          <a:extLst>
            <a:ext uri="{FF2B5EF4-FFF2-40B4-BE49-F238E27FC236}">
              <a16:creationId xmlns:a16="http://schemas.microsoft.com/office/drawing/2014/main" id="{00000000-0008-0000-05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57</xdr:col>
      <xdr:colOff>0</xdr:colOff>
      <xdr:row>58</xdr:row>
      <xdr:rowOff>0</xdr:rowOff>
    </xdr:from>
    <xdr:to>
      <xdr:col>61</xdr:col>
      <xdr:colOff>541021</xdr:colOff>
      <xdr:row>67</xdr:row>
      <xdr:rowOff>99060</xdr:rowOff>
    </xdr:to>
    <xdr:graphicFrame macro="">
      <xdr:nvGraphicFramePr>
        <xdr:cNvPr id="24" name="Chart 23">
          <a:extLst>
            <a:ext uri="{FF2B5EF4-FFF2-40B4-BE49-F238E27FC236}">
              <a16:creationId xmlns:a16="http://schemas.microsoft.com/office/drawing/2014/main" id="{00000000-0008-0000-05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63</xdr:col>
      <xdr:colOff>15240</xdr:colOff>
      <xdr:row>58</xdr:row>
      <xdr:rowOff>129540</xdr:rowOff>
    </xdr:from>
    <xdr:to>
      <xdr:col>68</xdr:col>
      <xdr:colOff>106681</xdr:colOff>
      <xdr:row>68</xdr:row>
      <xdr:rowOff>45720</xdr:rowOff>
    </xdr:to>
    <xdr:graphicFrame macro="">
      <xdr:nvGraphicFramePr>
        <xdr:cNvPr id="25" name="Chart 24">
          <a:extLst>
            <a:ext uri="{FF2B5EF4-FFF2-40B4-BE49-F238E27FC236}">
              <a16:creationId xmlns:a16="http://schemas.microsoft.com/office/drawing/2014/main" id="{00000000-0008-0000-05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57150</xdr:colOff>
      <xdr:row>43</xdr:row>
      <xdr:rowOff>95250</xdr:rowOff>
    </xdr:from>
    <xdr:to>
      <xdr:col>8</xdr:col>
      <xdr:colOff>619125</xdr:colOff>
      <xdr:row>73</xdr:row>
      <xdr:rowOff>76200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666750" y="7324725"/>
          <a:ext cx="4257675" cy="4857750"/>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From Riffe and Clark (2003; Table 1, p. 14):</a:t>
          </a:r>
          <a:r>
            <a:rPr lang="en-US" sz="1100" baseline="0">
              <a:solidFill>
                <a:schemeClr val="dk1"/>
              </a:solidFill>
              <a:latin typeface="+mn-lt"/>
              <a:ea typeface="+mn-ea"/>
              <a:cs typeface="+mn-cs"/>
            </a:rPr>
            <a:t>  </a:t>
          </a:r>
          <a:r>
            <a:rPr lang="en-US" sz="1100">
              <a:solidFill>
                <a:schemeClr val="dk1"/>
              </a:solidFill>
              <a:latin typeface="+mn-lt"/>
              <a:ea typeface="+mn-ea"/>
              <a:cs typeface="+mn-cs"/>
            </a:rPr>
            <a:t>The otolith-brain parasite-scale pattern stock identification program provides age specific estimates of the harvest of various stocks of sockeye salmon in District 111. Estimates provided from this sampling program are age specific for the four major age classes (fish of age- 1.2, 1.3, 2.2, and 2.3), while the freshwater age- 0 fish are lumped together, as are the other age classes that make up a minor portion of the harvest. Since sockeye salmon released from Snettisham Hatchery are otolith marked, when terminal fisheries prosecuted near the hatchery are sampled, the portion of the harvest without otolith marks is assumed to be wild Speel Lake fish (column 8), and age compositions from the general district harvest are assigned to those fish. Sockeye salmon harvest estimates for 2002 are not yet available. </a:t>
          </a:r>
          <a:endParaRPr lang="en-US" sz="1100" baseline="0">
            <a:solidFill>
              <a:schemeClr val="dk1"/>
            </a:solidFill>
            <a:latin typeface="+mn-lt"/>
            <a:ea typeface="+mn-ea"/>
            <a:cs typeface="+mn-cs"/>
          </a:endParaRPr>
        </a:p>
        <a:p>
          <a:endParaRPr lang="en-US" sz="1100" baseline="0">
            <a:solidFill>
              <a:schemeClr val="dk1"/>
            </a:solidFill>
            <a:latin typeface="+mn-lt"/>
            <a:ea typeface="+mn-ea"/>
            <a:cs typeface="+mn-cs"/>
          </a:endParaRPr>
        </a:p>
        <a:p>
          <a:r>
            <a:rPr lang="en-US" sz="1100"/>
            <a:t>(From Kathleen Jensen 7-25-2011):</a:t>
          </a:r>
          <a:r>
            <a:rPr lang="en-US" sz="1100" baseline="0"/>
            <a:t> </a:t>
          </a:r>
          <a:r>
            <a:rPr lang="en-US" sz="1100"/>
            <a:t>The otolith is for all ages - split out hatchery vs wild by age.  We only do bp for the fish we digitize and only do age-1.2 and 1.3 in District 111.  There aren't enough of the other ages for either the known or unknown age samples.  These ages, 2.2, 2.3, and other are apportioned based on the abundance of age x stock y from the digitized ages and the abundance of of age x in stock y escapement.  I can get you the formula if you want.  Age 0 are all assumed to be Taku  mainstem since the only escapement where we find this age-class. District 106 and 108 we digitize 1.2, 1.3, 2.2, and 2.3.  Age 0 are mainstem and minor ages are apportioned based on the overall relative abundance of stock x for the digitized scales.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58</xdr:row>
      <xdr:rowOff>85725</xdr:rowOff>
    </xdr:from>
    <xdr:to>
      <xdr:col>2</xdr:col>
      <xdr:colOff>361950</xdr:colOff>
      <xdr:row>71</xdr:row>
      <xdr:rowOff>47625</xdr:rowOff>
    </xdr:to>
    <xdr:graphicFrame macro="">
      <xdr:nvGraphicFramePr>
        <xdr:cNvPr id="15" name="Chart 14">
          <a:extLst>
            <a:ext uri="{FF2B5EF4-FFF2-40B4-BE49-F238E27FC236}">
              <a16:creationId xmlns:a16="http://schemas.microsoft.com/office/drawing/2014/main" id="{00000000-0008-0000-07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49530</xdr:colOff>
      <xdr:row>1</xdr:row>
      <xdr:rowOff>19049</xdr:rowOff>
    </xdr:from>
    <xdr:to>
      <xdr:col>30</xdr:col>
      <xdr:colOff>316230</xdr:colOff>
      <xdr:row>14</xdr:row>
      <xdr:rowOff>171449</xdr:rowOff>
    </xdr:to>
    <xdr:graphicFrame macro="">
      <xdr:nvGraphicFramePr>
        <xdr:cNvPr id="26" name="Chart 2">
          <a:extLst>
            <a:ext uri="{FF2B5EF4-FFF2-40B4-BE49-F238E27FC236}">
              <a16:creationId xmlns:a16="http://schemas.microsoft.com/office/drawing/2014/main" id="{00000000-0008-0000-07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0</xdr:col>
          <xdr:colOff>47625</xdr:colOff>
          <xdr:row>19</xdr:row>
          <xdr:rowOff>19050</xdr:rowOff>
        </xdr:from>
        <xdr:to>
          <xdr:col>0</xdr:col>
          <xdr:colOff>361950</xdr:colOff>
          <xdr:row>20</xdr:row>
          <xdr:rowOff>38100</xdr:rowOff>
        </xdr:to>
        <xdr:sp macro="" textlink="">
          <xdr:nvSpPr>
            <xdr:cNvPr id="7170" name="Object 2" hidden="1">
              <a:extLst>
                <a:ext uri="{63B3BB69-23CF-44E3-9099-C40C66FF867C}">
                  <a14:compatExt spid="_x0000_s7170"/>
                </a:ext>
                <a:ext uri="{FF2B5EF4-FFF2-40B4-BE49-F238E27FC236}">
                  <a16:creationId xmlns:a16="http://schemas.microsoft.com/office/drawing/2014/main" id="{00000000-0008-0000-0700-0000021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21</xdr:col>
          <xdr:colOff>219075</xdr:colOff>
          <xdr:row>16</xdr:row>
          <xdr:rowOff>114300</xdr:rowOff>
        </xdr:from>
        <xdr:to>
          <xdr:col>27</xdr:col>
          <xdr:colOff>238125</xdr:colOff>
          <xdr:row>27</xdr:row>
          <xdr:rowOff>47625</xdr:rowOff>
        </xdr:to>
        <xdr:sp macro="" textlink="">
          <xdr:nvSpPr>
            <xdr:cNvPr id="7171" name="Object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noFill/>
            <a:ln w="9525">
              <a:solidFill>
                <a:srgbClr val="000000" mc:Ignorable="a14" a14:legacySpreadsheetColorIndex="64"/>
              </a:solidFill>
              <a:miter lim="800000"/>
              <a:headEnd/>
              <a:tailEnd/>
            </a:ln>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28575</xdr:colOff>
          <xdr:row>18</xdr:row>
          <xdr:rowOff>0</xdr:rowOff>
        </xdr:from>
        <xdr:to>
          <xdr:col>0</xdr:col>
          <xdr:colOff>209550</xdr:colOff>
          <xdr:row>19</xdr:row>
          <xdr:rowOff>0</xdr:rowOff>
        </xdr:to>
        <xdr:sp macro="" textlink="">
          <xdr:nvSpPr>
            <xdr:cNvPr id="7172" name="Object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16</xdr:row>
          <xdr:rowOff>9525</xdr:rowOff>
        </xdr:from>
        <xdr:to>
          <xdr:col>0</xdr:col>
          <xdr:colOff>323850</xdr:colOff>
          <xdr:row>17</xdr:row>
          <xdr:rowOff>47625</xdr:rowOff>
        </xdr:to>
        <xdr:sp macro="" textlink="">
          <xdr:nvSpPr>
            <xdr:cNvPr id="7175" name="Object 7" hidden="1">
              <a:extLst>
                <a:ext uri="{63B3BB69-23CF-44E3-9099-C40C66FF867C}">
                  <a14:compatExt spid="_x0000_s7175"/>
                </a:ext>
                <a:ext uri="{FF2B5EF4-FFF2-40B4-BE49-F238E27FC236}">
                  <a16:creationId xmlns:a16="http://schemas.microsoft.com/office/drawing/2014/main" id="{00000000-0008-0000-0700-0000071C0000}"/>
                </a:ext>
              </a:extLst>
            </xdr:cNvPr>
            <xdr:cNvSpPr/>
          </xdr:nvSpPr>
          <xdr:spPr bwMode="auto">
            <a:xfrm>
              <a:off x="0" y="0"/>
              <a:ext cx="0" cy="0"/>
            </a:xfrm>
            <a:prstGeom prst="rect">
              <a:avLst/>
            </a:prstGeom>
            <a:noFill/>
            <a:ln>
              <a:noFill/>
            </a:ln>
            <a:extLst>
              <a:ext uri="{909E8E84-426E-40DD-AFC4-6F175D3DCCD1}">
                <a14:hiddenFill>
                  <a:solidFill>
                    <a:srgbClr val="FFCCCC"/>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352425</xdr:colOff>
          <xdr:row>22</xdr:row>
          <xdr:rowOff>66675</xdr:rowOff>
        </xdr:to>
        <xdr:sp macro="" textlink="">
          <xdr:nvSpPr>
            <xdr:cNvPr id="7176" name="Object 8" hidden="1">
              <a:extLst>
                <a:ext uri="{63B3BB69-23CF-44E3-9099-C40C66FF867C}">
                  <a14:compatExt spid="_x0000_s7176"/>
                </a:ext>
                <a:ext uri="{FF2B5EF4-FFF2-40B4-BE49-F238E27FC236}">
                  <a16:creationId xmlns:a16="http://schemas.microsoft.com/office/drawing/2014/main" id="{00000000-0008-0000-0700-0000081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oleObject" Target="../embeddings/oleObject6.bin"/><Relationship Id="rId3" Type="http://schemas.openxmlformats.org/officeDocument/2006/relationships/vmlDrawing" Target="../drawings/vmlDrawing3.vml"/><Relationship Id="rId7" Type="http://schemas.openxmlformats.org/officeDocument/2006/relationships/image" Target="../media/image2.wmf"/><Relationship Id="rId12" Type="http://schemas.openxmlformats.org/officeDocument/2006/relationships/image" Target="../media/image4.emf"/><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oleObject" Target="../embeddings/oleObject2.bin"/><Relationship Id="rId11" Type="http://schemas.openxmlformats.org/officeDocument/2006/relationships/oleObject" Target="../embeddings/oleObject5.bin"/><Relationship Id="rId5" Type="http://schemas.openxmlformats.org/officeDocument/2006/relationships/image" Target="../media/image1.w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wmf"/><Relationship Id="rId1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oleObject" Target="../embeddings/oleObject9.bin"/><Relationship Id="rId13" Type="http://schemas.openxmlformats.org/officeDocument/2006/relationships/image" Target="../media/image6.emf"/><Relationship Id="rId3" Type="http://schemas.openxmlformats.org/officeDocument/2006/relationships/vmlDrawing" Target="../drawings/vmlDrawing4.vml"/><Relationship Id="rId7" Type="http://schemas.openxmlformats.org/officeDocument/2006/relationships/image" Target="../media/image5.emf"/><Relationship Id="rId12" Type="http://schemas.openxmlformats.org/officeDocument/2006/relationships/oleObject" Target="../embeddings/oleObject11.bin"/><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oleObject8.bin"/><Relationship Id="rId11" Type="http://schemas.openxmlformats.org/officeDocument/2006/relationships/image" Target="../media/image4.emf"/><Relationship Id="rId5" Type="http://schemas.openxmlformats.org/officeDocument/2006/relationships/image" Target="../media/image2.wmf"/><Relationship Id="rId10" Type="http://schemas.openxmlformats.org/officeDocument/2006/relationships/oleObject" Target="../embeddings/oleObject10.bin"/><Relationship Id="rId4" Type="http://schemas.openxmlformats.org/officeDocument/2006/relationships/oleObject" Target="../embeddings/oleObject7.bin"/><Relationship Id="rId9" Type="http://schemas.openxmlformats.org/officeDocument/2006/relationships/image" Target="../media/image3.wmf"/><Relationship Id="rId1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2"/>
  <sheetViews>
    <sheetView workbookViewId="0">
      <pane xSplit="2" ySplit="4" topLeftCell="C5" activePane="bottomRight" state="frozen"/>
      <selection activeCell="M36" sqref="H5:M36"/>
      <selection pane="topRight" activeCell="M36" sqref="H5:M36"/>
      <selection pane="bottomLeft" activeCell="M36" sqref="H5:M36"/>
      <selection pane="bottomRight" activeCell="M36" sqref="H5:M36"/>
    </sheetView>
  </sheetViews>
  <sheetFormatPr defaultRowHeight="15" x14ac:dyDescent="0.25"/>
  <cols>
    <col min="2" max="2" width="10.42578125" bestFit="1" customWidth="1"/>
    <col min="3" max="9" width="9.140625" style="58"/>
    <col min="20" max="22" width="9.28515625" bestFit="1" customWidth="1"/>
    <col min="23" max="23" width="12.7109375" bestFit="1" customWidth="1"/>
    <col min="24" max="25" width="9.28515625" bestFit="1" customWidth="1"/>
  </cols>
  <sheetData>
    <row r="1" spans="1:19" ht="15.75" x14ac:dyDescent="0.25">
      <c r="A1" s="75" t="s">
        <v>110</v>
      </c>
    </row>
    <row r="2" spans="1:19" x14ac:dyDescent="0.25">
      <c r="A2" s="19" t="s">
        <v>172</v>
      </c>
    </row>
    <row r="3" spans="1:19" x14ac:dyDescent="0.25">
      <c r="B3" s="6"/>
      <c r="D3" s="21"/>
      <c r="E3" s="21"/>
      <c r="F3" s="21"/>
      <c r="G3" s="21"/>
      <c r="H3" s="21"/>
      <c r="I3" s="21"/>
    </row>
    <row r="4" spans="1:19" x14ac:dyDescent="0.25">
      <c r="A4" s="73" t="s">
        <v>10</v>
      </c>
      <c r="B4" s="73"/>
      <c r="C4" s="22" t="s">
        <v>23</v>
      </c>
      <c r="D4" s="22" t="s">
        <v>24</v>
      </c>
      <c r="E4" s="22" t="s">
        <v>25</v>
      </c>
      <c r="F4" s="22" t="s">
        <v>26</v>
      </c>
      <c r="G4" s="22" t="s">
        <v>27</v>
      </c>
      <c r="H4" s="22" t="s">
        <v>28</v>
      </c>
      <c r="I4" s="74" t="s">
        <v>9</v>
      </c>
      <c r="L4" s="262"/>
      <c r="M4" s="262"/>
      <c r="N4" s="262"/>
      <c r="O4" s="262"/>
      <c r="P4" s="262"/>
      <c r="Q4" s="262"/>
      <c r="R4" s="262"/>
      <c r="S4" s="262"/>
    </row>
    <row r="5" spans="1:19" x14ac:dyDescent="0.25">
      <c r="A5" s="63">
        <v>1983</v>
      </c>
      <c r="B5" s="64" t="s">
        <v>49</v>
      </c>
      <c r="C5" s="65">
        <v>0</v>
      </c>
      <c r="D5" s="260">
        <f>'Escapement Age'!S6</f>
        <v>17</v>
      </c>
      <c r="E5" s="260">
        <f>'Escapement Age'!T6</f>
        <v>259</v>
      </c>
      <c r="F5" s="260">
        <f>'Escapement Age'!U6</f>
        <v>500</v>
      </c>
      <c r="G5" s="260">
        <f>'Escapement Age'!V6</f>
        <v>17</v>
      </c>
      <c r="H5" s="65">
        <v>0</v>
      </c>
      <c r="I5" s="65">
        <f>SUM(C5:H5)</f>
        <v>793</v>
      </c>
      <c r="L5" s="262"/>
      <c r="M5" s="262"/>
      <c r="N5" s="262"/>
      <c r="O5" s="262"/>
      <c r="P5" s="262"/>
      <c r="Q5" s="262"/>
      <c r="R5" s="262"/>
      <c r="S5" s="262"/>
    </row>
    <row r="6" spans="1:19" x14ac:dyDescent="0.25">
      <c r="A6" s="63"/>
      <c r="B6" s="64" t="s">
        <v>50</v>
      </c>
      <c r="C6" s="66">
        <f t="shared" ref="C6:H6" si="0">C5/$I5</f>
        <v>0</v>
      </c>
      <c r="D6" s="66">
        <f t="shared" si="0"/>
        <v>2.1437578814627996E-2</v>
      </c>
      <c r="E6" s="66">
        <f t="shared" si="0"/>
        <v>0.3266078184110971</v>
      </c>
      <c r="F6" s="66">
        <f t="shared" si="0"/>
        <v>0.63051702395964693</v>
      </c>
      <c r="G6" s="66">
        <f t="shared" si="0"/>
        <v>2.1437578814627996E-2</v>
      </c>
      <c r="H6" s="66">
        <f t="shared" si="0"/>
        <v>0</v>
      </c>
      <c r="I6" s="67"/>
      <c r="L6" s="262"/>
      <c r="M6" s="262"/>
      <c r="N6" s="262"/>
      <c r="O6" s="262"/>
      <c r="P6" s="262"/>
      <c r="Q6" s="262"/>
      <c r="R6" s="262"/>
      <c r="S6" s="262"/>
    </row>
    <row r="7" spans="1:19" x14ac:dyDescent="0.25">
      <c r="A7" s="63"/>
      <c r="B7" s="64" t="s">
        <v>51</v>
      </c>
      <c r="C7" s="66">
        <f t="shared" ref="C7:H7" si="1">SQRT((C6*(1-C6))/($I5-1))</f>
        <v>0</v>
      </c>
      <c r="D7" s="66">
        <f t="shared" si="1"/>
        <v>5.1465896609183817E-3</v>
      </c>
      <c r="E7" s="66">
        <f t="shared" si="1"/>
        <v>1.6664210097891465E-2</v>
      </c>
      <c r="F7" s="66">
        <f t="shared" si="1"/>
        <v>1.7150746753801318E-2</v>
      </c>
      <c r="G7" s="66">
        <f t="shared" si="1"/>
        <v>5.1465896609183817E-3</v>
      </c>
      <c r="H7" s="66">
        <f t="shared" si="1"/>
        <v>0</v>
      </c>
      <c r="I7" s="66"/>
      <c r="L7" s="262"/>
      <c r="M7" s="262"/>
      <c r="N7" s="262"/>
      <c r="O7" s="262"/>
      <c r="P7" s="262"/>
      <c r="Q7" s="262"/>
      <c r="R7" s="262"/>
      <c r="S7" s="262"/>
    </row>
    <row r="8" spans="1:19" x14ac:dyDescent="0.25">
      <c r="A8" s="63"/>
      <c r="B8" s="64" t="s">
        <v>18</v>
      </c>
      <c r="C8" s="68">
        <f t="shared" ref="C8:H8" si="2">C6*$I8</f>
        <v>0</v>
      </c>
      <c r="D8" s="68">
        <f t="shared" si="2"/>
        <v>224.75157629255992</v>
      </c>
      <c r="E8" s="68">
        <f t="shared" si="2"/>
        <v>3424.1563682219421</v>
      </c>
      <c r="F8" s="68">
        <f t="shared" si="2"/>
        <v>6610.3404791929388</v>
      </c>
      <c r="G8" s="68">
        <f t="shared" si="2"/>
        <v>224.75157629255992</v>
      </c>
      <c r="H8" s="68">
        <f t="shared" si="2"/>
        <v>0</v>
      </c>
      <c r="I8" s="68">
        <f>'Summary Data'!J12</f>
        <v>10484</v>
      </c>
      <c r="J8" s="60">
        <f>I5/I8</f>
        <v>7.5639069057611599E-2</v>
      </c>
      <c r="L8" s="262"/>
      <c r="M8" s="262"/>
      <c r="N8" s="262"/>
      <c r="O8" s="262"/>
      <c r="P8" s="262"/>
      <c r="Q8" s="262"/>
      <c r="R8" s="262"/>
      <c r="S8" s="262"/>
    </row>
    <row r="9" spans="1:19" x14ac:dyDescent="0.25">
      <c r="A9" s="69"/>
      <c r="B9" s="70" t="s">
        <v>52</v>
      </c>
      <c r="C9" s="71">
        <f t="shared" ref="C9:H9" si="3">SQRT(($I8*($I8-$I5)/($I5-1))*(C6*(1-C6)))</f>
        <v>0</v>
      </c>
      <c r="D9" s="71">
        <f t="shared" si="3"/>
        <v>51.876103269297268</v>
      </c>
      <c r="E9" s="71">
        <f t="shared" si="3"/>
        <v>167.97031449855729</v>
      </c>
      <c r="F9" s="71">
        <f t="shared" si="3"/>
        <v>172.87446024733148</v>
      </c>
      <c r="G9" s="71">
        <f t="shared" si="3"/>
        <v>51.876103269297268</v>
      </c>
      <c r="H9" s="71">
        <f t="shared" si="3"/>
        <v>0</v>
      </c>
      <c r="I9" s="72"/>
      <c r="L9" s="262"/>
      <c r="M9" s="262"/>
      <c r="N9" s="262"/>
      <c r="O9" s="262"/>
      <c r="P9" s="262"/>
      <c r="Q9" s="262"/>
      <c r="R9" s="262"/>
      <c r="S9" s="262"/>
    </row>
    <row r="10" spans="1:19" x14ac:dyDescent="0.25">
      <c r="A10" s="63">
        <v>1984</v>
      </c>
      <c r="B10" s="64" t="s">
        <v>49</v>
      </c>
      <c r="C10" s="65">
        <v>0</v>
      </c>
      <c r="D10" s="260">
        <f>'Escapement Age'!S7</f>
        <v>0</v>
      </c>
      <c r="E10" s="260">
        <f>'Escapement Age'!T7</f>
        <v>329</v>
      </c>
      <c r="F10" s="260">
        <f>'Escapement Age'!U7</f>
        <v>428</v>
      </c>
      <c r="G10" s="260">
        <f>'Escapement Age'!V7</f>
        <v>8</v>
      </c>
      <c r="H10" s="65">
        <v>0</v>
      </c>
      <c r="I10" s="65">
        <f>SUM(C10:H10)</f>
        <v>765</v>
      </c>
      <c r="L10" s="262"/>
      <c r="M10" s="262"/>
      <c r="N10" s="262"/>
      <c r="O10" s="262"/>
      <c r="P10" s="262"/>
      <c r="Q10" s="262"/>
      <c r="R10" s="262"/>
      <c r="S10" s="262"/>
    </row>
    <row r="11" spans="1:19" x14ac:dyDescent="0.25">
      <c r="A11" s="63"/>
      <c r="B11" s="64" t="s">
        <v>50</v>
      </c>
      <c r="C11" s="66">
        <f t="shared" ref="C11:H11" si="4">C10/$I10</f>
        <v>0</v>
      </c>
      <c r="D11" s="66">
        <f t="shared" si="4"/>
        <v>0</v>
      </c>
      <c r="E11" s="66">
        <f t="shared" si="4"/>
        <v>0.43006535947712421</v>
      </c>
      <c r="F11" s="66">
        <f t="shared" si="4"/>
        <v>0.55947712418300655</v>
      </c>
      <c r="G11" s="66">
        <f t="shared" si="4"/>
        <v>1.045751633986928E-2</v>
      </c>
      <c r="H11" s="66">
        <f t="shared" si="4"/>
        <v>0</v>
      </c>
      <c r="I11" s="67"/>
      <c r="L11" s="262"/>
      <c r="M11" s="262"/>
      <c r="N11" s="262"/>
      <c r="O11" s="262"/>
      <c r="P11" s="262"/>
      <c r="Q11" s="262"/>
      <c r="R11" s="262"/>
      <c r="S11" s="262"/>
    </row>
    <row r="12" spans="1:19" x14ac:dyDescent="0.25">
      <c r="A12" s="63"/>
      <c r="B12" s="64" t="s">
        <v>51</v>
      </c>
      <c r="C12" s="66">
        <f t="shared" ref="C12:H12" si="5">SQRT((C11*(1-C11))/($I10-1))</f>
        <v>0</v>
      </c>
      <c r="D12" s="66">
        <f t="shared" si="5"/>
        <v>0</v>
      </c>
      <c r="E12" s="66">
        <f t="shared" si="5"/>
        <v>1.7911546264929273E-2</v>
      </c>
      <c r="F12" s="66">
        <f t="shared" si="5"/>
        <v>1.7960925873814485E-2</v>
      </c>
      <c r="G12" s="66">
        <f t="shared" si="5"/>
        <v>3.6803135344522721E-3</v>
      </c>
      <c r="H12" s="66">
        <f t="shared" si="5"/>
        <v>0</v>
      </c>
      <c r="I12" s="66"/>
      <c r="L12" s="262"/>
      <c r="M12" s="262"/>
      <c r="N12" s="262"/>
      <c r="O12" s="262"/>
      <c r="P12" s="262"/>
      <c r="Q12" s="262"/>
      <c r="R12" s="262"/>
      <c r="S12" s="262"/>
    </row>
    <row r="13" spans="1:19" ht="14.45" x14ac:dyDescent="0.3">
      <c r="A13" s="63"/>
      <c r="B13" s="64" t="s">
        <v>18</v>
      </c>
      <c r="C13" s="68">
        <f t="shared" ref="C13:H13" si="6">C11*$I13</f>
        <v>0</v>
      </c>
      <c r="D13" s="68">
        <f t="shared" si="6"/>
        <v>0</v>
      </c>
      <c r="E13" s="68">
        <f t="shared" si="6"/>
        <v>4567.0548153180698</v>
      </c>
      <c r="F13" s="68">
        <f t="shared" si="6"/>
        <v>5941.3357475870325</v>
      </c>
      <c r="G13" s="68">
        <f t="shared" si="6"/>
        <v>111.05300462779499</v>
      </c>
      <c r="H13" s="68">
        <f t="shared" si="6"/>
        <v>0</v>
      </c>
      <c r="I13" s="68">
        <f>'Summary Data'!J13</f>
        <v>10619.443567532897</v>
      </c>
      <c r="J13" s="60">
        <f>I10/I13</f>
        <v>7.2037672702443142E-2</v>
      </c>
      <c r="L13" s="262"/>
      <c r="M13" s="262"/>
      <c r="N13" s="262"/>
      <c r="O13" s="262"/>
      <c r="P13" s="262"/>
      <c r="Q13" s="262"/>
      <c r="R13" s="262"/>
      <c r="S13" s="262"/>
    </row>
    <row r="14" spans="1:19" ht="14.45" x14ac:dyDescent="0.3">
      <c r="A14" s="69"/>
      <c r="B14" s="70" t="s">
        <v>52</v>
      </c>
      <c r="C14" s="71">
        <f t="shared" ref="C14:H14" si="7">SQRT(($I13*($I13-$I10)/($I10-1))*(C11*(1-C11)))</f>
        <v>0</v>
      </c>
      <c r="D14" s="71">
        <f t="shared" si="7"/>
        <v>0</v>
      </c>
      <c r="E14" s="71">
        <f t="shared" si="7"/>
        <v>183.23144783520817</v>
      </c>
      <c r="F14" s="71">
        <f t="shared" si="7"/>
        <v>183.73659111517668</v>
      </c>
      <c r="G14" s="71">
        <f t="shared" si="7"/>
        <v>37.648853283291054</v>
      </c>
      <c r="H14" s="71">
        <f t="shared" si="7"/>
        <v>0</v>
      </c>
      <c r="I14" s="72"/>
      <c r="L14" s="262"/>
      <c r="M14" s="262"/>
      <c r="N14" s="262"/>
      <c r="O14" s="262"/>
      <c r="P14" s="262"/>
      <c r="Q14" s="262"/>
      <c r="R14" s="262"/>
      <c r="S14" s="262"/>
    </row>
    <row r="15" spans="1:19" ht="14.45" x14ac:dyDescent="0.3">
      <c r="A15" s="63">
        <v>1985</v>
      </c>
      <c r="B15" s="64" t="s">
        <v>49</v>
      </c>
      <c r="C15" s="65">
        <v>0</v>
      </c>
      <c r="D15" s="260">
        <f>'Escapement Age'!S8</f>
        <v>30</v>
      </c>
      <c r="E15" s="260">
        <f>'Escapement Age'!T8</f>
        <v>94</v>
      </c>
      <c r="F15" s="260">
        <f>'Escapement Age'!U8</f>
        <v>269</v>
      </c>
      <c r="G15" s="260">
        <f>'Escapement Age'!V8</f>
        <v>3</v>
      </c>
      <c r="H15" s="65">
        <v>0</v>
      </c>
      <c r="I15" s="65">
        <f>SUM(C15:H15)</f>
        <v>396</v>
      </c>
      <c r="L15" s="262"/>
      <c r="M15" s="262"/>
      <c r="N15" s="262"/>
      <c r="O15" s="262"/>
      <c r="P15" s="262"/>
      <c r="Q15" s="262"/>
      <c r="R15" s="262"/>
      <c r="S15" s="262"/>
    </row>
    <row r="16" spans="1:19" ht="14.45" x14ac:dyDescent="0.3">
      <c r="A16" s="63"/>
      <c r="B16" s="64" t="s">
        <v>50</v>
      </c>
      <c r="C16" s="66">
        <f t="shared" ref="C16:H16" si="8">C15/$I15</f>
        <v>0</v>
      </c>
      <c r="D16" s="66">
        <f t="shared" si="8"/>
        <v>7.575757575757576E-2</v>
      </c>
      <c r="E16" s="66">
        <f t="shared" si="8"/>
        <v>0.23737373737373738</v>
      </c>
      <c r="F16" s="66">
        <f t="shared" si="8"/>
        <v>0.67929292929292928</v>
      </c>
      <c r="G16" s="66">
        <f t="shared" si="8"/>
        <v>7.575757575757576E-3</v>
      </c>
      <c r="H16" s="66">
        <f t="shared" si="8"/>
        <v>0</v>
      </c>
      <c r="I16" s="67"/>
      <c r="L16" s="262"/>
      <c r="M16" s="262"/>
      <c r="N16" s="262"/>
      <c r="O16" s="262"/>
      <c r="P16" s="262"/>
      <c r="Q16" s="262"/>
      <c r="R16" s="262"/>
      <c r="S16" s="262"/>
    </row>
    <row r="17" spans="1:19" ht="14.45" x14ac:dyDescent="0.3">
      <c r="A17" s="63"/>
      <c r="B17" s="64" t="s">
        <v>51</v>
      </c>
      <c r="C17" s="66">
        <f t="shared" ref="C17:H17" si="9">SQRT((C16*(1-C16))/($I15-1))</f>
        <v>0</v>
      </c>
      <c r="D17" s="66">
        <f t="shared" si="9"/>
        <v>1.3313965778142388E-2</v>
      </c>
      <c r="E17" s="66">
        <f t="shared" si="9"/>
        <v>2.1407880140234255E-2</v>
      </c>
      <c r="F17" s="66">
        <f t="shared" si="9"/>
        <v>2.3484659442453103E-2</v>
      </c>
      <c r="G17" s="66">
        <f t="shared" si="9"/>
        <v>4.3627785458673959E-3</v>
      </c>
      <c r="H17" s="66">
        <f t="shared" si="9"/>
        <v>0</v>
      </c>
      <c r="I17" s="66"/>
      <c r="L17" s="262"/>
      <c r="M17" s="262"/>
      <c r="N17" s="262"/>
      <c r="O17" s="262"/>
      <c r="P17" s="262"/>
      <c r="Q17" s="262"/>
      <c r="R17" s="262"/>
      <c r="S17" s="262"/>
    </row>
    <row r="18" spans="1:19" ht="14.45" x14ac:dyDescent="0.3">
      <c r="A18" s="63"/>
      <c r="B18" s="64" t="s">
        <v>18</v>
      </c>
      <c r="C18" s="68">
        <f t="shared" ref="C18:H18" si="10">C16*$I18</f>
        <v>0</v>
      </c>
      <c r="D18" s="68">
        <f t="shared" si="10"/>
        <v>617.95794765638993</v>
      </c>
      <c r="E18" s="68">
        <f t="shared" si="10"/>
        <v>1936.2682359900218</v>
      </c>
      <c r="F18" s="68">
        <f t="shared" si="10"/>
        <v>5541.0229306522961</v>
      </c>
      <c r="G18" s="68">
        <f t="shared" si="10"/>
        <v>61.795794765638995</v>
      </c>
      <c r="H18" s="68">
        <f t="shared" si="10"/>
        <v>0</v>
      </c>
      <c r="I18" s="68">
        <f>'Summary Data'!J14</f>
        <v>8157.0449090643469</v>
      </c>
      <c r="J18" s="60">
        <f>I15/I18</f>
        <v>4.8546992742427249E-2</v>
      </c>
      <c r="L18" s="262"/>
      <c r="M18" s="262"/>
      <c r="N18" s="262"/>
      <c r="O18" s="262"/>
      <c r="P18" s="262"/>
      <c r="Q18" s="262"/>
      <c r="R18" s="262"/>
      <c r="S18" s="262"/>
    </row>
    <row r="19" spans="1:19" ht="14.45" x14ac:dyDescent="0.3">
      <c r="A19" s="69"/>
      <c r="B19" s="70" t="s">
        <v>52</v>
      </c>
      <c r="C19" s="71">
        <f t="shared" ref="C19:H19" si="11">SQRT(($I18*($I18-$I15)/($I15-1))*(C16*(1-C16)))</f>
        <v>0</v>
      </c>
      <c r="D19" s="71">
        <f t="shared" si="11"/>
        <v>105.93365605962137</v>
      </c>
      <c r="E19" s="71">
        <f t="shared" si="11"/>
        <v>170.33354670809348</v>
      </c>
      <c r="F19" s="71">
        <f t="shared" si="11"/>
        <v>186.85761083586587</v>
      </c>
      <c r="G19" s="71">
        <f t="shared" si="11"/>
        <v>34.712803806432397</v>
      </c>
      <c r="H19" s="71">
        <f t="shared" si="11"/>
        <v>0</v>
      </c>
      <c r="I19" s="72"/>
      <c r="L19" s="262"/>
      <c r="M19" s="262"/>
      <c r="N19" s="262"/>
      <c r="O19" s="262"/>
      <c r="P19" s="262"/>
      <c r="Q19" s="262"/>
      <c r="R19" s="262"/>
      <c r="S19" s="262"/>
    </row>
    <row r="20" spans="1:19" ht="14.45" x14ac:dyDescent="0.3">
      <c r="A20" s="63">
        <v>1986</v>
      </c>
      <c r="B20" s="64" t="s">
        <v>49</v>
      </c>
      <c r="C20" s="65">
        <v>0</v>
      </c>
      <c r="D20" s="260">
        <f>'Escapement Age'!S9</f>
        <v>3</v>
      </c>
      <c r="E20" s="260">
        <f>'Escapement Age'!T9</f>
        <v>463</v>
      </c>
      <c r="F20" s="260">
        <f>'Escapement Age'!U9</f>
        <v>379</v>
      </c>
      <c r="G20" s="260">
        <f>'Escapement Age'!V9</f>
        <v>27</v>
      </c>
      <c r="H20" s="65">
        <v>0</v>
      </c>
      <c r="I20" s="65">
        <f>SUM(C20:H20)</f>
        <v>872</v>
      </c>
      <c r="L20" s="262"/>
      <c r="M20" s="262"/>
      <c r="N20" s="262"/>
      <c r="O20" s="262"/>
      <c r="P20" s="262"/>
      <c r="Q20" s="262"/>
      <c r="R20" s="262"/>
      <c r="S20" s="262"/>
    </row>
    <row r="21" spans="1:19" ht="14.45" x14ac:dyDescent="0.3">
      <c r="A21" s="63"/>
      <c r="B21" s="64" t="s">
        <v>50</v>
      </c>
      <c r="C21" s="66">
        <f t="shared" ref="C21:H21" si="12">C20/$I20</f>
        <v>0</v>
      </c>
      <c r="D21" s="66">
        <f t="shared" si="12"/>
        <v>3.4403669724770644E-3</v>
      </c>
      <c r="E21" s="66">
        <f t="shared" si="12"/>
        <v>0.53096330275229353</v>
      </c>
      <c r="F21" s="66">
        <f t="shared" si="12"/>
        <v>0.43463302752293576</v>
      </c>
      <c r="G21" s="66">
        <f t="shared" si="12"/>
        <v>3.096330275229358E-2</v>
      </c>
      <c r="H21" s="66">
        <f t="shared" si="12"/>
        <v>0</v>
      </c>
      <c r="I21" s="67"/>
      <c r="L21" s="262"/>
      <c r="M21" s="262"/>
      <c r="N21" s="262"/>
      <c r="O21" s="262"/>
      <c r="P21" s="262"/>
      <c r="Q21" s="262"/>
      <c r="R21" s="262"/>
      <c r="S21" s="262"/>
    </row>
    <row r="22" spans="1:19" ht="14.45" x14ac:dyDescent="0.3">
      <c r="A22" s="63"/>
      <c r="B22" s="64" t="s">
        <v>51</v>
      </c>
      <c r="C22" s="66">
        <f t="shared" ref="C22:H22" si="13">SQRT((C21*(1-C21))/($I20-1))</f>
        <v>0</v>
      </c>
      <c r="D22" s="66">
        <f t="shared" si="13"/>
        <v>1.9840150085227038E-3</v>
      </c>
      <c r="E22" s="66">
        <f t="shared" si="13"/>
        <v>1.69093372898101E-2</v>
      </c>
      <c r="F22" s="66">
        <f t="shared" si="13"/>
        <v>1.67964500277656E-2</v>
      </c>
      <c r="G22" s="66">
        <f t="shared" si="13"/>
        <v>5.8692779140091245E-3</v>
      </c>
      <c r="H22" s="66">
        <f t="shared" si="13"/>
        <v>0</v>
      </c>
      <c r="I22" s="66"/>
      <c r="L22" s="262"/>
      <c r="M22" s="262"/>
      <c r="N22" s="262"/>
      <c r="O22" s="262"/>
      <c r="P22" s="262"/>
      <c r="Q22" s="262"/>
      <c r="R22" s="262"/>
      <c r="S22" s="262"/>
    </row>
    <row r="23" spans="1:19" ht="14.45" x14ac:dyDescent="0.3">
      <c r="A23" s="63"/>
      <c r="B23" s="64" t="s">
        <v>18</v>
      </c>
      <c r="C23" s="68">
        <f t="shared" ref="C23:H23" si="14">C21*$I23</f>
        <v>0</v>
      </c>
      <c r="D23" s="68">
        <f t="shared" si="14"/>
        <v>24.210088268618353</v>
      </c>
      <c r="E23" s="68">
        <f t="shared" si="14"/>
        <v>3736.4236227900988</v>
      </c>
      <c r="F23" s="68">
        <f t="shared" si="14"/>
        <v>3058.5411512687851</v>
      </c>
      <c r="G23" s="68">
        <f t="shared" si="14"/>
        <v>217.89079441756519</v>
      </c>
      <c r="H23" s="68">
        <f t="shared" si="14"/>
        <v>0</v>
      </c>
      <c r="I23" s="68">
        <f>'Summary Data'!J15</f>
        <v>7037.0656567450678</v>
      </c>
      <c r="J23" s="60">
        <f>I20/I23</f>
        <v>0.12391528550883747</v>
      </c>
      <c r="L23" s="262"/>
      <c r="M23" s="262"/>
      <c r="N23" s="262"/>
      <c r="O23" s="262"/>
      <c r="P23" s="262"/>
      <c r="Q23" s="262"/>
      <c r="R23" s="262"/>
      <c r="S23" s="262"/>
    </row>
    <row r="24" spans="1:19" ht="14.45" x14ac:dyDescent="0.3">
      <c r="A24" s="69"/>
      <c r="B24" s="70" t="s">
        <v>52</v>
      </c>
      <c r="C24" s="71">
        <f t="shared" ref="C24:H24" si="15">SQRT(($I23*($I23-$I20)/($I20-1))*(C21*(1-C21)))</f>
        <v>0</v>
      </c>
      <c r="D24" s="71">
        <f t="shared" si="15"/>
        <v>13.068014501478713</v>
      </c>
      <c r="E24" s="71">
        <f t="shared" si="15"/>
        <v>111.37590389407805</v>
      </c>
      <c r="F24" s="71">
        <f t="shared" si="15"/>
        <v>110.63235489314172</v>
      </c>
      <c r="G24" s="71">
        <f t="shared" si="15"/>
        <v>38.658885423750185</v>
      </c>
      <c r="H24" s="71">
        <f t="shared" si="15"/>
        <v>0</v>
      </c>
      <c r="I24" s="72"/>
      <c r="L24" s="262"/>
      <c r="M24" s="262"/>
      <c r="N24" s="262"/>
      <c r="O24" s="262"/>
      <c r="P24" s="262"/>
      <c r="Q24" s="262"/>
      <c r="R24" s="262"/>
      <c r="S24" s="262"/>
    </row>
    <row r="25" spans="1:19" ht="14.45" x14ac:dyDescent="0.3">
      <c r="A25" s="63">
        <v>1987</v>
      </c>
      <c r="B25" s="64" t="s">
        <v>49</v>
      </c>
      <c r="C25" s="65">
        <v>0</v>
      </c>
      <c r="D25" s="260">
        <f>'Escapement Age'!S10</f>
        <v>0</v>
      </c>
      <c r="E25" s="260">
        <f>'Escapement Age'!T10</f>
        <v>102</v>
      </c>
      <c r="F25" s="260">
        <f>'Escapement Age'!U10</f>
        <v>1221</v>
      </c>
      <c r="G25" s="260">
        <f>'Escapement Age'!V10</f>
        <v>18</v>
      </c>
      <c r="H25" s="65">
        <v>0</v>
      </c>
      <c r="I25" s="65">
        <f>SUM(C25:H25)</f>
        <v>1341</v>
      </c>
      <c r="L25" s="262"/>
      <c r="M25" s="262"/>
      <c r="N25" s="262"/>
      <c r="O25" s="262"/>
      <c r="P25" s="262"/>
      <c r="Q25" s="262"/>
      <c r="R25" s="262"/>
      <c r="S25" s="262"/>
    </row>
    <row r="26" spans="1:19" ht="14.45" x14ac:dyDescent="0.3">
      <c r="A26" s="63"/>
      <c r="B26" s="64" t="s">
        <v>50</v>
      </c>
      <c r="C26" s="66">
        <f t="shared" ref="C26:H26" si="16">C25/$I25</f>
        <v>0</v>
      </c>
      <c r="D26" s="66">
        <f t="shared" si="16"/>
        <v>0</v>
      </c>
      <c r="E26" s="66">
        <f t="shared" si="16"/>
        <v>7.6062639821029079E-2</v>
      </c>
      <c r="F26" s="66">
        <f t="shared" si="16"/>
        <v>0.91051454138702459</v>
      </c>
      <c r="G26" s="66">
        <f t="shared" si="16"/>
        <v>1.3422818791946308E-2</v>
      </c>
      <c r="H26" s="66">
        <f t="shared" si="16"/>
        <v>0</v>
      </c>
      <c r="I26" s="67"/>
      <c r="L26" s="262"/>
      <c r="M26" s="262"/>
      <c r="N26" s="262"/>
      <c r="O26" s="262"/>
      <c r="P26" s="262"/>
      <c r="Q26" s="262"/>
      <c r="R26" s="262"/>
      <c r="S26" s="262"/>
    </row>
    <row r="27" spans="1:19" ht="14.45" x14ac:dyDescent="0.3">
      <c r="A27" s="63"/>
      <c r="B27" s="64" t="s">
        <v>51</v>
      </c>
      <c r="C27" s="66">
        <f t="shared" ref="C27:H27" si="17">SQRT((C26*(1-C26))/($I25-1))</f>
        <v>0</v>
      </c>
      <c r="D27" s="66">
        <f t="shared" si="17"/>
        <v>0</v>
      </c>
      <c r="E27" s="66">
        <f t="shared" si="17"/>
        <v>7.2419339919420614E-3</v>
      </c>
      <c r="F27" s="66">
        <f t="shared" si="17"/>
        <v>7.7977135622154569E-3</v>
      </c>
      <c r="G27" s="66">
        <f t="shared" si="17"/>
        <v>3.1436558629714369E-3</v>
      </c>
      <c r="H27" s="66">
        <f t="shared" si="17"/>
        <v>0</v>
      </c>
      <c r="I27" s="66"/>
      <c r="L27" s="262"/>
      <c r="M27" s="262"/>
      <c r="N27" s="262"/>
      <c r="O27" s="262"/>
      <c r="P27" s="262"/>
      <c r="Q27" s="262"/>
      <c r="R27" s="262"/>
      <c r="S27" s="262"/>
    </row>
    <row r="28" spans="1:19" ht="14.45" x14ac:dyDescent="0.3">
      <c r="A28" s="63"/>
      <c r="B28" s="64" t="s">
        <v>18</v>
      </c>
      <c r="C28" s="68">
        <f t="shared" ref="C28:H28" si="18">C26*$I28</f>
        <v>0</v>
      </c>
      <c r="D28" s="68">
        <f t="shared" si="18"/>
        <v>0</v>
      </c>
      <c r="E28" s="68">
        <f t="shared" si="18"/>
        <v>780.20613882605323</v>
      </c>
      <c r="F28" s="68">
        <f t="shared" si="18"/>
        <v>9339.5264265354017</v>
      </c>
      <c r="G28" s="68">
        <f t="shared" si="18"/>
        <v>137.68343626342116</v>
      </c>
      <c r="H28" s="68">
        <f t="shared" si="18"/>
        <v>0</v>
      </c>
      <c r="I28" s="68">
        <f>'Summary Data'!J16</f>
        <v>10257.416001624877</v>
      </c>
      <c r="J28" s="60">
        <f>I25/I28</f>
        <v>0.13073468013655409</v>
      </c>
      <c r="L28" s="262"/>
      <c r="M28" s="262"/>
      <c r="N28" s="262"/>
      <c r="O28" s="262"/>
      <c r="P28" s="262"/>
      <c r="Q28" s="262"/>
      <c r="R28" s="262"/>
      <c r="S28" s="262"/>
    </row>
    <row r="29" spans="1:19" ht="14.45" x14ac:dyDescent="0.3">
      <c r="A29" s="69"/>
      <c r="B29" s="70" t="s">
        <v>52</v>
      </c>
      <c r="C29" s="71">
        <f t="shared" ref="C29:H29" si="19">SQRT(($I28*($I28-$I25)/($I25-1))*(C26*(1-C26)))</f>
        <v>0</v>
      </c>
      <c r="D29" s="71">
        <f t="shared" si="19"/>
        <v>0</v>
      </c>
      <c r="E29" s="71">
        <f t="shared" si="19"/>
        <v>69.257802555708537</v>
      </c>
      <c r="F29" s="71">
        <f t="shared" si="19"/>
        <v>74.572967232067171</v>
      </c>
      <c r="G29" s="71">
        <f t="shared" si="19"/>
        <v>30.06416480777462</v>
      </c>
      <c r="H29" s="71">
        <f t="shared" si="19"/>
        <v>0</v>
      </c>
      <c r="I29" s="72"/>
      <c r="L29" s="262"/>
      <c r="M29" s="262"/>
      <c r="N29" s="262"/>
      <c r="O29" s="262"/>
      <c r="P29" s="262"/>
      <c r="Q29" s="262"/>
      <c r="R29" s="262"/>
      <c r="S29" s="262"/>
    </row>
    <row r="30" spans="1:19" x14ac:dyDescent="0.25">
      <c r="A30" s="63">
        <v>1988</v>
      </c>
      <c r="B30" s="64" t="s">
        <v>49</v>
      </c>
      <c r="C30" s="65">
        <v>0</v>
      </c>
      <c r="D30" s="260">
        <f>'Escapement Age'!S11</f>
        <v>1</v>
      </c>
      <c r="E30" s="260">
        <f>'Escapement Age'!T11</f>
        <v>266</v>
      </c>
      <c r="F30" s="260">
        <f>'Escapement Age'!U11</f>
        <v>380</v>
      </c>
      <c r="G30" s="260">
        <f>'Escapement Age'!V11</f>
        <v>12</v>
      </c>
      <c r="H30" s="65">
        <v>0</v>
      </c>
      <c r="I30" s="65">
        <f>SUM(C30:H30)</f>
        <v>659</v>
      </c>
      <c r="L30" s="262"/>
      <c r="M30" s="262"/>
      <c r="N30" s="262"/>
      <c r="O30" s="262"/>
      <c r="P30" s="262"/>
      <c r="Q30" s="262"/>
      <c r="R30" s="262"/>
      <c r="S30" s="262"/>
    </row>
    <row r="31" spans="1:19" x14ac:dyDescent="0.25">
      <c r="A31" s="63"/>
      <c r="B31" s="64" t="s">
        <v>50</v>
      </c>
      <c r="C31" s="66">
        <f t="shared" ref="C31:H31" si="20">C30/$I30</f>
        <v>0</v>
      </c>
      <c r="D31" s="66">
        <f t="shared" si="20"/>
        <v>1.5174506828528073E-3</v>
      </c>
      <c r="E31" s="66">
        <f t="shared" si="20"/>
        <v>0.40364188163884673</v>
      </c>
      <c r="F31" s="66">
        <f t="shared" si="20"/>
        <v>0.57663125948406679</v>
      </c>
      <c r="G31" s="66">
        <f t="shared" si="20"/>
        <v>1.8209408194233688E-2</v>
      </c>
      <c r="H31" s="66">
        <f t="shared" si="20"/>
        <v>0</v>
      </c>
      <c r="I31" s="67"/>
      <c r="L31" s="262"/>
      <c r="M31" s="262"/>
      <c r="N31" s="262"/>
      <c r="O31" s="262"/>
      <c r="P31" s="262"/>
      <c r="Q31" s="262"/>
      <c r="R31" s="262"/>
      <c r="S31" s="262"/>
    </row>
    <row r="32" spans="1:19" x14ac:dyDescent="0.25">
      <c r="A32" s="63"/>
      <c r="B32" s="64" t="s">
        <v>51</v>
      </c>
      <c r="C32" s="66">
        <f t="shared" ref="C32:H32" si="21">SQRT((C31*(1-C31))/($I30-1))</f>
        <v>0</v>
      </c>
      <c r="D32" s="66">
        <f t="shared" si="21"/>
        <v>1.5174506828528073E-3</v>
      </c>
      <c r="E32" s="66">
        <f t="shared" si="21"/>
        <v>1.9126642132091171E-2</v>
      </c>
      <c r="F32" s="66">
        <f t="shared" si="21"/>
        <v>1.9261740984648938E-2</v>
      </c>
      <c r="G32" s="66">
        <f t="shared" si="21"/>
        <v>5.2124800040361198E-3</v>
      </c>
      <c r="H32" s="66">
        <f t="shared" si="21"/>
        <v>0</v>
      </c>
      <c r="I32" s="66"/>
      <c r="L32" s="262"/>
      <c r="M32" s="262"/>
      <c r="N32" s="262"/>
      <c r="O32" s="262"/>
      <c r="P32" s="262"/>
      <c r="Q32" s="262"/>
      <c r="R32" s="262"/>
      <c r="S32" s="262"/>
    </row>
    <row r="33" spans="1:19" x14ac:dyDescent="0.25">
      <c r="A33" s="63"/>
      <c r="B33" s="64" t="s">
        <v>18</v>
      </c>
      <c r="C33" s="68">
        <f t="shared" ref="C33:H33" si="22">C31*$I33</f>
        <v>0</v>
      </c>
      <c r="D33" s="68">
        <f t="shared" si="22"/>
        <v>2.7597248749813859</v>
      </c>
      <c r="E33" s="68">
        <f t="shared" si="22"/>
        <v>734.08681674504862</v>
      </c>
      <c r="F33" s="68">
        <f t="shared" si="22"/>
        <v>1048.6954524929265</v>
      </c>
      <c r="G33" s="68">
        <f t="shared" si="22"/>
        <v>33.116698499776632</v>
      </c>
      <c r="H33" s="68">
        <f t="shared" si="22"/>
        <v>0</v>
      </c>
      <c r="I33" s="68">
        <f>'Summary Data'!J17</f>
        <v>1818.6586926127331</v>
      </c>
      <c r="J33" s="60">
        <f>I30/I33</f>
        <v>0.36235496120124838</v>
      </c>
      <c r="L33" s="262"/>
      <c r="M33" s="262"/>
      <c r="N33" s="262"/>
      <c r="O33" s="262"/>
      <c r="P33" s="262"/>
      <c r="Q33" s="262"/>
      <c r="R33" s="262"/>
      <c r="S33" s="262"/>
    </row>
    <row r="34" spans="1:19" x14ac:dyDescent="0.25">
      <c r="A34" s="69"/>
      <c r="B34" s="70" t="s">
        <v>52</v>
      </c>
      <c r="C34" s="71">
        <f t="shared" ref="C34:H34" si="23">SQRT(($I33*($I33-$I30)/($I30-1))*(C31*(1-C31)))</f>
        <v>0</v>
      </c>
      <c r="D34" s="71">
        <f t="shared" si="23"/>
        <v>2.203714253393493</v>
      </c>
      <c r="E34" s="71">
        <f t="shared" si="23"/>
        <v>27.776621910904193</v>
      </c>
      <c r="F34" s="71">
        <f t="shared" si="23"/>
        <v>27.972818907856308</v>
      </c>
      <c r="G34" s="71">
        <f t="shared" si="23"/>
        <v>7.5698120605987356</v>
      </c>
      <c r="H34" s="71">
        <f t="shared" si="23"/>
        <v>0</v>
      </c>
      <c r="I34" s="72"/>
      <c r="L34" s="262"/>
      <c r="M34" s="262"/>
      <c r="N34" s="262"/>
      <c r="O34" s="262"/>
      <c r="P34" s="262"/>
      <c r="Q34" s="262"/>
      <c r="R34" s="262"/>
      <c r="S34" s="262"/>
    </row>
    <row r="35" spans="1:19" x14ac:dyDescent="0.25">
      <c r="A35" s="63">
        <v>1989</v>
      </c>
      <c r="B35" s="64" t="s">
        <v>49</v>
      </c>
      <c r="C35" s="65">
        <v>0</v>
      </c>
      <c r="D35" s="260">
        <f>'Escapement Age'!S12</f>
        <v>1</v>
      </c>
      <c r="E35" s="260">
        <f>'Escapement Age'!T12</f>
        <v>323</v>
      </c>
      <c r="F35" s="260">
        <f>'Escapement Age'!U12</f>
        <v>731</v>
      </c>
      <c r="G35" s="260">
        <f>'Escapement Age'!V12</f>
        <v>73</v>
      </c>
      <c r="H35" s="65">
        <v>0</v>
      </c>
      <c r="I35" s="65">
        <f>SUM(C35:H35)</f>
        <v>1128</v>
      </c>
      <c r="L35" s="262"/>
      <c r="M35" s="262"/>
      <c r="N35" s="262"/>
      <c r="O35" s="262"/>
      <c r="P35" s="262"/>
      <c r="Q35" s="262"/>
      <c r="R35" s="262"/>
      <c r="S35" s="262"/>
    </row>
    <row r="36" spans="1:19" x14ac:dyDescent="0.25">
      <c r="A36" s="63"/>
      <c r="B36" s="64" t="s">
        <v>50</v>
      </c>
      <c r="C36" s="66">
        <f t="shared" ref="C36:H36" si="24">C35/$I35</f>
        <v>0</v>
      </c>
      <c r="D36" s="66">
        <f t="shared" si="24"/>
        <v>8.8652482269503544E-4</v>
      </c>
      <c r="E36" s="66">
        <f t="shared" si="24"/>
        <v>0.28634751773049644</v>
      </c>
      <c r="F36" s="66">
        <f t="shared" si="24"/>
        <v>0.64804964539007093</v>
      </c>
      <c r="G36" s="66">
        <f t="shared" si="24"/>
        <v>6.4716312056737585E-2</v>
      </c>
      <c r="H36" s="66">
        <f t="shared" si="24"/>
        <v>0</v>
      </c>
      <c r="I36" s="67"/>
      <c r="L36" s="262"/>
      <c r="M36" s="262"/>
      <c r="N36" s="262"/>
      <c r="O36" s="262"/>
      <c r="P36" s="262"/>
      <c r="Q36" s="262"/>
      <c r="R36" s="262"/>
      <c r="S36" s="262"/>
    </row>
    <row r="37" spans="1:19" x14ac:dyDescent="0.25">
      <c r="A37" s="63"/>
      <c r="B37" s="64" t="s">
        <v>51</v>
      </c>
      <c r="C37" s="66">
        <f t="shared" ref="C37:H37" si="25">SQRT((C36*(1-C36))/($I35-1))</f>
        <v>0</v>
      </c>
      <c r="D37" s="66">
        <f t="shared" si="25"/>
        <v>8.8652482269503544E-4</v>
      </c>
      <c r="E37" s="66">
        <f t="shared" si="25"/>
        <v>1.3465675474680904E-2</v>
      </c>
      <c r="F37" s="66">
        <f t="shared" si="25"/>
        <v>1.4226002614901298E-2</v>
      </c>
      <c r="G37" s="66">
        <f t="shared" si="25"/>
        <v>7.3285254808599541E-3</v>
      </c>
      <c r="H37" s="66">
        <f t="shared" si="25"/>
        <v>0</v>
      </c>
      <c r="I37" s="66"/>
      <c r="L37" s="262"/>
      <c r="M37" s="262"/>
      <c r="N37" s="262"/>
      <c r="O37" s="262"/>
      <c r="P37" s="262"/>
      <c r="Q37" s="262"/>
      <c r="R37" s="262"/>
      <c r="S37" s="262"/>
    </row>
    <row r="38" spans="1:19" x14ac:dyDescent="0.25">
      <c r="A38" s="63"/>
      <c r="B38" s="64" t="s">
        <v>18</v>
      </c>
      <c r="C38" s="68">
        <f t="shared" ref="C38:H38" si="26">C36*$I38</f>
        <v>0</v>
      </c>
      <c r="D38" s="68">
        <f t="shared" si="26"/>
        <v>12.58701196779103</v>
      </c>
      <c r="E38" s="68">
        <f t="shared" si="26"/>
        <v>4065.6048655965023</v>
      </c>
      <c r="F38" s="68">
        <f t="shared" si="26"/>
        <v>9201.1057484552421</v>
      </c>
      <c r="G38" s="68">
        <f t="shared" si="26"/>
        <v>918.85187364874514</v>
      </c>
      <c r="H38" s="68">
        <f t="shared" si="26"/>
        <v>0</v>
      </c>
      <c r="I38" s="68">
        <f>'Summary Data'!J18</f>
        <v>14198.149499668281</v>
      </c>
      <c r="J38" s="60">
        <f>I35/I38</f>
        <v>7.9446973003513874E-2</v>
      </c>
      <c r="L38" s="262"/>
      <c r="M38" s="262"/>
      <c r="N38" s="262"/>
      <c r="O38" s="262"/>
      <c r="P38" s="262"/>
      <c r="Q38" s="262"/>
      <c r="R38" s="262"/>
      <c r="S38" s="262"/>
    </row>
    <row r="39" spans="1:19" x14ac:dyDescent="0.25">
      <c r="A39" s="69"/>
      <c r="B39" s="70" t="s">
        <v>52</v>
      </c>
      <c r="C39" s="71">
        <f t="shared" ref="C39:H39" si="27">SQRT(($I38*($I38-$I35)/($I35-1))*(C36*(1-C36)))</f>
        <v>0</v>
      </c>
      <c r="D39" s="71">
        <f t="shared" si="27"/>
        <v>12.076665860639002</v>
      </c>
      <c r="E39" s="71">
        <f t="shared" si="27"/>
        <v>183.43588259734969</v>
      </c>
      <c r="F39" s="71">
        <f t="shared" si="27"/>
        <v>193.79342316717037</v>
      </c>
      <c r="G39" s="71">
        <f t="shared" si="27"/>
        <v>99.832685129415566</v>
      </c>
      <c r="H39" s="71">
        <f t="shared" si="27"/>
        <v>0</v>
      </c>
      <c r="I39" s="72"/>
      <c r="L39" s="262"/>
      <c r="M39" s="262"/>
      <c r="N39" s="262"/>
      <c r="O39" s="262"/>
      <c r="P39" s="262"/>
      <c r="Q39" s="262"/>
      <c r="R39" s="262"/>
      <c r="S39" s="262"/>
    </row>
    <row r="40" spans="1:19" x14ac:dyDescent="0.25">
      <c r="A40" s="63">
        <v>1990</v>
      </c>
      <c r="B40" s="64" t="s">
        <v>49</v>
      </c>
      <c r="C40" s="65">
        <v>0</v>
      </c>
      <c r="D40" s="260">
        <f>'Escapement Age'!S13</f>
        <v>9</v>
      </c>
      <c r="E40" s="260">
        <f>'Escapement Age'!T13</f>
        <v>846</v>
      </c>
      <c r="F40" s="260">
        <f>'Escapement Age'!U13</f>
        <v>961</v>
      </c>
      <c r="G40" s="260">
        <f>'Escapement Age'!V13</f>
        <v>46</v>
      </c>
      <c r="H40" s="65">
        <v>0</v>
      </c>
      <c r="I40" s="65">
        <f>SUM(C40:H40)</f>
        <v>1862</v>
      </c>
      <c r="L40" s="262"/>
      <c r="M40" s="262"/>
      <c r="N40" s="262"/>
      <c r="O40" s="262"/>
      <c r="P40" s="262"/>
      <c r="Q40" s="262"/>
      <c r="R40" s="262"/>
      <c r="S40" s="262"/>
    </row>
    <row r="41" spans="1:19" x14ac:dyDescent="0.25">
      <c r="A41" s="63"/>
      <c r="B41" s="64" t="s">
        <v>50</v>
      </c>
      <c r="C41" s="66">
        <f t="shared" ref="C41:H41" si="28">C40/$I40</f>
        <v>0</v>
      </c>
      <c r="D41" s="66">
        <f t="shared" si="28"/>
        <v>4.8335123523093448E-3</v>
      </c>
      <c r="E41" s="66">
        <f t="shared" si="28"/>
        <v>0.45435016111707843</v>
      </c>
      <c r="F41" s="66">
        <f t="shared" si="28"/>
        <v>0.51611170784103111</v>
      </c>
      <c r="G41" s="66">
        <f t="shared" si="28"/>
        <v>2.4704618689581095E-2</v>
      </c>
      <c r="H41" s="66">
        <f t="shared" si="28"/>
        <v>0</v>
      </c>
      <c r="I41" s="67"/>
      <c r="L41" s="262"/>
      <c r="M41" s="262"/>
      <c r="N41" s="262"/>
      <c r="O41" s="262"/>
      <c r="P41" s="262"/>
      <c r="Q41" s="262"/>
      <c r="R41" s="262"/>
      <c r="S41" s="262"/>
    </row>
    <row r="42" spans="1:19" x14ac:dyDescent="0.25">
      <c r="A42" s="63"/>
      <c r="B42" s="64" t="s">
        <v>51</v>
      </c>
      <c r="C42" s="66">
        <f t="shared" ref="C42:H42" si="29">SQRT((C41*(1-C41))/($I40-1))</f>
        <v>0</v>
      </c>
      <c r="D42" s="66">
        <f t="shared" si="29"/>
        <v>1.6077040328369265E-3</v>
      </c>
      <c r="E42" s="66">
        <f t="shared" si="29"/>
        <v>1.1541949566274129E-2</v>
      </c>
      <c r="F42" s="66">
        <f t="shared" si="29"/>
        <v>1.1584338147339264E-2</v>
      </c>
      <c r="G42" s="66">
        <f t="shared" si="29"/>
        <v>3.5981890263299442E-3</v>
      </c>
      <c r="H42" s="66">
        <f t="shared" si="29"/>
        <v>0</v>
      </c>
      <c r="I42" s="66"/>
      <c r="L42" s="262"/>
      <c r="M42" s="262"/>
      <c r="N42" s="262"/>
      <c r="O42" s="262"/>
      <c r="P42" s="262"/>
      <c r="Q42" s="262"/>
      <c r="R42" s="262"/>
      <c r="S42" s="262"/>
    </row>
    <row r="43" spans="1:19" x14ac:dyDescent="0.25">
      <c r="A43" s="63"/>
      <c r="B43" s="64" t="s">
        <v>18</v>
      </c>
      <c r="C43" s="68">
        <f t="shared" ref="C43:H43" si="30">C41*$I43</f>
        <v>0</v>
      </c>
      <c r="D43" s="68">
        <f t="shared" si="30"/>
        <v>88.495322550546987</v>
      </c>
      <c r="E43" s="68">
        <f t="shared" si="30"/>
        <v>8318.5603197514174</v>
      </c>
      <c r="F43" s="68">
        <f t="shared" si="30"/>
        <v>9449.3338856750725</v>
      </c>
      <c r="G43" s="68">
        <f t="shared" si="30"/>
        <v>452.30942636946236</v>
      </c>
      <c r="H43" s="68">
        <f t="shared" si="30"/>
        <v>0</v>
      </c>
      <c r="I43" s="68">
        <f>'Summary Data'!J19</f>
        <v>18308.698954346499</v>
      </c>
      <c r="J43" s="60">
        <f>I40/I43</f>
        <v>0.10170029037251496</v>
      </c>
      <c r="L43" s="262"/>
      <c r="M43" s="262"/>
      <c r="N43" s="262"/>
      <c r="O43" s="262"/>
      <c r="P43" s="262"/>
      <c r="Q43" s="262"/>
      <c r="R43" s="262"/>
      <c r="S43" s="262"/>
    </row>
    <row r="44" spans="1:19" x14ac:dyDescent="0.25">
      <c r="A44" s="69"/>
      <c r="B44" s="70" t="s">
        <v>52</v>
      </c>
      <c r="C44" s="71">
        <f t="shared" ref="C44:H44" si="31">SQRT(($I43*($I43-$I40)/($I40-1))*(C41*(1-C41)))</f>
        <v>0</v>
      </c>
      <c r="D44" s="71">
        <f t="shared" si="31"/>
        <v>27.898073527158502</v>
      </c>
      <c r="E44" s="71">
        <f t="shared" si="31"/>
        <v>200.28447467316388</v>
      </c>
      <c r="F44" s="71">
        <f t="shared" si="31"/>
        <v>201.02003279027593</v>
      </c>
      <c r="G44" s="71">
        <f t="shared" si="31"/>
        <v>62.438446362564861</v>
      </c>
      <c r="H44" s="71">
        <f t="shared" si="31"/>
        <v>0</v>
      </c>
      <c r="I44" s="72"/>
      <c r="L44" s="262"/>
      <c r="M44" s="262"/>
      <c r="N44" s="262"/>
      <c r="O44" s="262"/>
      <c r="P44" s="262"/>
      <c r="Q44" s="262"/>
      <c r="R44" s="262"/>
      <c r="S44" s="262"/>
    </row>
    <row r="45" spans="1:19" x14ac:dyDescent="0.25">
      <c r="A45" s="63">
        <v>1991</v>
      </c>
      <c r="B45" s="64" t="s">
        <v>49</v>
      </c>
      <c r="C45" s="65">
        <v>0</v>
      </c>
      <c r="D45" s="260">
        <f>'Escapement Age'!S14</f>
        <v>1</v>
      </c>
      <c r="E45" s="260">
        <f>'Escapement Age'!T14</f>
        <v>37</v>
      </c>
      <c r="F45" s="260">
        <f>'Escapement Age'!U14</f>
        <v>111</v>
      </c>
      <c r="G45" s="260">
        <f>'Escapement Age'!V14</f>
        <v>5</v>
      </c>
      <c r="H45" s="65">
        <v>0</v>
      </c>
      <c r="I45" s="65">
        <f>SUM(C45:H45)</f>
        <v>154</v>
      </c>
      <c r="L45" s="262"/>
      <c r="M45" s="262"/>
      <c r="N45" s="262"/>
      <c r="O45" s="262"/>
      <c r="P45" s="262"/>
      <c r="Q45" s="262"/>
      <c r="R45" s="262"/>
      <c r="S45" s="262"/>
    </row>
    <row r="46" spans="1:19" x14ac:dyDescent="0.25">
      <c r="A46" s="63"/>
      <c r="B46" s="64" t="s">
        <v>50</v>
      </c>
      <c r="C46" s="66">
        <f t="shared" ref="C46:H46" si="32">C45/$I45</f>
        <v>0</v>
      </c>
      <c r="D46" s="66">
        <f t="shared" si="32"/>
        <v>6.4935064935064939E-3</v>
      </c>
      <c r="E46" s="66">
        <f t="shared" si="32"/>
        <v>0.24025974025974026</v>
      </c>
      <c r="F46" s="66">
        <f t="shared" si="32"/>
        <v>0.72077922077922074</v>
      </c>
      <c r="G46" s="66">
        <f t="shared" si="32"/>
        <v>3.2467532467532464E-2</v>
      </c>
      <c r="H46" s="66">
        <f t="shared" si="32"/>
        <v>0</v>
      </c>
      <c r="I46" s="67"/>
      <c r="L46" s="262"/>
      <c r="M46" s="262"/>
      <c r="N46" s="262"/>
      <c r="O46" s="262"/>
      <c r="P46" s="262"/>
      <c r="Q46" s="262"/>
      <c r="R46" s="262"/>
      <c r="S46" s="262"/>
    </row>
    <row r="47" spans="1:19" x14ac:dyDescent="0.25">
      <c r="A47" s="63"/>
      <c r="B47" s="64" t="s">
        <v>51</v>
      </c>
      <c r="C47" s="66">
        <f t="shared" ref="C47:H47" si="33">SQRT((C46*(1-C46))/($I45-1))</f>
        <v>0</v>
      </c>
      <c r="D47" s="66">
        <f t="shared" si="33"/>
        <v>6.4935064935064939E-3</v>
      </c>
      <c r="E47" s="66">
        <f t="shared" si="33"/>
        <v>3.4540399522164401E-2</v>
      </c>
      <c r="F47" s="66">
        <f t="shared" si="33"/>
        <v>3.6268473829697126E-2</v>
      </c>
      <c r="G47" s="66">
        <f t="shared" si="33"/>
        <v>1.4328862002759743E-2</v>
      </c>
      <c r="H47" s="66">
        <f t="shared" si="33"/>
        <v>0</v>
      </c>
      <c r="I47" s="66"/>
      <c r="L47" s="262"/>
      <c r="M47" s="262"/>
      <c r="N47" s="262"/>
      <c r="O47" s="262"/>
      <c r="P47" s="262"/>
      <c r="Q47" s="262"/>
      <c r="R47" s="262"/>
      <c r="S47" s="262"/>
    </row>
    <row r="48" spans="1:19" x14ac:dyDescent="0.25">
      <c r="A48" s="63"/>
      <c r="B48" s="64" t="s">
        <v>18</v>
      </c>
      <c r="C48" s="68">
        <f t="shared" ref="C48:H48" si="34">C46*$I48</f>
        <v>0</v>
      </c>
      <c r="D48" s="68">
        <f t="shared" si="34"/>
        <v>12.454220534707405</v>
      </c>
      <c r="E48" s="68">
        <f t="shared" si="34"/>
        <v>460.80615978417399</v>
      </c>
      <c r="F48" s="68">
        <f t="shared" si="34"/>
        <v>1382.4184793525219</v>
      </c>
      <c r="G48" s="68">
        <f t="shared" si="34"/>
        <v>62.271102673537015</v>
      </c>
      <c r="H48" s="68">
        <f t="shared" si="34"/>
        <v>0</v>
      </c>
      <c r="I48" s="68">
        <f>'Summary Data'!J20</f>
        <v>1917.9499623449403</v>
      </c>
      <c r="J48" s="60">
        <f>I45/I48</f>
        <v>8.0294065550967353E-2</v>
      </c>
      <c r="L48" s="262"/>
      <c r="M48" s="262"/>
      <c r="N48" s="262"/>
      <c r="O48" s="262"/>
      <c r="P48" s="262"/>
      <c r="Q48" s="262"/>
      <c r="R48" s="262"/>
      <c r="S48" s="262"/>
    </row>
    <row r="49" spans="1:19" x14ac:dyDescent="0.25">
      <c r="A49" s="69"/>
      <c r="B49" s="70" t="s">
        <v>52</v>
      </c>
      <c r="C49" s="71">
        <f t="shared" ref="C49:H49" si="35">SQRT(($I48*($I48-$I45)/($I45-1))*(C46*(1-C46)))</f>
        <v>0</v>
      </c>
      <c r="D49" s="71">
        <f t="shared" si="35"/>
        <v>11.943759399469675</v>
      </c>
      <c r="E49" s="71">
        <f t="shared" si="35"/>
        <v>63.531502103960491</v>
      </c>
      <c r="F49" s="71">
        <f t="shared" si="35"/>
        <v>66.710016482011213</v>
      </c>
      <c r="G49" s="71">
        <f t="shared" si="35"/>
        <v>26.355633955291495</v>
      </c>
      <c r="H49" s="71">
        <f t="shared" si="35"/>
        <v>0</v>
      </c>
      <c r="I49" s="72"/>
      <c r="L49" s="262"/>
      <c r="M49" s="262"/>
      <c r="N49" s="262"/>
      <c r="O49" s="262"/>
      <c r="P49" s="262"/>
      <c r="Q49" s="262"/>
      <c r="R49" s="262"/>
      <c r="S49" s="262"/>
    </row>
    <row r="50" spans="1:19" x14ac:dyDescent="0.25">
      <c r="A50" s="63">
        <v>1992</v>
      </c>
      <c r="B50" s="64" t="s">
        <v>49</v>
      </c>
      <c r="C50" s="65">
        <v>0</v>
      </c>
      <c r="D50" s="260">
        <f>'Escapement Age'!S15</f>
        <v>0</v>
      </c>
      <c r="E50" s="260">
        <f>'Escapement Age'!T15</f>
        <v>454</v>
      </c>
      <c r="F50" s="260">
        <f>'Escapement Age'!U15</f>
        <v>331</v>
      </c>
      <c r="G50" s="260">
        <f>'Escapement Age'!V15</f>
        <v>13</v>
      </c>
      <c r="H50" s="65">
        <v>0</v>
      </c>
      <c r="I50" s="65">
        <f>SUM(C50:H50)</f>
        <v>798</v>
      </c>
      <c r="L50" s="262"/>
      <c r="M50" s="262"/>
      <c r="N50" s="262"/>
      <c r="O50" s="262"/>
      <c r="P50" s="262"/>
      <c r="Q50" s="262"/>
      <c r="R50" s="262"/>
      <c r="S50" s="262"/>
    </row>
    <row r="51" spans="1:19" x14ac:dyDescent="0.25">
      <c r="A51" s="63"/>
      <c r="B51" s="64" t="s">
        <v>50</v>
      </c>
      <c r="C51" s="66">
        <f t="shared" ref="C51:H51" si="36">C50/$I50</f>
        <v>0</v>
      </c>
      <c r="D51" s="66">
        <f t="shared" si="36"/>
        <v>0</v>
      </c>
      <c r="E51" s="66">
        <f t="shared" si="36"/>
        <v>0.56892230576441105</v>
      </c>
      <c r="F51" s="66">
        <f t="shared" si="36"/>
        <v>0.41478696741854637</v>
      </c>
      <c r="G51" s="66">
        <f t="shared" si="36"/>
        <v>1.6290726817042606E-2</v>
      </c>
      <c r="H51" s="66">
        <f t="shared" si="36"/>
        <v>0</v>
      </c>
      <c r="I51" s="67"/>
      <c r="L51" s="262"/>
      <c r="M51" s="262"/>
      <c r="N51" s="262"/>
      <c r="O51" s="262"/>
      <c r="P51" s="262"/>
      <c r="Q51" s="262"/>
      <c r="R51" s="262"/>
      <c r="S51" s="262"/>
    </row>
    <row r="52" spans="1:19" x14ac:dyDescent="0.25">
      <c r="A52" s="63"/>
      <c r="B52" s="64" t="s">
        <v>51</v>
      </c>
      <c r="C52" s="66">
        <f t="shared" ref="C52:H52" si="37">SQRT((C51*(1-C51))/($I50-1))</f>
        <v>0</v>
      </c>
      <c r="D52" s="66">
        <f t="shared" si="37"/>
        <v>0</v>
      </c>
      <c r="E52" s="66">
        <f t="shared" si="37"/>
        <v>1.7541837988368964E-2</v>
      </c>
      <c r="F52" s="66">
        <f t="shared" si="37"/>
        <v>1.7451806343190983E-2</v>
      </c>
      <c r="G52" s="66">
        <f t="shared" si="37"/>
        <v>4.4840913604096812E-3</v>
      </c>
      <c r="H52" s="66">
        <f t="shared" si="37"/>
        <v>0</v>
      </c>
      <c r="I52" s="66"/>
      <c r="L52" s="262"/>
      <c r="M52" s="262"/>
      <c r="N52" s="262"/>
      <c r="O52" s="262"/>
      <c r="P52" s="262"/>
      <c r="Q52" s="262"/>
      <c r="R52" s="262"/>
      <c r="S52" s="262"/>
    </row>
    <row r="53" spans="1:19" x14ac:dyDescent="0.25">
      <c r="A53" s="63"/>
      <c r="B53" s="64" t="s">
        <v>18</v>
      </c>
      <c r="C53" s="68">
        <f t="shared" ref="C53:H53" si="38">C51*$I53</f>
        <v>0</v>
      </c>
      <c r="D53" s="68">
        <f t="shared" si="38"/>
        <v>0</v>
      </c>
      <c r="E53" s="68">
        <f t="shared" si="38"/>
        <v>5859.3926343450294</v>
      </c>
      <c r="F53" s="68">
        <f t="shared" si="38"/>
        <v>4271.9360395775429</v>
      </c>
      <c r="G53" s="68">
        <f t="shared" si="38"/>
        <v>167.77996530062859</v>
      </c>
      <c r="H53" s="68">
        <f t="shared" si="38"/>
        <v>0</v>
      </c>
      <c r="I53" s="68">
        <f>'Summary Data'!J21</f>
        <v>10299.108639223201</v>
      </c>
      <c r="J53" s="60">
        <f>I50/I53</f>
        <v>7.7482433475931201E-2</v>
      </c>
      <c r="L53" s="262"/>
      <c r="M53" s="262"/>
      <c r="N53" s="262"/>
      <c r="O53" s="262"/>
      <c r="P53" s="262"/>
      <c r="Q53" s="262"/>
      <c r="R53" s="262"/>
      <c r="S53" s="262"/>
    </row>
    <row r="54" spans="1:19" x14ac:dyDescent="0.25">
      <c r="A54" s="69"/>
      <c r="B54" s="70" t="s">
        <v>52</v>
      </c>
      <c r="C54" s="71">
        <f t="shared" ref="C54:H54" si="39">SQRT(($I53*($I53-$I50)/($I50-1))*(C51*(1-C51)))</f>
        <v>0</v>
      </c>
      <c r="D54" s="71">
        <f t="shared" si="39"/>
        <v>0</v>
      </c>
      <c r="E54" s="71">
        <f t="shared" si="39"/>
        <v>173.52500169280242</v>
      </c>
      <c r="F54" s="71">
        <f t="shared" si="39"/>
        <v>172.63440280617075</v>
      </c>
      <c r="G54" s="71">
        <f t="shared" si="39"/>
        <v>44.356923226727311</v>
      </c>
      <c r="H54" s="71">
        <f t="shared" si="39"/>
        <v>0</v>
      </c>
      <c r="I54" s="72"/>
      <c r="L54" s="262"/>
      <c r="M54" s="262"/>
      <c r="N54" s="262"/>
      <c r="O54" s="262"/>
      <c r="P54" s="262"/>
      <c r="Q54" s="262"/>
      <c r="R54" s="262"/>
      <c r="S54" s="262"/>
    </row>
    <row r="55" spans="1:19" x14ac:dyDescent="0.25">
      <c r="A55" s="209">
        <v>1993</v>
      </c>
      <c r="B55" s="59" t="s">
        <v>49</v>
      </c>
      <c r="C55" s="57">
        <v>0</v>
      </c>
      <c r="D55" s="261">
        <f>'Escapement Age'!S16</f>
        <v>0</v>
      </c>
      <c r="E55" s="261">
        <f>'Escapement Age'!T16</f>
        <v>180</v>
      </c>
      <c r="F55" s="261">
        <f>'Escapement Age'!U16</f>
        <v>324</v>
      </c>
      <c r="G55" s="261">
        <f>'Escapement Age'!V16</f>
        <v>17</v>
      </c>
      <c r="H55" s="57">
        <v>0</v>
      </c>
      <c r="I55" s="65">
        <f>SUM(C55:H55)</f>
        <v>521</v>
      </c>
      <c r="L55" s="262"/>
      <c r="M55" s="262"/>
      <c r="N55" s="262"/>
      <c r="O55" s="262"/>
      <c r="P55" s="262"/>
      <c r="Q55" s="262"/>
      <c r="R55" s="262"/>
      <c r="S55" s="262"/>
    </row>
    <row r="56" spans="1:19" x14ac:dyDescent="0.25">
      <c r="A56" s="32"/>
      <c r="B56" s="59" t="s">
        <v>50</v>
      </c>
      <c r="C56" s="61">
        <f t="shared" ref="C56:H56" si="40">C55/$I55</f>
        <v>0</v>
      </c>
      <c r="D56" s="61">
        <f t="shared" si="40"/>
        <v>0</v>
      </c>
      <c r="E56" s="61">
        <f t="shared" si="40"/>
        <v>0.34548944337811899</v>
      </c>
      <c r="F56" s="61">
        <f t="shared" si="40"/>
        <v>0.62188099808061426</v>
      </c>
      <c r="G56" s="61">
        <f t="shared" si="40"/>
        <v>3.2629558541266791E-2</v>
      </c>
      <c r="H56" s="61">
        <f t="shared" si="40"/>
        <v>0</v>
      </c>
      <c r="I56" s="57"/>
      <c r="L56" s="262"/>
      <c r="M56" s="262"/>
      <c r="N56" s="262"/>
      <c r="O56" s="262"/>
      <c r="P56" s="262"/>
      <c r="Q56" s="262"/>
      <c r="R56" s="262"/>
      <c r="S56" s="262"/>
    </row>
    <row r="57" spans="1:19" x14ac:dyDescent="0.25">
      <c r="A57" s="32"/>
      <c r="B57" s="59" t="s">
        <v>51</v>
      </c>
      <c r="C57" s="61">
        <f t="shared" ref="C57:H57" si="41">SQRT((C56*(1-C56))/($I55-1))</f>
        <v>0</v>
      </c>
      <c r="D57" s="61">
        <f t="shared" si="41"/>
        <v>0</v>
      </c>
      <c r="E57" s="61">
        <f t="shared" si="41"/>
        <v>2.0853264266351704E-2</v>
      </c>
      <c r="F57" s="61">
        <f t="shared" si="41"/>
        <v>2.1265040935177067E-2</v>
      </c>
      <c r="G57" s="61">
        <f t="shared" si="41"/>
        <v>7.791127899322018E-3</v>
      </c>
      <c r="H57" s="61">
        <f t="shared" si="41"/>
        <v>0</v>
      </c>
      <c r="I57" s="57"/>
      <c r="L57" s="262"/>
      <c r="M57" s="262"/>
      <c r="N57" s="262"/>
      <c r="O57" s="262"/>
      <c r="P57" s="262"/>
      <c r="Q57" s="262"/>
      <c r="R57" s="262"/>
      <c r="S57" s="262"/>
    </row>
    <row r="58" spans="1:19" x14ac:dyDescent="0.25">
      <c r="A58" s="32"/>
      <c r="B58" s="59" t="s">
        <v>18</v>
      </c>
      <c r="C58" s="62" t="e">
        <f>C56*$I58</f>
        <v>#VALUE!</v>
      </c>
      <c r="D58" s="62" t="e">
        <f t="shared" ref="D58:H58" si="42">D56*$I58</f>
        <v>#VALUE!</v>
      </c>
      <c r="E58" s="62" t="e">
        <f t="shared" si="42"/>
        <v>#VALUE!</v>
      </c>
      <c r="F58" s="62" t="e">
        <f t="shared" si="42"/>
        <v>#VALUE!</v>
      </c>
      <c r="G58" s="62" t="e">
        <f t="shared" si="42"/>
        <v>#VALUE!</v>
      </c>
      <c r="H58" s="62" t="e">
        <f t="shared" si="42"/>
        <v>#VALUE!</v>
      </c>
      <c r="I58" s="62" t="str">
        <f>'Summary Data'!J22</f>
        <v>ND</v>
      </c>
      <c r="J58" s="60" t="e">
        <f>I55/I58</f>
        <v>#VALUE!</v>
      </c>
      <c r="L58" s="262"/>
      <c r="M58" s="262"/>
      <c r="N58" s="262"/>
      <c r="O58" s="262"/>
      <c r="P58" s="262"/>
      <c r="Q58" s="262"/>
      <c r="R58" s="262"/>
      <c r="S58" s="262"/>
    </row>
    <row r="59" spans="1:19" x14ac:dyDescent="0.25">
      <c r="A59" s="69"/>
      <c r="B59" s="70" t="s">
        <v>52</v>
      </c>
      <c r="C59" s="71" t="e">
        <f t="shared" ref="C59:H59" si="43">SQRT(($I58*($I58-$I55)/($I55-1))*(C56*(1-C56)))</f>
        <v>#VALUE!</v>
      </c>
      <c r="D59" s="71" t="e">
        <f t="shared" si="43"/>
        <v>#VALUE!</v>
      </c>
      <c r="E59" s="71" t="e">
        <f t="shared" si="43"/>
        <v>#VALUE!</v>
      </c>
      <c r="F59" s="71" t="e">
        <f t="shared" si="43"/>
        <v>#VALUE!</v>
      </c>
      <c r="G59" s="71" t="e">
        <f t="shared" si="43"/>
        <v>#VALUE!</v>
      </c>
      <c r="H59" s="71" t="e">
        <f t="shared" si="43"/>
        <v>#VALUE!</v>
      </c>
      <c r="I59" s="72"/>
      <c r="L59" s="262"/>
      <c r="M59" s="262"/>
      <c r="N59" s="262"/>
      <c r="O59" s="262"/>
      <c r="P59" s="262"/>
      <c r="Q59" s="262"/>
      <c r="R59" s="262"/>
      <c r="S59" s="262"/>
    </row>
    <row r="60" spans="1:19" x14ac:dyDescent="0.25">
      <c r="A60" s="209">
        <v>1994</v>
      </c>
      <c r="B60" s="59" t="s">
        <v>49</v>
      </c>
      <c r="C60" s="57">
        <v>0</v>
      </c>
      <c r="D60" s="261">
        <f>'Escapement Age'!S17</f>
        <v>13</v>
      </c>
      <c r="E60" s="261">
        <f>'Escapement Age'!T17</f>
        <v>76</v>
      </c>
      <c r="F60" s="261">
        <f>'Escapement Age'!U17</f>
        <v>253</v>
      </c>
      <c r="G60" s="261">
        <f>'Escapement Age'!V17</f>
        <v>2</v>
      </c>
      <c r="H60" s="57">
        <v>0</v>
      </c>
      <c r="I60" s="65">
        <f>SUM(C60:H60)</f>
        <v>344</v>
      </c>
      <c r="L60" s="262"/>
      <c r="M60" s="262"/>
      <c r="N60" s="262"/>
      <c r="O60" s="262"/>
      <c r="P60" s="262"/>
      <c r="Q60" s="262"/>
      <c r="R60" s="262"/>
      <c r="S60" s="262"/>
    </row>
    <row r="61" spans="1:19" x14ac:dyDescent="0.25">
      <c r="A61" s="32"/>
      <c r="B61" s="59" t="s">
        <v>50</v>
      </c>
      <c r="C61" s="61">
        <f t="shared" ref="C61:H61" si="44">C60/$I60</f>
        <v>0</v>
      </c>
      <c r="D61" s="61">
        <f t="shared" si="44"/>
        <v>3.7790697674418602E-2</v>
      </c>
      <c r="E61" s="61">
        <f t="shared" si="44"/>
        <v>0.22093023255813954</v>
      </c>
      <c r="F61" s="61">
        <f t="shared" si="44"/>
        <v>0.73546511627906974</v>
      </c>
      <c r="G61" s="61">
        <f t="shared" si="44"/>
        <v>5.8139534883720929E-3</v>
      </c>
      <c r="H61" s="61">
        <f t="shared" si="44"/>
        <v>0</v>
      </c>
      <c r="I61" s="57"/>
      <c r="L61" s="262"/>
      <c r="M61" s="262"/>
      <c r="N61" s="262"/>
      <c r="O61" s="262"/>
      <c r="P61" s="262"/>
      <c r="Q61" s="262"/>
      <c r="R61" s="262"/>
      <c r="S61" s="262"/>
    </row>
    <row r="62" spans="1:19" x14ac:dyDescent="0.25">
      <c r="A62" s="32"/>
      <c r="B62" s="59" t="s">
        <v>51</v>
      </c>
      <c r="C62" s="61">
        <f t="shared" ref="C62:H62" si="45">SQRT((C61*(1-C61))/($I60-1))</f>
        <v>0</v>
      </c>
      <c r="D62" s="61">
        <f t="shared" si="45"/>
        <v>1.0296275876277116E-2</v>
      </c>
      <c r="E62" s="61">
        <f t="shared" si="45"/>
        <v>2.2401066255595906E-2</v>
      </c>
      <c r="F62" s="61">
        <f t="shared" si="45"/>
        <v>2.3816363719168884E-2</v>
      </c>
      <c r="G62" s="61">
        <f t="shared" si="45"/>
        <v>4.105088726152395E-3</v>
      </c>
      <c r="H62" s="61">
        <f t="shared" si="45"/>
        <v>0</v>
      </c>
      <c r="I62" s="57"/>
      <c r="L62" s="262"/>
      <c r="M62" s="262"/>
      <c r="N62" s="262"/>
      <c r="O62" s="262"/>
      <c r="P62" s="262"/>
      <c r="Q62" s="262"/>
      <c r="R62" s="262"/>
      <c r="S62" s="262"/>
    </row>
    <row r="63" spans="1:19" x14ac:dyDescent="0.25">
      <c r="A63" s="32"/>
      <c r="B63" s="59" t="s">
        <v>18</v>
      </c>
      <c r="C63" s="62" t="e">
        <f t="shared" ref="C63:H63" si="46">C61*$I63</f>
        <v>#VALUE!</v>
      </c>
      <c r="D63" s="62" t="e">
        <f t="shared" si="46"/>
        <v>#VALUE!</v>
      </c>
      <c r="E63" s="62" t="e">
        <f t="shared" si="46"/>
        <v>#VALUE!</v>
      </c>
      <c r="F63" s="62" t="e">
        <f t="shared" si="46"/>
        <v>#VALUE!</v>
      </c>
      <c r="G63" s="62" t="e">
        <f t="shared" si="46"/>
        <v>#VALUE!</v>
      </c>
      <c r="H63" s="62" t="e">
        <f t="shared" si="46"/>
        <v>#VALUE!</v>
      </c>
      <c r="I63" s="62" t="str">
        <f>'Summary Data'!J23</f>
        <v>ND</v>
      </c>
      <c r="J63" s="60" t="e">
        <f>I60/I63</f>
        <v>#VALUE!</v>
      </c>
      <c r="L63" s="262"/>
      <c r="M63" s="262"/>
      <c r="N63" s="262"/>
      <c r="O63" s="262"/>
      <c r="P63" s="262"/>
      <c r="Q63" s="262"/>
      <c r="R63" s="262"/>
      <c r="S63" s="262"/>
    </row>
    <row r="64" spans="1:19" x14ac:dyDescent="0.25">
      <c r="A64" s="69"/>
      <c r="B64" s="70" t="s">
        <v>52</v>
      </c>
      <c r="C64" s="71" t="e">
        <f t="shared" ref="C64:H64" si="47">SQRT(($I63*($I63-$I60)/($I60-1))*(C61*(1-C61)))</f>
        <v>#VALUE!</v>
      </c>
      <c r="D64" s="71" t="e">
        <f t="shared" si="47"/>
        <v>#VALUE!</v>
      </c>
      <c r="E64" s="71" t="e">
        <f t="shared" si="47"/>
        <v>#VALUE!</v>
      </c>
      <c r="F64" s="71" t="e">
        <f t="shared" si="47"/>
        <v>#VALUE!</v>
      </c>
      <c r="G64" s="71" t="e">
        <f t="shared" si="47"/>
        <v>#VALUE!</v>
      </c>
      <c r="H64" s="71" t="e">
        <f t="shared" si="47"/>
        <v>#VALUE!</v>
      </c>
      <c r="I64" s="72"/>
      <c r="L64" s="262"/>
      <c r="M64" s="262"/>
      <c r="N64" s="262"/>
      <c r="O64" s="262"/>
      <c r="P64" s="262"/>
      <c r="Q64" s="262"/>
      <c r="R64" s="262"/>
      <c r="S64" s="262"/>
    </row>
    <row r="65" spans="1:19" x14ac:dyDescent="0.25">
      <c r="A65" s="63">
        <v>1995</v>
      </c>
      <c r="B65" s="64" t="s">
        <v>49</v>
      </c>
      <c r="C65" s="65">
        <v>0</v>
      </c>
      <c r="D65" s="260">
        <f>'Escapement Age'!S18</f>
        <v>3</v>
      </c>
      <c r="E65" s="260">
        <f>'Escapement Age'!T18</f>
        <v>341</v>
      </c>
      <c r="F65" s="260">
        <f>'Escapement Age'!U18</f>
        <v>230</v>
      </c>
      <c r="G65" s="260">
        <f>'Escapement Age'!V18</f>
        <v>64</v>
      </c>
      <c r="H65" s="65">
        <v>2</v>
      </c>
      <c r="I65" s="65">
        <f>SUM(C65:H65)</f>
        <v>640</v>
      </c>
      <c r="L65" s="262"/>
      <c r="M65" s="262"/>
      <c r="N65" s="262"/>
      <c r="O65" s="262"/>
      <c r="P65" s="262"/>
      <c r="Q65" s="262"/>
      <c r="R65" s="262"/>
      <c r="S65" s="262"/>
    </row>
    <row r="66" spans="1:19" x14ac:dyDescent="0.25">
      <c r="A66" s="63"/>
      <c r="B66" s="64" t="s">
        <v>50</v>
      </c>
      <c r="C66" s="66">
        <f t="shared" ref="C66:H66" si="48">C65/$I65</f>
        <v>0</v>
      </c>
      <c r="D66" s="66">
        <f t="shared" si="48"/>
        <v>4.6874999999999998E-3</v>
      </c>
      <c r="E66" s="66">
        <f t="shared" si="48"/>
        <v>0.53281250000000002</v>
      </c>
      <c r="F66" s="66">
        <f t="shared" si="48"/>
        <v>0.359375</v>
      </c>
      <c r="G66" s="66">
        <f t="shared" si="48"/>
        <v>0.1</v>
      </c>
      <c r="H66" s="66">
        <f t="shared" si="48"/>
        <v>3.1250000000000002E-3</v>
      </c>
      <c r="I66" s="67"/>
      <c r="L66" s="262"/>
      <c r="M66" s="262"/>
      <c r="N66" s="262"/>
      <c r="O66" s="262"/>
      <c r="P66" s="262"/>
      <c r="Q66" s="262"/>
      <c r="R66" s="262"/>
      <c r="S66" s="262"/>
    </row>
    <row r="67" spans="1:19" x14ac:dyDescent="0.25">
      <c r="A67" s="63"/>
      <c r="B67" s="64" t="s">
        <v>51</v>
      </c>
      <c r="C67" s="66">
        <f t="shared" ref="C67:H67" si="49">SQRT((C66*(1-C66))/($I65-1))</f>
        <v>0</v>
      </c>
      <c r="D67" s="66">
        <f t="shared" si="49"/>
        <v>2.702090810400824E-3</v>
      </c>
      <c r="E67" s="66">
        <f t="shared" si="49"/>
        <v>1.9737056329572789E-2</v>
      </c>
      <c r="F67" s="66">
        <f t="shared" si="49"/>
        <v>1.8981277711477972E-2</v>
      </c>
      <c r="G67" s="66">
        <f t="shared" si="49"/>
        <v>1.1867816581938534E-2</v>
      </c>
      <c r="H67" s="66">
        <f t="shared" si="49"/>
        <v>2.2079789776816702E-3</v>
      </c>
      <c r="I67" s="66"/>
      <c r="L67" s="262"/>
      <c r="M67" s="262"/>
      <c r="N67" s="262"/>
      <c r="O67" s="262"/>
      <c r="P67" s="262"/>
      <c r="Q67" s="262"/>
      <c r="R67" s="262"/>
      <c r="S67" s="262"/>
    </row>
    <row r="68" spans="1:19" x14ac:dyDescent="0.25">
      <c r="A68" s="63"/>
      <c r="B68" s="64" t="s">
        <v>18</v>
      </c>
      <c r="C68" s="68">
        <f t="shared" ref="C68:H68" si="50">C66*$I68</f>
        <v>0</v>
      </c>
      <c r="D68" s="68">
        <f t="shared" si="50"/>
        <v>38.444356289792822</v>
      </c>
      <c r="E68" s="68">
        <f t="shared" si="50"/>
        <v>4369.8418316064508</v>
      </c>
      <c r="F68" s="68">
        <f t="shared" si="50"/>
        <v>2947.4006488841164</v>
      </c>
      <c r="G68" s="68">
        <f t="shared" si="50"/>
        <v>820.14626751558035</v>
      </c>
      <c r="H68" s="68">
        <f t="shared" si="50"/>
        <v>25.629570859861886</v>
      </c>
      <c r="I68" s="68">
        <f>'Summary Data'!J24</f>
        <v>8201.4626751558026</v>
      </c>
      <c r="J68" s="60">
        <f>I65/I68</f>
        <v>7.8034861017988108E-2</v>
      </c>
      <c r="L68" s="262"/>
      <c r="M68" s="262"/>
      <c r="N68" s="262"/>
      <c r="O68" s="262"/>
      <c r="P68" s="262"/>
      <c r="Q68" s="262"/>
      <c r="R68" s="262"/>
      <c r="S68" s="262"/>
    </row>
    <row r="69" spans="1:19" x14ac:dyDescent="0.25">
      <c r="A69" s="69"/>
      <c r="B69" s="70" t="s">
        <v>52</v>
      </c>
      <c r="C69" s="71">
        <f t="shared" ref="C69:H69" si="51">SQRT(($I68*($I68-$I65)/($I65-1))*(C66*(1-C66)))</f>
        <v>0</v>
      </c>
      <c r="D69" s="71">
        <f t="shared" si="51"/>
        <v>21.278867152988717</v>
      </c>
      <c r="E69" s="71">
        <f t="shared" si="51"/>
        <v>155.42860292165199</v>
      </c>
      <c r="F69" s="71">
        <f t="shared" si="51"/>
        <v>149.47687370899706</v>
      </c>
      <c r="G69" s="71">
        <f t="shared" si="51"/>
        <v>93.4586252508835</v>
      </c>
      <c r="H69" s="71">
        <f t="shared" si="51"/>
        <v>17.387754387022497</v>
      </c>
      <c r="I69" s="72"/>
      <c r="L69" s="262"/>
      <c r="M69" s="262"/>
      <c r="N69" s="262"/>
      <c r="O69" s="262"/>
      <c r="P69" s="262"/>
      <c r="Q69" s="262"/>
      <c r="R69" s="262"/>
      <c r="S69" s="262"/>
    </row>
    <row r="70" spans="1:19" x14ac:dyDescent="0.25">
      <c r="A70" s="63">
        <v>1996</v>
      </c>
      <c r="B70" s="64" t="s">
        <v>49</v>
      </c>
      <c r="C70" s="65">
        <v>0</v>
      </c>
      <c r="D70" s="260">
        <f>'Escapement Age'!S19</f>
        <v>10</v>
      </c>
      <c r="E70" s="260">
        <f>'Escapement Age'!T19</f>
        <v>96</v>
      </c>
      <c r="F70" s="260">
        <f>'Escapement Age'!U19</f>
        <v>473</v>
      </c>
      <c r="G70" s="260">
        <f>'Escapement Age'!V19</f>
        <v>1</v>
      </c>
      <c r="H70" s="65">
        <v>0</v>
      </c>
      <c r="I70" s="65">
        <f>SUM(C70:H70)</f>
        <v>580</v>
      </c>
      <c r="L70" s="262"/>
      <c r="M70" s="262"/>
      <c r="N70" s="262"/>
      <c r="O70" s="262"/>
      <c r="P70" s="262"/>
      <c r="Q70" s="262"/>
      <c r="R70" s="262"/>
      <c r="S70" s="262"/>
    </row>
    <row r="71" spans="1:19" x14ac:dyDescent="0.25">
      <c r="A71" s="63"/>
      <c r="B71" s="64" t="s">
        <v>50</v>
      </c>
      <c r="C71" s="66">
        <f t="shared" ref="C71:H71" si="52">C70/$I70</f>
        <v>0</v>
      </c>
      <c r="D71" s="66">
        <f t="shared" si="52"/>
        <v>1.7241379310344827E-2</v>
      </c>
      <c r="E71" s="66">
        <f t="shared" si="52"/>
        <v>0.16551724137931034</v>
      </c>
      <c r="F71" s="66">
        <f t="shared" si="52"/>
        <v>0.81551724137931036</v>
      </c>
      <c r="G71" s="66">
        <f t="shared" si="52"/>
        <v>1.7241379310344827E-3</v>
      </c>
      <c r="H71" s="66">
        <f t="shared" si="52"/>
        <v>0</v>
      </c>
      <c r="I71" s="67"/>
      <c r="L71" s="262"/>
      <c r="M71" s="262"/>
      <c r="N71" s="262"/>
      <c r="O71" s="262"/>
      <c r="P71" s="262"/>
      <c r="Q71" s="262"/>
      <c r="R71" s="262"/>
      <c r="S71" s="262"/>
    </row>
    <row r="72" spans="1:19" x14ac:dyDescent="0.25">
      <c r="A72" s="63"/>
      <c r="B72" s="64" t="s">
        <v>51</v>
      </c>
      <c r="C72" s="66">
        <f t="shared" ref="C72:H72" si="53">SQRT((C71*(1-C71))/($I70-1))</f>
        <v>0</v>
      </c>
      <c r="D72" s="66">
        <f t="shared" si="53"/>
        <v>5.4096622680731409E-3</v>
      </c>
      <c r="E72" s="66">
        <f t="shared" si="53"/>
        <v>1.5445110576971486E-2</v>
      </c>
      <c r="F72" s="66">
        <f t="shared" si="53"/>
        <v>1.6119634258333383E-2</v>
      </c>
      <c r="G72" s="66">
        <f t="shared" si="53"/>
        <v>1.7241379310344827E-3</v>
      </c>
      <c r="H72" s="66">
        <f t="shared" si="53"/>
        <v>0</v>
      </c>
      <c r="I72" s="66"/>
      <c r="L72" s="262"/>
      <c r="M72" s="262"/>
      <c r="N72" s="262"/>
      <c r="O72" s="262"/>
      <c r="P72" s="262"/>
      <c r="Q72" s="262"/>
      <c r="R72" s="262"/>
      <c r="S72" s="262"/>
    </row>
    <row r="73" spans="1:19" x14ac:dyDescent="0.25">
      <c r="A73" s="63"/>
      <c r="B73" s="64" t="s">
        <v>18</v>
      </c>
      <c r="C73" s="68">
        <f t="shared" ref="C73:H73" si="54">C71*$I73</f>
        <v>0</v>
      </c>
      <c r="D73" s="68">
        <f t="shared" si="54"/>
        <v>208.3098529284191</v>
      </c>
      <c r="E73" s="68">
        <f t="shared" si="54"/>
        <v>1999.7745881128233</v>
      </c>
      <c r="F73" s="68">
        <f t="shared" si="54"/>
        <v>9853.0560435142233</v>
      </c>
      <c r="G73" s="68">
        <f t="shared" si="54"/>
        <v>20.830985292841909</v>
      </c>
      <c r="H73" s="68">
        <f t="shared" si="54"/>
        <v>0</v>
      </c>
      <c r="I73" s="68">
        <f>'Summary Data'!J25</f>
        <v>12081.971469848308</v>
      </c>
      <c r="J73" s="60">
        <f>I70/I73</f>
        <v>4.8005410495087192E-2</v>
      </c>
      <c r="L73" s="262"/>
      <c r="M73" s="262"/>
      <c r="N73" s="262"/>
      <c r="O73" s="262"/>
      <c r="P73" s="262"/>
      <c r="Q73" s="262"/>
      <c r="R73" s="262"/>
      <c r="S73" s="262"/>
    </row>
    <row r="74" spans="1:19" x14ac:dyDescent="0.25">
      <c r="A74" s="69"/>
      <c r="B74" s="70" t="s">
        <v>52</v>
      </c>
      <c r="C74" s="71">
        <f t="shared" ref="C74:H74" si="55">SQRT(($I73*($I73-$I70)/($I70-1))*(C71*(1-C71)))</f>
        <v>0</v>
      </c>
      <c r="D74" s="71">
        <f t="shared" si="55"/>
        <v>63.77128943136988</v>
      </c>
      <c r="E74" s="71">
        <f t="shared" si="55"/>
        <v>182.07321790060479</v>
      </c>
      <c r="F74" s="71">
        <f t="shared" si="55"/>
        <v>190.02477620144566</v>
      </c>
      <c r="G74" s="71">
        <f t="shared" si="55"/>
        <v>20.324836111953132</v>
      </c>
      <c r="H74" s="71">
        <f t="shared" si="55"/>
        <v>0</v>
      </c>
      <c r="I74" s="72"/>
      <c r="L74" s="262"/>
      <c r="M74" s="262"/>
      <c r="N74" s="262"/>
      <c r="O74" s="262"/>
      <c r="P74" s="262"/>
      <c r="Q74" s="262"/>
      <c r="R74" s="262"/>
      <c r="S74" s="262"/>
    </row>
    <row r="75" spans="1:19" x14ac:dyDescent="0.25">
      <c r="A75" s="63">
        <v>1997</v>
      </c>
      <c r="B75" s="64" t="s">
        <v>49</v>
      </c>
      <c r="C75" s="65">
        <v>0</v>
      </c>
      <c r="D75" s="260">
        <f>'Escapement Age'!S20</f>
        <v>7</v>
      </c>
      <c r="E75" s="260">
        <f>'Escapement Age'!T20</f>
        <v>275</v>
      </c>
      <c r="F75" s="260">
        <f>'Escapement Age'!U20</f>
        <v>110</v>
      </c>
      <c r="G75" s="260">
        <f>'Escapement Age'!V20</f>
        <v>4</v>
      </c>
      <c r="H75" s="65">
        <v>0</v>
      </c>
      <c r="I75" s="65">
        <f>SUM(C75:H75)</f>
        <v>396</v>
      </c>
      <c r="L75" s="262"/>
      <c r="M75" s="262"/>
      <c r="N75" s="262"/>
      <c r="O75" s="262"/>
      <c r="P75" s="262"/>
      <c r="Q75" s="262"/>
      <c r="R75" s="262"/>
      <c r="S75" s="262"/>
    </row>
    <row r="76" spans="1:19" x14ac:dyDescent="0.25">
      <c r="A76" s="63"/>
      <c r="B76" s="64" t="s">
        <v>50</v>
      </c>
      <c r="C76" s="66">
        <f t="shared" ref="C76:H76" si="56">C75/$I75</f>
        <v>0</v>
      </c>
      <c r="D76" s="66">
        <f t="shared" si="56"/>
        <v>1.7676767676767676E-2</v>
      </c>
      <c r="E76" s="66">
        <f t="shared" si="56"/>
        <v>0.69444444444444442</v>
      </c>
      <c r="F76" s="66">
        <f t="shared" si="56"/>
        <v>0.27777777777777779</v>
      </c>
      <c r="G76" s="66">
        <f t="shared" si="56"/>
        <v>1.0101010101010102E-2</v>
      </c>
      <c r="H76" s="66">
        <f t="shared" si="56"/>
        <v>0</v>
      </c>
      <c r="I76" s="67"/>
      <c r="L76" s="262"/>
      <c r="M76" s="262"/>
      <c r="N76" s="262"/>
      <c r="O76" s="262"/>
      <c r="P76" s="262"/>
      <c r="Q76" s="262"/>
      <c r="R76" s="262"/>
      <c r="S76" s="262"/>
    </row>
    <row r="77" spans="1:19" x14ac:dyDescent="0.25">
      <c r="A77" s="63"/>
      <c r="B77" s="64" t="s">
        <v>51</v>
      </c>
      <c r="C77" s="66">
        <f t="shared" ref="C77:H77" si="57">SQRT((C76*(1-C76))/($I75-1))</f>
        <v>0</v>
      </c>
      <c r="D77" s="66">
        <f t="shared" si="57"/>
        <v>6.6302527895885106E-3</v>
      </c>
      <c r="E77" s="66">
        <f t="shared" si="57"/>
        <v>2.3177431079714483E-2</v>
      </c>
      <c r="F77" s="66">
        <f t="shared" si="57"/>
        <v>2.2536456201071822E-2</v>
      </c>
      <c r="G77" s="66">
        <f t="shared" si="57"/>
        <v>5.0312893623775156E-3</v>
      </c>
      <c r="H77" s="66">
        <f t="shared" si="57"/>
        <v>0</v>
      </c>
      <c r="I77" s="66"/>
      <c r="L77" s="262"/>
      <c r="M77" s="262"/>
      <c r="N77" s="262"/>
      <c r="O77" s="262"/>
      <c r="P77" s="262"/>
      <c r="Q77" s="262"/>
      <c r="R77" s="262"/>
      <c r="S77" s="262"/>
    </row>
    <row r="78" spans="1:19" x14ac:dyDescent="0.25">
      <c r="A78" s="63"/>
      <c r="B78" s="64" t="s">
        <v>18</v>
      </c>
      <c r="C78" s="68">
        <f t="shared" ref="C78:H78" si="58">C76*$I78</f>
        <v>0</v>
      </c>
      <c r="D78" s="68">
        <f t="shared" si="58"/>
        <v>103.19290245025569</v>
      </c>
      <c r="E78" s="68">
        <f t="shared" si="58"/>
        <v>4054.0068819743306</v>
      </c>
      <c r="F78" s="68">
        <f t="shared" si="58"/>
        <v>1621.6027527897324</v>
      </c>
      <c r="G78" s="68">
        <f t="shared" si="58"/>
        <v>58.967372828717544</v>
      </c>
      <c r="H78" s="68">
        <f t="shared" si="58"/>
        <v>0</v>
      </c>
      <c r="I78" s="68">
        <f>'Summary Data'!J26</f>
        <v>5837.7699100430364</v>
      </c>
      <c r="J78" s="60">
        <f>I75/I78</f>
        <v>6.7834122636238101E-2</v>
      </c>
      <c r="L78" s="262"/>
      <c r="M78" s="262"/>
      <c r="N78" s="262"/>
      <c r="O78" s="262"/>
      <c r="P78" s="262"/>
      <c r="Q78" s="262"/>
      <c r="R78" s="262"/>
      <c r="S78" s="262"/>
    </row>
    <row r="79" spans="1:19" x14ac:dyDescent="0.25">
      <c r="A79" s="69"/>
      <c r="B79" s="70" t="s">
        <v>52</v>
      </c>
      <c r="C79" s="71">
        <f t="shared" ref="C79:H79" si="59">SQRT(($I78*($I78-$I75)/($I75-1))*(C76*(1-C76)))</f>
        <v>0</v>
      </c>
      <c r="D79" s="71">
        <f t="shared" si="59"/>
        <v>37.37004847806314</v>
      </c>
      <c r="E79" s="71">
        <f t="shared" si="59"/>
        <v>130.63479636945368</v>
      </c>
      <c r="F79" s="71">
        <f t="shared" si="59"/>
        <v>127.022074042228</v>
      </c>
      <c r="G79" s="71">
        <f t="shared" si="59"/>
        <v>28.357821842699312</v>
      </c>
      <c r="H79" s="71">
        <f t="shared" si="59"/>
        <v>0</v>
      </c>
      <c r="I79" s="72"/>
      <c r="L79" s="262"/>
      <c r="M79" s="262"/>
      <c r="N79" s="262"/>
      <c r="O79" s="262"/>
      <c r="P79" s="262"/>
      <c r="Q79" s="262"/>
      <c r="R79" s="262"/>
      <c r="S79" s="262"/>
    </row>
    <row r="80" spans="1:19" x14ac:dyDescent="0.25">
      <c r="A80" s="63">
        <v>1998</v>
      </c>
      <c r="B80" s="64" t="s">
        <v>49</v>
      </c>
      <c r="C80" s="65">
        <v>0</v>
      </c>
      <c r="D80" s="260">
        <f>'Escapement Age'!S21</f>
        <v>29</v>
      </c>
      <c r="E80" s="260">
        <f>'Escapement Age'!T21</f>
        <v>433</v>
      </c>
      <c r="F80" s="260">
        <f>'Escapement Age'!U21</f>
        <v>434</v>
      </c>
      <c r="G80" s="260">
        <f>'Escapement Age'!V21</f>
        <v>4</v>
      </c>
      <c r="H80" s="65">
        <v>0</v>
      </c>
      <c r="I80" s="65">
        <f>SUM(C80:H80)</f>
        <v>900</v>
      </c>
      <c r="L80" s="262"/>
      <c r="M80" s="262"/>
      <c r="N80" s="262"/>
      <c r="O80" s="262"/>
      <c r="P80" s="262"/>
      <c r="Q80" s="262"/>
      <c r="R80" s="262"/>
      <c r="S80" s="262"/>
    </row>
    <row r="81" spans="1:19" x14ac:dyDescent="0.25">
      <c r="A81" s="63"/>
      <c r="B81" s="64" t="s">
        <v>50</v>
      </c>
      <c r="C81" s="66">
        <f t="shared" ref="C81:H81" si="60">C80/$I80</f>
        <v>0</v>
      </c>
      <c r="D81" s="66">
        <f t="shared" si="60"/>
        <v>3.2222222222222222E-2</v>
      </c>
      <c r="E81" s="66">
        <f t="shared" si="60"/>
        <v>0.4811111111111111</v>
      </c>
      <c r="F81" s="66">
        <f t="shared" si="60"/>
        <v>0.48222222222222222</v>
      </c>
      <c r="G81" s="66">
        <f t="shared" si="60"/>
        <v>4.4444444444444444E-3</v>
      </c>
      <c r="H81" s="66">
        <f t="shared" si="60"/>
        <v>0</v>
      </c>
      <c r="I81" s="67"/>
      <c r="L81" s="262"/>
      <c r="M81" s="262"/>
      <c r="N81" s="262"/>
      <c r="O81" s="262"/>
      <c r="P81" s="262"/>
      <c r="Q81" s="262"/>
      <c r="R81" s="262"/>
      <c r="S81" s="262"/>
    </row>
    <row r="82" spans="1:19" x14ac:dyDescent="0.25">
      <c r="A82" s="63"/>
      <c r="B82" s="64" t="s">
        <v>51</v>
      </c>
      <c r="C82" s="66">
        <f t="shared" ref="C82:H82" si="61">SQRT((C81*(1-C81))/($I80-1))</f>
        <v>0</v>
      </c>
      <c r="D82" s="66">
        <f t="shared" si="61"/>
        <v>5.88959892926425E-3</v>
      </c>
      <c r="E82" s="66">
        <f t="shared" si="61"/>
        <v>1.66640297835778E-2</v>
      </c>
      <c r="F82" s="66">
        <f t="shared" si="61"/>
        <v>1.6665389478522207E-2</v>
      </c>
      <c r="G82" s="66">
        <f t="shared" si="61"/>
        <v>2.2185113002527019E-3</v>
      </c>
      <c r="H82" s="66">
        <f t="shared" si="61"/>
        <v>0</v>
      </c>
      <c r="I82" s="66"/>
      <c r="L82" s="262"/>
      <c r="M82" s="262"/>
      <c r="N82" s="262"/>
      <c r="O82" s="262"/>
      <c r="P82" s="262"/>
      <c r="Q82" s="262"/>
      <c r="R82" s="262"/>
      <c r="S82" s="262"/>
    </row>
    <row r="83" spans="1:19" x14ac:dyDescent="0.25">
      <c r="A83" s="63"/>
      <c r="B83" s="64" t="s">
        <v>18</v>
      </c>
      <c r="C83" s="68">
        <f t="shared" ref="C83:H83" si="62">C81*$I83</f>
        <v>0</v>
      </c>
      <c r="D83" s="68">
        <f t="shared" si="62"/>
        <v>446.54506784249719</v>
      </c>
      <c r="E83" s="68">
        <f t="shared" si="62"/>
        <v>6667.3798060621129</v>
      </c>
      <c r="F83" s="68">
        <f t="shared" si="62"/>
        <v>6682.7779118497856</v>
      </c>
      <c r="G83" s="68">
        <f t="shared" si="62"/>
        <v>61.592423150689264</v>
      </c>
      <c r="H83" s="68">
        <f t="shared" si="62"/>
        <v>0</v>
      </c>
      <c r="I83" s="68">
        <f>'Summary Data'!J27</f>
        <v>13858.295208905085</v>
      </c>
      <c r="J83" s="60">
        <f>I80/I83</f>
        <v>6.4943052982568639E-2</v>
      </c>
      <c r="L83" s="262"/>
      <c r="M83" s="262"/>
      <c r="N83" s="262"/>
      <c r="O83" s="262"/>
      <c r="P83" s="262"/>
      <c r="Q83" s="262"/>
      <c r="R83" s="262"/>
      <c r="S83" s="262"/>
    </row>
    <row r="84" spans="1:19" x14ac:dyDescent="0.25">
      <c r="A84" s="69"/>
      <c r="B84" s="70" t="s">
        <v>52</v>
      </c>
      <c r="C84" s="71">
        <f t="shared" ref="C84:H84" si="63">SQRT(($I83*($I83-$I80)/($I80-1))*(C81*(1-C81)))</f>
        <v>0</v>
      </c>
      <c r="D84" s="71">
        <f t="shared" si="63"/>
        <v>78.924994472875909</v>
      </c>
      <c r="E84" s="71">
        <f t="shared" si="63"/>
        <v>223.31036024027156</v>
      </c>
      <c r="F84" s="71">
        <f t="shared" si="63"/>
        <v>223.32858116112899</v>
      </c>
      <c r="G84" s="71">
        <f t="shared" si="63"/>
        <v>29.729697083521245</v>
      </c>
      <c r="H84" s="71">
        <f t="shared" si="63"/>
        <v>0</v>
      </c>
      <c r="I84" s="72"/>
      <c r="L84" s="262"/>
      <c r="M84" s="262"/>
      <c r="N84" s="262"/>
      <c r="O84" s="262"/>
      <c r="P84" s="262"/>
      <c r="Q84" s="262"/>
      <c r="R84" s="262"/>
      <c r="S84" s="262"/>
    </row>
    <row r="85" spans="1:19" x14ac:dyDescent="0.25">
      <c r="A85" s="63">
        <v>1999</v>
      </c>
      <c r="B85" s="64" t="s">
        <v>49</v>
      </c>
      <c r="C85" s="65">
        <v>1</v>
      </c>
      <c r="D85" s="260">
        <f>'Escapement Age'!S22</f>
        <v>29</v>
      </c>
      <c r="E85" s="260">
        <f>'Escapement Age'!T22</f>
        <v>347</v>
      </c>
      <c r="F85" s="260">
        <f>'Escapement Age'!U22</f>
        <v>571</v>
      </c>
      <c r="G85" s="260">
        <f>'Escapement Age'!V22</f>
        <v>10</v>
      </c>
      <c r="H85" s="65">
        <v>0</v>
      </c>
      <c r="I85" s="65">
        <f>SUM(C85:H85)</f>
        <v>958</v>
      </c>
      <c r="L85" s="262"/>
      <c r="M85" s="262"/>
      <c r="N85" s="262"/>
      <c r="O85" s="262"/>
      <c r="P85" s="262"/>
      <c r="Q85" s="262"/>
      <c r="R85" s="262"/>
      <c r="S85" s="262"/>
    </row>
    <row r="86" spans="1:19" x14ac:dyDescent="0.25">
      <c r="A86" s="63"/>
      <c r="B86" s="64" t="s">
        <v>50</v>
      </c>
      <c r="C86" s="66">
        <f t="shared" ref="C86:H86" si="64">C85/$I85</f>
        <v>1.0438413361169101E-3</v>
      </c>
      <c r="D86" s="66">
        <f t="shared" si="64"/>
        <v>3.0271398747390398E-2</v>
      </c>
      <c r="E86" s="66">
        <f t="shared" si="64"/>
        <v>0.36221294363256784</v>
      </c>
      <c r="F86" s="66">
        <f t="shared" si="64"/>
        <v>0.59603340292275575</v>
      </c>
      <c r="G86" s="66">
        <f t="shared" si="64"/>
        <v>1.0438413361169102E-2</v>
      </c>
      <c r="H86" s="66">
        <f t="shared" si="64"/>
        <v>0</v>
      </c>
      <c r="I86" s="67"/>
      <c r="L86" s="262"/>
      <c r="M86" s="262"/>
      <c r="N86" s="262"/>
      <c r="O86" s="262"/>
      <c r="P86" s="262"/>
      <c r="Q86" s="262"/>
      <c r="R86" s="262"/>
      <c r="S86" s="262"/>
    </row>
    <row r="87" spans="1:19" x14ac:dyDescent="0.25">
      <c r="A87" s="63"/>
      <c r="B87" s="64" t="s">
        <v>51</v>
      </c>
      <c r="C87" s="66">
        <f t="shared" ref="C87:H87" si="65">SQRT((C86*(1-C86))/($I85-1))</f>
        <v>1.0438413361169101E-3</v>
      </c>
      <c r="D87" s="66">
        <f t="shared" si="65"/>
        <v>5.5384135098537467E-3</v>
      </c>
      <c r="E87" s="66">
        <f t="shared" si="65"/>
        <v>1.553688189958154E-2</v>
      </c>
      <c r="F87" s="66">
        <f t="shared" si="65"/>
        <v>1.5861784991516921E-2</v>
      </c>
      <c r="G87" s="66">
        <f t="shared" si="65"/>
        <v>3.2853579234432139E-3</v>
      </c>
      <c r="H87" s="66">
        <f t="shared" si="65"/>
        <v>0</v>
      </c>
      <c r="I87" s="66"/>
      <c r="L87" s="262"/>
      <c r="M87" s="262"/>
      <c r="N87" s="262"/>
      <c r="O87" s="262"/>
      <c r="P87" s="262"/>
      <c r="Q87" s="262"/>
      <c r="R87" s="262"/>
      <c r="S87" s="262"/>
    </row>
    <row r="88" spans="1:19" x14ac:dyDescent="0.25">
      <c r="A88" s="63"/>
      <c r="B88" s="64" t="s">
        <v>18</v>
      </c>
      <c r="C88" s="68">
        <f t="shared" ref="C88:H88" si="66">C86*$I88</f>
        <v>11.545150591296977</v>
      </c>
      <c r="D88" s="68">
        <f t="shared" si="66"/>
        <v>334.80936714761236</v>
      </c>
      <c r="E88" s="68">
        <f t="shared" si="66"/>
        <v>4006.1672551800516</v>
      </c>
      <c r="F88" s="68">
        <f t="shared" si="66"/>
        <v>6592.2809876305746</v>
      </c>
      <c r="G88" s="68">
        <f t="shared" si="66"/>
        <v>115.45150591296978</v>
      </c>
      <c r="H88" s="68">
        <f t="shared" si="66"/>
        <v>0</v>
      </c>
      <c r="I88" s="68">
        <f>'Summary Data'!J28</f>
        <v>11060.254266462505</v>
      </c>
      <c r="J88" s="60">
        <f>I85/I88</f>
        <v>8.6616453557030681E-2</v>
      </c>
      <c r="L88" s="262"/>
      <c r="M88" s="262"/>
      <c r="N88" s="262"/>
      <c r="O88" s="262"/>
      <c r="P88" s="262"/>
      <c r="Q88" s="262"/>
      <c r="R88" s="262"/>
      <c r="S88" s="262"/>
    </row>
    <row r="89" spans="1:19" x14ac:dyDescent="0.25">
      <c r="A89" s="69"/>
      <c r="B89" s="70" t="s">
        <v>52</v>
      </c>
      <c r="C89" s="71">
        <f t="shared" ref="C89:H89" si="67">SQRT(($I88*($I88-$I85)/($I85-1))*(C86*(1-C86)))</f>
        <v>11.033827603530334</v>
      </c>
      <c r="D89" s="71">
        <f t="shared" si="67"/>
        <v>58.543284070468438</v>
      </c>
      <c r="E89" s="71">
        <f t="shared" si="67"/>
        <v>164.23116276858511</v>
      </c>
      <c r="F89" s="71">
        <f t="shared" si="67"/>
        <v>167.66552063527476</v>
      </c>
      <c r="G89" s="71">
        <f t="shared" si="67"/>
        <v>34.727569879551908</v>
      </c>
      <c r="H89" s="71">
        <f t="shared" si="67"/>
        <v>0</v>
      </c>
      <c r="I89" s="72"/>
      <c r="L89" s="262"/>
      <c r="M89" s="262"/>
      <c r="N89" s="262"/>
      <c r="O89" s="262"/>
      <c r="P89" s="262"/>
      <c r="Q89" s="262"/>
      <c r="R89" s="262"/>
      <c r="S89" s="262"/>
    </row>
    <row r="90" spans="1:19" x14ac:dyDescent="0.25">
      <c r="A90" s="63">
        <v>2000</v>
      </c>
      <c r="B90" s="64" t="s">
        <v>49</v>
      </c>
      <c r="C90" s="65">
        <v>0</v>
      </c>
      <c r="D90" s="260">
        <f>'Escapement Age'!S23</f>
        <v>24</v>
      </c>
      <c r="E90" s="260">
        <f>'Escapement Age'!T23</f>
        <v>300</v>
      </c>
      <c r="F90" s="260">
        <f>'Escapement Age'!U23</f>
        <v>171</v>
      </c>
      <c r="G90" s="260">
        <f>'Escapement Age'!V23</f>
        <v>1</v>
      </c>
      <c r="H90" s="65">
        <v>0</v>
      </c>
      <c r="I90" s="65">
        <f>SUM(C90:H90)</f>
        <v>496</v>
      </c>
      <c r="L90" s="262"/>
      <c r="M90" s="262"/>
      <c r="N90" s="262"/>
      <c r="O90" s="262"/>
      <c r="P90" s="262"/>
      <c r="Q90" s="262"/>
      <c r="R90" s="262"/>
      <c r="S90" s="262"/>
    </row>
    <row r="91" spans="1:19" x14ac:dyDescent="0.25">
      <c r="A91" s="63"/>
      <c r="B91" s="64" t="s">
        <v>50</v>
      </c>
      <c r="C91" s="66">
        <f t="shared" ref="C91:H91" si="68">C90/$I90</f>
        <v>0</v>
      </c>
      <c r="D91" s="66">
        <f t="shared" si="68"/>
        <v>4.8387096774193547E-2</v>
      </c>
      <c r="E91" s="66">
        <f t="shared" si="68"/>
        <v>0.60483870967741937</v>
      </c>
      <c r="F91" s="66">
        <f t="shared" si="68"/>
        <v>0.34475806451612906</v>
      </c>
      <c r="G91" s="66">
        <f t="shared" si="68"/>
        <v>2.0161290322580645E-3</v>
      </c>
      <c r="H91" s="66">
        <f t="shared" si="68"/>
        <v>0</v>
      </c>
      <c r="I91" s="67"/>
      <c r="L91" s="262"/>
      <c r="M91" s="262"/>
      <c r="N91" s="262"/>
      <c r="O91" s="262"/>
      <c r="P91" s="262"/>
      <c r="Q91" s="262"/>
      <c r="R91" s="262"/>
      <c r="S91" s="262"/>
    </row>
    <row r="92" spans="1:19" x14ac:dyDescent="0.25">
      <c r="A92" s="63"/>
      <c r="B92" s="64" t="s">
        <v>51</v>
      </c>
      <c r="C92" s="66">
        <f t="shared" ref="C92:H92" si="69">SQRT((C91*(1-C91))/($I90-1))</f>
        <v>0</v>
      </c>
      <c r="D92" s="66">
        <f t="shared" si="69"/>
        <v>9.6447804107523925E-3</v>
      </c>
      <c r="E92" s="66">
        <f t="shared" si="69"/>
        <v>2.1973760520688147E-2</v>
      </c>
      <c r="F92" s="66">
        <f t="shared" si="69"/>
        <v>2.1362666456123856E-2</v>
      </c>
      <c r="G92" s="66">
        <f t="shared" si="69"/>
        <v>2.0161290322580645E-3</v>
      </c>
      <c r="H92" s="66">
        <f t="shared" si="69"/>
        <v>0</v>
      </c>
      <c r="I92" s="66"/>
      <c r="L92" s="262"/>
      <c r="M92" s="262"/>
      <c r="N92" s="262"/>
      <c r="O92" s="262"/>
      <c r="P92" s="262"/>
      <c r="Q92" s="262"/>
      <c r="R92" s="262"/>
      <c r="S92" s="262"/>
    </row>
    <row r="93" spans="1:19" x14ac:dyDescent="0.25">
      <c r="A93" s="63"/>
      <c r="B93" s="64" t="s">
        <v>18</v>
      </c>
      <c r="C93" s="68">
        <f t="shared" ref="C93:H93" si="70">C91*$I93</f>
        <v>0</v>
      </c>
      <c r="D93" s="68">
        <f t="shared" si="70"/>
        <v>387.61268894103307</v>
      </c>
      <c r="E93" s="68">
        <f t="shared" si="70"/>
        <v>4845.158611762914</v>
      </c>
      <c r="F93" s="68">
        <f t="shared" si="70"/>
        <v>2761.7404087048608</v>
      </c>
      <c r="G93" s="68">
        <f t="shared" si="70"/>
        <v>16.150528705876379</v>
      </c>
      <c r="H93" s="68">
        <f t="shared" si="70"/>
        <v>0</v>
      </c>
      <c r="I93" s="68">
        <f>'Summary Data'!J29</f>
        <v>8010.6622381146835</v>
      </c>
      <c r="J93" s="60">
        <f>I90/I93</f>
        <v>6.1917477638744389E-2</v>
      </c>
      <c r="L93" s="262"/>
      <c r="M93" s="262"/>
      <c r="N93" s="262"/>
      <c r="O93" s="262"/>
      <c r="P93" s="262"/>
      <c r="Q93" s="262"/>
      <c r="R93" s="262"/>
      <c r="S93" s="262"/>
    </row>
    <row r="94" spans="1:19" x14ac:dyDescent="0.25">
      <c r="A94" s="69"/>
      <c r="B94" s="70" t="s">
        <v>52</v>
      </c>
      <c r="C94" s="71">
        <f t="shared" ref="C94:H94" si="71">SQRT(($I93*($I93-$I90)/($I90-1))*(C91*(1-C91)))</f>
        <v>0</v>
      </c>
      <c r="D94" s="71">
        <f t="shared" si="71"/>
        <v>74.830954872180712</v>
      </c>
      <c r="E94" s="71">
        <f t="shared" si="71"/>
        <v>170.48780914312667</v>
      </c>
      <c r="F94" s="71">
        <f t="shared" si="71"/>
        <v>165.74651380818179</v>
      </c>
      <c r="G94" s="71">
        <f t="shared" si="71"/>
        <v>15.642539716218096</v>
      </c>
      <c r="H94" s="71">
        <f t="shared" si="71"/>
        <v>0</v>
      </c>
      <c r="I94" s="72"/>
      <c r="L94" s="262"/>
      <c r="M94" s="262"/>
      <c r="N94" s="262"/>
      <c r="O94" s="262"/>
      <c r="P94" s="262"/>
      <c r="Q94" s="262"/>
      <c r="R94" s="262"/>
      <c r="S94" s="262"/>
    </row>
    <row r="95" spans="1:19" x14ac:dyDescent="0.25">
      <c r="A95" s="63">
        <v>2001</v>
      </c>
      <c r="B95" s="64" t="s">
        <v>49</v>
      </c>
      <c r="C95" s="65">
        <v>0</v>
      </c>
      <c r="D95" s="260">
        <f>'Escapement Age'!S24</f>
        <v>77</v>
      </c>
      <c r="E95" s="260">
        <f>'Escapement Age'!T24</f>
        <v>483</v>
      </c>
      <c r="F95" s="260">
        <f>'Escapement Age'!U24</f>
        <v>359</v>
      </c>
      <c r="G95" s="260">
        <f>'Escapement Age'!V24</f>
        <v>3</v>
      </c>
      <c r="H95" s="65">
        <v>0</v>
      </c>
      <c r="I95" s="65">
        <f>SUM(C95:H95)</f>
        <v>922</v>
      </c>
      <c r="L95" s="262"/>
      <c r="M95" s="262"/>
      <c r="N95" s="262"/>
      <c r="O95" s="262"/>
      <c r="P95" s="262"/>
      <c r="Q95" s="262"/>
      <c r="R95" s="262"/>
      <c r="S95" s="262"/>
    </row>
    <row r="96" spans="1:19" x14ac:dyDescent="0.25">
      <c r="A96" s="63"/>
      <c r="B96" s="64" t="s">
        <v>50</v>
      </c>
      <c r="C96" s="66">
        <f t="shared" ref="C96:H96" si="72">C95/$I95</f>
        <v>0</v>
      </c>
      <c r="D96" s="66">
        <f t="shared" si="72"/>
        <v>8.3514099783080262E-2</v>
      </c>
      <c r="E96" s="66">
        <f t="shared" si="72"/>
        <v>0.52386117136659438</v>
      </c>
      <c r="F96" s="66">
        <f t="shared" si="72"/>
        <v>0.38937093275488072</v>
      </c>
      <c r="G96" s="66">
        <f t="shared" si="72"/>
        <v>3.2537960954446853E-3</v>
      </c>
      <c r="H96" s="66">
        <f t="shared" si="72"/>
        <v>0</v>
      </c>
      <c r="I96" s="67"/>
      <c r="L96" s="262"/>
      <c r="M96" s="262"/>
      <c r="N96" s="262"/>
      <c r="O96" s="262"/>
      <c r="P96" s="262"/>
      <c r="Q96" s="262"/>
      <c r="R96" s="262"/>
      <c r="S96" s="262"/>
    </row>
    <row r="97" spans="1:19" x14ac:dyDescent="0.25">
      <c r="A97" s="63"/>
      <c r="B97" s="64" t="s">
        <v>51</v>
      </c>
      <c r="C97" s="66">
        <f t="shared" ref="C97:H97" si="73">SQRT((C96*(1-C96))/($I95-1))</f>
        <v>0</v>
      </c>
      <c r="D97" s="66">
        <f t="shared" si="73"/>
        <v>9.1161818707534356E-3</v>
      </c>
      <c r="E97" s="66">
        <f t="shared" si="73"/>
        <v>1.64567885626207E-2</v>
      </c>
      <c r="F97" s="66">
        <f t="shared" si="73"/>
        <v>1.60672179752483E-2</v>
      </c>
      <c r="G97" s="66">
        <f t="shared" si="73"/>
        <v>1.8765392252963844E-3</v>
      </c>
      <c r="H97" s="66">
        <f t="shared" si="73"/>
        <v>0</v>
      </c>
      <c r="I97" s="66"/>
      <c r="L97" s="262"/>
      <c r="M97" s="262"/>
      <c r="N97" s="262"/>
      <c r="O97" s="262"/>
      <c r="P97" s="262"/>
      <c r="Q97" s="262"/>
      <c r="R97" s="262"/>
      <c r="S97" s="262"/>
    </row>
    <row r="98" spans="1:19" x14ac:dyDescent="0.25">
      <c r="A98" s="63"/>
      <c r="B98" s="64" t="s">
        <v>18</v>
      </c>
      <c r="C98" s="68">
        <f t="shared" ref="C98:H98" si="74">C96*$I98</f>
        <v>0</v>
      </c>
      <c r="D98" s="68">
        <f t="shared" si="74"/>
        <v>780.80209686613546</v>
      </c>
      <c r="E98" s="68">
        <f t="shared" si="74"/>
        <v>4897.75860761485</v>
      </c>
      <c r="F98" s="68">
        <f t="shared" si="74"/>
        <v>3640.3630230512031</v>
      </c>
      <c r="G98" s="68">
        <f t="shared" si="74"/>
        <v>30.420860916862416</v>
      </c>
      <c r="H98" s="68">
        <f t="shared" si="74"/>
        <v>0</v>
      </c>
      <c r="I98" s="68">
        <f>'Summary Data'!J30</f>
        <v>9349.3445884490502</v>
      </c>
      <c r="J98" s="60">
        <f>I95/I98</f>
        <v>9.861653844047151E-2</v>
      </c>
      <c r="L98" s="262"/>
      <c r="M98" s="262"/>
      <c r="N98" s="262"/>
      <c r="O98" s="262"/>
      <c r="P98" s="262"/>
      <c r="Q98" s="262"/>
      <c r="R98" s="262"/>
      <c r="S98" s="262"/>
    </row>
    <row r="99" spans="1:19" x14ac:dyDescent="0.25">
      <c r="A99" s="69"/>
      <c r="B99" s="70" t="s">
        <v>52</v>
      </c>
      <c r="C99" s="71">
        <f t="shared" ref="C99:H99" si="75">SQRT(($I98*($I98-$I95)/($I95-1))*(C96*(1-C96)))</f>
        <v>0</v>
      </c>
      <c r="D99" s="71">
        <f t="shared" si="75"/>
        <v>80.918708102783583</v>
      </c>
      <c r="E99" s="71">
        <f t="shared" si="75"/>
        <v>146.076733536896</v>
      </c>
      <c r="F99" s="71">
        <f t="shared" si="75"/>
        <v>142.6187563824306</v>
      </c>
      <c r="G99" s="71">
        <f t="shared" si="75"/>
        <v>16.656878062332016</v>
      </c>
      <c r="H99" s="71">
        <f t="shared" si="75"/>
        <v>0</v>
      </c>
      <c r="I99" s="72"/>
      <c r="L99" s="262"/>
      <c r="M99" s="262"/>
      <c r="N99" s="262"/>
      <c r="O99" s="262"/>
      <c r="P99" s="262"/>
      <c r="Q99" s="262"/>
      <c r="R99" s="262"/>
      <c r="S99" s="262"/>
    </row>
    <row r="100" spans="1:19" x14ac:dyDescent="0.25">
      <c r="A100" s="63">
        <v>2002</v>
      </c>
      <c r="B100" s="64" t="s">
        <v>49</v>
      </c>
      <c r="C100" s="65">
        <v>0</v>
      </c>
      <c r="D100" s="260">
        <f>'Escapement Age'!S25</f>
        <v>7</v>
      </c>
      <c r="E100" s="260">
        <f>'Escapement Age'!T25</f>
        <v>395</v>
      </c>
      <c r="F100" s="260">
        <f>'Escapement Age'!U25</f>
        <v>114</v>
      </c>
      <c r="G100" s="260">
        <f>'Escapement Age'!V25</f>
        <v>2</v>
      </c>
      <c r="H100" s="65">
        <v>0</v>
      </c>
      <c r="I100" s="65">
        <f>SUM(C100:H100)</f>
        <v>518</v>
      </c>
      <c r="L100" s="262"/>
      <c r="M100" s="262"/>
      <c r="N100" s="262"/>
      <c r="O100" s="262"/>
      <c r="P100" s="262"/>
      <c r="Q100" s="262"/>
      <c r="R100" s="262"/>
      <c r="S100" s="262"/>
    </row>
    <row r="101" spans="1:19" x14ac:dyDescent="0.25">
      <c r="A101" s="63"/>
      <c r="B101" s="64" t="s">
        <v>50</v>
      </c>
      <c r="C101" s="66">
        <f t="shared" ref="C101:H101" si="76">C100/$I100</f>
        <v>0</v>
      </c>
      <c r="D101" s="66">
        <f t="shared" si="76"/>
        <v>1.3513513513513514E-2</v>
      </c>
      <c r="E101" s="66">
        <f t="shared" si="76"/>
        <v>0.76254826254826258</v>
      </c>
      <c r="F101" s="66">
        <f t="shared" si="76"/>
        <v>0.22007722007722008</v>
      </c>
      <c r="G101" s="66">
        <f t="shared" si="76"/>
        <v>3.8610038610038611E-3</v>
      </c>
      <c r="H101" s="66">
        <f t="shared" si="76"/>
        <v>0</v>
      </c>
      <c r="I101" s="67"/>
      <c r="L101" s="262"/>
      <c r="M101" s="262"/>
      <c r="N101" s="262"/>
      <c r="O101" s="262"/>
      <c r="P101" s="262"/>
      <c r="Q101" s="262"/>
      <c r="R101" s="262"/>
      <c r="S101" s="262"/>
    </row>
    <row r="102" spans="1:19" x14ac:dyDescent="0.25">
      <c r="A102" s="63"/>
      <c r="B102" s="64" t="s">
        <v>51</v>
      </c>
      <c r="C102" s="66">
        <f t="shared" ref="C102:H102" si="77">SQRT((C101*(1-C101))/($I100-1))</f>
        <v>0</v>
      </c>
      <c r="D102" s="66">
        <f t="shared" si="77"/>
        <v>5.0779034468888566E-3</v>
      </c>
      <c r="E102" s="66">
        <f t="shared" si="77"/>
        <v>1.8714407085418942E-2</v>
      </c>
      <c r="F102" s="66">
        <f t="shared" si="77"/>
        <v>1.8220826674992596E-2</v>
      </c>
      <c r="G102" s="66">
        <f t="shared" si="77"/>
        <v>2.7275003648416199E-3</v>
      </c>
      <c r="H102" s="66">
        <f t="shared" si="77"/>
        <v>0</v>
      </c>
      <c r="I102" s="66"/>
      <c r="L102" s="262"/>
      <c r="M102" s="262"/>
      <c r="N102" s="262"/>
      <c r="O102" s="262"/>
      <c r="P102" s="262"/>
      <c r="Q102" s="262"/>
      <c r="R102" s="262"/>
      <c r="S102" s="262"/>
    </row>
    <row r="103" spans="1:19" x14ac:dyDescent="0.25">
      <c r="A103" s="63"/>
      <c r="B103" s="64" t="s">
        <v>18</v>
      </c>
      <c r="C103" s="68">
        <f t="shared" ref="C103:H103" si="78">C101*$I103</f>
        <v>0</v>
      </c>
      <c r="D103" s="68">
        <f t="shared" si="78"/>
        <v>68.527027027027032</v>
      </c>
      <c r="E103" s="68">
        <f t="shared" si="78"/>
        <v>3866.8822393822397</v>
      </c>
      <c r="F103" s="68">
        <f t="shared" si="78"/>
        <v>1116.0115830115831</v>
      </c>
      <c r="G103" s="68">
        <f t="shared" si="78"/>
        <v>19.579150579150578</v>
      </c>
      <c r="H103" s="68">
        <f t="shared" si="78"/>
        <v>0</v>
      </c>
      <c r="I103" s="68">
        <f>'Summary Data'!J31</f>
        <v>5071</v>
      </c>
      <c r="J103" s="60">
        <f>I100/I103</f>
        <v>0.10214947742062709</v>
      </c>
      <c r="L103" s="262"/>
      <c r="M103" s="262"/>
      <c r="N103" s="262"/>
      <c r="O103" s="262"/>
      <c r="P103" s="262"/>
      <c r="Q103" s="262"/>
      <c r="R103" s="262"/>
      <c r="S103" s="262"/>
    </row>
    <row r="104" spans="1:19" x14ac:dyDescent="0.25">
      <c r="A104" s="69"/>
      <c r="B104" s="70" t="s">
        <v>52</v>
      </c>
      <c r="C104" s="71">
        <f t="shared" ref="C104:H104" si="79">SQRT(($I103*($I103-$I100)/($I100-1))*(C101*(1-C101)))</f>
        <v>0</v>
      </c>
      <c r="D104" s="71">
        <f t="shared" si="79"/>
        <v>24.399451820667849</v>
      </c>
      <c r="E104" s="71">
        <f t="shared" si="79"/>
        <v>89.923189522795752</v>
      </c>
      <c r="F104" s="71">
        <f t="shared" si="79"/>
        <v>87.551523426780946</v>
      </c>
      <c r="G104" s="71">
        <f t="shared" si="79"/>
        <v>13.105706801806328</v>
      </c>
      <c r="H104" s="71">
        <f t="shared" si="79"/>
        <v>0</v>
      </c>
      <c r="I104" s="72"/>
      <c r="L104" s="262"/>
      <c r="M104" s="262"/>
      <c r="N104" s="262"/>
      <c r="O104" s="262"/>
      <c r="P104" s="262"/>
      <c r="Q104" s="262"/>
      <c r="R104" s="262"/>
      <c r="S104" s="262"/>
    </row>
    <row r="105" spans="1:19" x14ac:dyDescent="0.25">
      <c r="A105" s="63">
        <v>2003</v>
      </c>
      <c r="B105" s="64" t="s">
        <v>49</v>
      </c>
      <c r="C105" s="65">
        <v>0</v>
      </c>
      <c r="D105" s="260">
        <f>'Escapement Age'!S26</f>
        <v>9</v>
      </c>
      <c r="E105" s="260">
        <f>'Escapement Age'!T26</f>
        <v>434</v>
      </c>
      <c r="F105" s="260">
        <f>'Escapement Age'!U26</f>
        <v>675</v>
      </c>
      <c r="G105" s="260">
        <f>'Escapement Age'!V26</f>
        <v>1</v>
      </c>
      <c r="H105" s="65">
        <v>0</v>
      </c>
      <c r="I105" s="65">
        <f>SUM(C105:H105)</f>
        <v>1119</v>
      </c>
      <c r="L105" s="262"/>
      <c r="M105" s="262"/>
      <c r="N105" s="262"/>
      <c r="O105" s="262"/>
      <c r="P105" s="262"/>
      <c r="Q105" s="262"/>
      <c r="R105" s="262"/>
      <c r="S105" s="262"/>
    </row>
    <row r="106" spans="1:19" x14ac:dyDescent="0.25">
      <c r="A106" s="63"/>
      <c r="B106" s="64" t="s">
        <v>50</v>
      </c>
      <c r="C106" s="66">
        <f t="shared" ref="C106:H106" si="80">C105/$I105</f>
        <v>0</v>
      </c>
      <c r="D106" s="66">
        <f t="shared" si="80"/>
        <v>8.0428954423592495E-3</v>
      </c>
      <c r="E106" s="66">
        <f t="shared" si="80"/>
        <v>0.38784629133154602</v>
      </c>
      <c r="F106" s="66">
        <f t="shared" si="80"/>
        <v>0.60321715817694366</v>
      </c>
      <c r="G106" s="66">
        <f t="shared" si="80"/>
        <v>8.9365504915102768E-4</v>
      </c>
      <c r="H106" s="66">
        <f t="shared" si="80"/>
        <v>0</v>
      </c>
      <c r="I106" s="67"/>
      <c r="L106" s="262"/>
      <c r="M106" s="262"/>
      <c r="N106" s="262"/>
      <c r="O106" s="262"/>
      <c r="P106" s="262"/>
      <c r="Q106" s="262"/>
      <c r="R106" s="262"/>
      <c r="S106" s="262"/>
    </row>
    <row r="107" spans="1:19" x14ac:dyDescent="0.25">
      <c r="A107" s="63"/>
      <c r="B107" s="64" t="s">
        <v>51</v>
      </c>
      <c r="C107" s="66">
        <f t="shared" ref="C107:H107" si="81">SQRT((C106*(1-C106))/($I105-1))</f>
        <v>0</v>
      </c>
      <c r="D107" s="66">
        <f t="shared" si="81"/>
        <v>2.6713559224589753E-3</v>
      </c>
      <c r="E107" s="66">
        <f t="shared" si="81"/>
        <v>1.4572671068404016E-2</v>
      </c>
      <c r="F107" s="66">
        <f t="shared" si="81"/>
        <v>1.4631618978558022E-2</v>
      </c>
      <c r="G107" s="66">
        <f t="shared" si="81"/>
        <v>8.9365504915102768E-4</v>
      </c>
      <c r="H107" s="66">
        <f t="shared" si="81"/>
        <v>0</v>
      </c>
      <c r="I107" s="66"/>
      <c r="L107" s="262"/>
      <c r="M107" s="262"/>
      <c r="N107" s="262"/>
      <c r="O107" s="262"/>
      <c r="P107" s="262"/>
      <c r="Q107" s="262"/>
      <c r="R107" s="262"/>
      <c r="S107" s="262"/>
    </row>
    <row r="108" spans="1:19" x14ac:dyDescent="0.25">
      <c r="A108" s="63"/>
      <c r="B108" s="64" t="s">
        <v>18</v>
      </c>
      <c r="C108" s="68">
        <f t="shared" ref="C108:H108" si="82">C106*$I108</f>
        <v>0</v>
      </c>
      <c r="D108" s="68">
        <f t="shared" si="82"/>
        <v>56.412868632707777</v>
      </c>
      <c r="E108" s="68">
        <f t="shared" si="82"/>
        <v>2720.3538873994639</v>
      </c>
      <c r="F108" s="68">
        <f t="shared" si="82"/>
        <v>4230.9651474530829</v>
      </c>
      <c r="G108" s="68">
        <f t="shared" si="82"/>
        <v>6.2680965147453085</v>
      </c>
      <c r="H108" s="68">
        <f t="shared" si="82"/>
        <v>0</v>
      </c>
      <c r="I108" s="68">
        <f>'Summary Data'!J32</f>
        <v>7014</v>
      </c>
      <c r="J108" s="60">
        <f>I105/I108</f>
        <v>0.15953806672369547</v>
      </c>
      <c r="L108" s="262"/>
      <c r="M108" s="262"/>
      <c r="N108" s="262"/>
      <c r="O108" s="262"/>
      <c r="P108" s="262"/>
      <c r="Q108" s="262"/>
      <c r="R108" s="262"/>
      <c r="S108" s="262"/>
    </row>
    <row r="109" spans="1:19" x14ac:dyDescent="0.25">
      <c r="A109" s="69"/>
      <c r="B109" s="70" t="s">
        <v>52</v>
      </c>
      <c r="C109" s="71">
        <f t="shared" ref="C109:H109" si="83">SQRT(($I108*($I108-$I105)/($I105-1))*(C106*(1-C106)))</f>
        <v>0</v>
      </c>
      <c r="D109" s="71">
        <f t="shared" si="83"/>
        <v>17.177364892013994</v>
      </c>
      <c r="E109" s="71">
        <f t="shared" si="83"/>
        <v>93.7052551809915</v>
      </c>
      <c r="F109" s="71">
        <f t="shared" si="83"/>
        <v>94.084302298533572</v>
      </c>
      <c r="G109" s="71">
        <f t="shared" si="83"/>
        <v>5.7463847246261688</v>
      </c>
      <c r="H109" s="71">
        <f t="shared" si="83"/>
        <v>0</v>
      </c>
      <c r="I109" s="72"/>
      <c r="L109" s="262"/>
      <c r="M109" s="262"/>
      <c r="N109" s="262"/>
      <c r="O109" s="262"/>
      <c r="P109" s="262"/>
      <c r="Q109" s="262"/>
      <c r="R109" s="262"/>
      <c r="S109" s="262"/>
    </row>
    <row r="110" spans="1:19" x14ac:dyDescent="0.25">
      <c r="A110" s="63">
        <v>2004</v>
      </c>
      <c r="B110" s="64" t="s">
        <v>49</v>
      </c>
      <c r="C110" s="65">
        <v>0</v>
      </c>
      <c r="D110" s="260">
        <f>'Escapement Age'!S27</f>
        <v>2</v>
      </c>
      <c r="E110" s="260">
        <f>'Escapement Age'!T27</f>
        <v>710</v>
      </c>
      <c r="F110" s="260">
        <f>'Escapement Age'!U27</f>
        <v>564</v>
      </c>
      <c r="G110" s="260">
        <f>'Escapement Age'!V27</f>
        <v>3</v>
      </c>
      <c r="H110" s="65">
        <v>0</v>
      </c>
      <c r="I110" s="65">
        <f>SUM(C110:H110)</f>
        <v>1279</v>
      </c>
      <c r="L110" s="262"/>
      <c r="M110" s="262"/>
      <c r="N110" s="262"/>
      <c r="O110" s="262"/>
      <c r="P110" s="262"/>
      <c r="Q110" s="262"/>
      <c r="R110" s="262"/>
      <c r="S110" s="262"/>
    </row>
    <row r="111" spans="1:19" x14ac:dyDescent="0.25">
      <c r="A111" s="63"/>
      <c r="B111" s="64" t="s">
        <v>50</v>
      </c>
      <c r="C111" s="66">
        <f t="shared" ref="C111:H111" si="84">C110/$I110</f>
        <v>0</v>
      </c>
      <c r="D111" s="66">
        <f t="shared" si="84"/>
        <v>1.563721657544957E-3</v>
      </c>
      <c r="E111" s="66">
        <f t="shared" si="84"/>
        <v>0.5551211884284597</v>
      </c>
      <c r="F111" s="66">
        <f t="shared" si="84"/>
        <v>0.44096950742767788</v>
      </c>
      <c r="G111" s="66">
        <f t="shared" si="84"/>
        <v>2.3455824863174357E-3</v>
      </c>
      <c r="H111" s="66">
        <f t="shared" si="84"/>
        <v>0</v>
      </c>
      <c r="I111" s="67"/>
      <c r="L111" s="262"/>
      <c r="M111" s="262"/>
      <c r="N111" s="262"/>
      <c r="O111" s="262"/>
      <c r="P111" s="262"/>
      <c r="Q111" s="262"/>
      <c r="R111" s="262"/>
      <c r="S111" s="262"/>
    </row>
    <row r="112" spans="1:19" x14ac:dyDescent="0.25">
      <c r="A112" s="63"/>
      <c r="B112" s="64" t="s">
        <v>51</v>
      </c>
      <c r="C112" s="66">
        <f t="shared" ref="C112:H112" si="85">SQRT((C111*(1-C111))/($I110-1))</f>
        <v>0</v>
      </c>
      <c r="D112" s="66">
        <f t="shared" si="85"/>
        <v>1.1052855061812049E-3</v>
      </c>
      <c r="E112" s="66">
        <f t="shared" si="85"/>
        <v>1.3901105398065767E-2</v>
      </c>
      <c r="F112" s="66">
        <f t="shared" si="85"/>
        <v>1.3888540241383083E-2</v>
      </c>
      <c r="G112" s="66">
        <f t="shared" si="85"/>
        <v>1.3531626228271184E-3</v>
      </c>
      <c r="H112" s="66">
        <f t="shared" si="85"/>
        <v>0</v>
      </c>
      <c r="I112" s="66"/>
      <c r="L112" s="262"/>
      <c r="M112" s="262"/>
      <c r="N112" s="262"/>
      <c r="O112" s="262"/>
      <c r="P112" s="262"/>
      <c r="Q112" s="262"/>
      <c r="R112" s="262"/>
      <c r="S112" s="262"/>
    </row>
    <row r="113" spans="1:19" x14ac:dyDescent="0.25">
      <c r="A113" s="63"/>
      <c r="B113" s="64" t="s">
        <v>18</v>
      </c>
      <c r="C113" s="68">
        <f t="shared" ref="C113:H113" si="86">C111*$I113</f>
        <v>0</v>
      </c>
      <c r="D113" s="68">
        <f t="shared" si="86"/>
        <v>12.217357310398748</v>
      </c>
      <c r="E113" s="68">
        <f t="shared" si="86"/>
        <v>4337.1618451915556</v>
      </c>
      <c r="F113" s="68">
        <f t="shared" si="86"/>
        <v>3445.2947615324474</v>
      </c>
      <c r="G113" s="68">
        <f t="shared" si="86"/>
        <v>18.326035965598123</v>
      </c>
      <c r="H113" s="68">
        <f t="shared" si="86"/>
        <v>0</v>
      </c>
      <c r="I113" s="68">
        <f>'Summary Data'!J33</f>
        <v>7813</v>
      </c>
      <c r="J113" s="60">
        <f>I110/I113</f>
        <v>0.16370152310252145</v>
      </c>
      <c r="L113" s="262"/>
      <c r="M113" s="262"/>
      <c r="N113" s="262"/>
      <c r="O113" s="262"/>
      <c r="P113" s="262"/>
      <c r="Q113" s="262"/>
      <c r="R113" s="262"/>
      <c r="S113" s="262"/>
    </row>
    <row r="114" spans="1:19" x14ac:dyDescent="0.25">
      <c r="A114" s="69"/>
      <c r="B114" s="70" t="s">
        <v>52</v>
      </c>
      <c r="C114" s="71">
        <f t="shared" ref="C114:H114" si="87">SQRT(($I113*($I113-$I110)/($I110-1))*(C111*(1-C111)))</f>
        <v>0</v>
      </c>
      <c r="D114" s="71">
        <f t="shared" si="87"/>
        <v>7.8971966441614079</v>
      </c>
      <c r="E114" s="71">
        <f t="shared" si="87"/>
        <v>99.322539095831829</v>
      </c>
      <c r="F114" s="71">
        <f t="shared" si="87"/>
        <v>99.232761827756818</v>
      </c>
      <c r="G114" s="71">
        <f t="shared" si="87"/>
        <v>9.6682633258406554</v>
      </c>
      <c r="H114" s="71">
        <f t="shared" si="87"/>
        <v>0</v>
      </c>
      <c r="I114" s="72"/>
      <c r="L114" s="262"/>
      <c r="M114" s="262"/>
      <c r="N114" s="262"/>
      <c r="O114" s="262"/>
      <c r="P114" s="262"/>
      <c r="Q114" s="262"/>
      <c r="R114" s="262"/>
      <c r="S114" s="262"/>
    </row>
    <row r="115" spans="1:19" x14ac:dyDescent="0.25">
      <c r="A115" s="63">
        <v>2005</v>
      </c>
      <c r="B115" s="64" t="s">
        <v>49</v>
      </c>
      <c r="C115" s="65">
        <v>0</v>
      </c>
      <c r="D115" s="260">
        <f>'Escapement Age'!S28</f>
        <v>204</v>
      </c>
      <c r="E115" s="260">
        <f>'Escapement Age'!T28</f>
        <v>491</v>
      </c>
      <c r="F115" s="260">
        <f>'Escapement Age'!U28</f>
        <v>547</v>
      </c>
      <c r="G115" s="260">
        <f>'Escapement Age'!V28</f>
        <v>8</v>
      </c>
      <c r="H115" s="65">
        <v>0</v>
      </c>
      <c r="I115" s="65">
        <f>SUM(C115:H115)</f>
        <v>1250</v>
      </c>
      <c r="L115" s="262"/>
      <c r="M115" s="262"/>
      <c r="N115" s="262"/>
      <c r="O115" s="262"/>
      <c r="P115" s="262"/>
      <c r="Q115" s="262"/>
      <c r="R115" s="262"/>
      <c r="S115" s="262"/>
    </row>
    <row r="116" spans="1:19" x14ac:dyDescent="0.25">
      <c r="A116" s="63"/>
      <c r="B116" s="64" t="s">
        <v>50</v>
      </c>
      <c r="C116" s="66">
        <f t="shared" ref="C116:H116" si="88">C115/$I115</f>
        <v>0</v>
      </c>
      <c r="D116" s="66">
        <f t="shared" si="88"/>
        <v>0.16320000000000001</v>
      </c>
      <c r="E116" s="66">
        <f t="shared" si="88"/>
        <v>0.39279999999999998</v>
      </c>
      <c r="F116" s="66">
        <f t="shared" si="88"/>
        <v>0.43759999999999999</v>
      </c>
      <c r="G116" s="66">
        <f t="shared" si="88"/>
        <v>6.4000000000000003E-3</v>
      </c>
      <c r="H116" s="66">
        <f t="shared" si="88"/>
        <v>0</v>
      </c>
      <c r="I116" s="67"/>
      <c r="L116" s="262"/>
      <c r="M116" s="262"/>
      <c r="N116" s="262"/>
      <c r="O116" s="262"/>
      <c r="P116" s="262"/>
      <c r="Q116" s="262"/>
      <c r="R116" s="262"/>
      <c r="S116" s="262"/>
    </row>
    <row r="117" spans="1:19" x14ac:dyDescent="0.25">
      <c r="A117" s="63"/>
      <c r="B117" s="64" t="s">
        <v>51</v>
      </c>
      <c r="C117" s="66">
        <f t="shared" ref="C117:H117" si="89">SQRT((C116*(1-C116))/($I115-1))</f>
        <v>0</v>
      </c>
      <c r="D117" s="66">
        <f t="shared" si="89"/>
        <v>1.0456580706141527E-2</v>
      </c>
      <c r="E117" s="66">
        <f t="shared" si="89"/>
        <v>1.3818802243188412E-2</v>
      </c>
      <c r="F117" s="66">
        <f t="shared" si="89"/>
        <v>1.4037187257455843E-2</v>
      </c>
      <c r="G117" s="66">
        <f t="shared" si="89"/>
        <v>2.256392041298504E-3</v>
      </c>
      <c r="H117" s="66">
        <f t="shared" si="89"/>
        <v>0</v>
      </c>
      <c r="I117" s="66"/>
      <c r="L117" s="262"/>
      <c r="M117" s="262"/>
      <c r="N117" s="262"/>
      <c r="O117" s="262"/>
      <c r="P117" s="262"/>
      <c r="Q117" s="262"/>
      <c r="R117" s="262"/>
      <c r="S117" s="262"/>
    </row>
    <row r="118" spans="1:19" x14ac:dyDescent="0.25">
      <c r="A118" s="63"/>
      <c r="B118" s="64" t="s">
        <v>18</v>
      </c>
      <c r="C118" s="68">
        <f t="shared" ref="C118:H118" si="90">C116*$I118</f>
        <v>0</v>
      </c>
      <c r="D118" s="68">
        <f t="shared" si="90"/>
        <v>1231.9968000000001</v>
      </c>
      <c r="E118" s="68">
        <f t="shared" si="90"/>
        <v>2965.2471999999998</v>
      </c>
      <c r="F118" s="68">
        <f t="shared" si="90"/>
        <v>3303.4423999999999</v>
      </c>
      <c r="G118" s="68">
        <f t="shared" si="90"/>
        <v>48.313600000000001</v>
      </c>
      <c r="H118" s="68">
        <f t="shared" si="90"/>
        <v>0</v>
      </c>
      <c r="I118" s="68">
        <f>'Summary Data'!J34</f>
        <v>7549</v>
      </c>
      <c r="J118" s="60">
        <f>I115/I118</f>
        <v>0.16558484567492382</v>
      </c>
      <c r="L118" s="262"/>
      <c r="M118" s="262"/>
      <c r="N118" s="262"/>
      <c r="O118" s="262"/>
      <c r="P118" s="262"/>
      <c r="Q118" s="262"/>
      <c r="R118" s="262"/>
      <c r="S118" s="262"/>
    </row>
    <row r="119" spans="1:19" x14ac:dyDescent="0.25">
      <c r="A119" s="69"/>
      <c r="B119" s="70" t="s">
        <v>52</v>
      </c>
      <c r="C119" s="71">
        <f t="shared" ref="C119:H119" si="91">SQRT(($I118*($I118-$I115)/($I115-1))*(C116*(1-C116)))</f>
        <v>0</v>
      </c>
      <c r="D119" s="71">
        <f t="shared" si="91"/>
        <v>72.105801829518484</v>
      </c>
      <c r="E119" s="71">
        <f t="shared" si="91"/>
        <v>95.290788076012078</v>
      </c>
      <c r="F119" s="71">
        <f t="shared" si="91"/>
        <v>96.796713101011449</v>
      </c>
      <c r="G119" s="71">
        <f t="shared" si="91"/>
        <v>15.559479905703173</v>
      </c>
      <c r="H119" s="71">
        <f t="shared" si="91"/>
        <v>0</v>
      </c>
      <c r="I119" s="72"/>
      <c r="L119" s="262"/>
      <c r="M119" s="262"/>
      <c r="N119" s="262"/>
      <c r="O119" s="262"/>
      <c r="P119" s="262"/>
      <c r="Q119" s="262"/>
      <c r="R119" s="262"/>
      <c r="S119" s="262"/>
    </row>
    <row r="120" spans="1:19" x14ac:dyDescent="0.25">
      <c r="A120" s="63">
        <v>2006</v>
      </c>
      <c r="B120" s="64" t="s">
        <v>49</v>
      </c>
      <c r="C120" s="65">
        <v>0</v>
      </c>
      <c r="D120" s="260">
        <f>'Escapement Age'!S29</f>
        <v>3</v>
      </c>
      <c r="E120" s="260">
        <f>'Escapement Age'!T29</f>
        <v>208</v>
      </c>
      <c r="F120" s="260">
        <f>'Escapement Age'!U29</f>
        <v>111</v>
      </c>
      <c r="G120" s="260">
        <f>'Escapement Age'!V29</f>
        <v>1</v>
      </c>
      <c r="H120" s="65">
        <v>0</v>
      </c>
      <c r="I120" s="65">
        <f>SUM(C120:H120)</f>
        <v>323</v>
      </c>
      <c r="L120" s="262"/>
      <c r="M120" s="262"/>
      <c r="N120" s="262"/>
      <c r="O120" s="262"/>
      <c r="P120" s="262"/>
      <c r="Q120" s="262"/>
      <c r="R120" s="262"/>
      <c r="S120" s="262"/>
    </row>
    <row r="121" spans="1:19" x14ac:dyDescent="0.25">
      <c r="A121" s="63"/>
      <c r="B121" s="64" t="s">
        <v>50</v>
      </c>
      <c r="C121" s="66">
        <f t="shared" ref="C121:H121" si="92">C120/$I120</f>
        <v>0</v>
      </c>
      <c r="D121" s="66">
        <f t="shared" si="92"/>
        <v>9.2879256965944269E-3</v>
      </c>
      <c r="E121" s="66">
        <f t="shared" si="92"/>
        <v>0.64396284829721362</v>
      </c>
      <c r="F121" s="66">
        <f t="shared" si="92"/>
        <v>0.34365325077399383</v>
      </c>
      <c r="G121" s="66">
        <f t="shared" si="92"/>
        <v>3.0959752321981426E-3</v>
      </c>
      <c r="H121" s="66">
        <f t="shared" si="92"/>
        <v>0</v>
      </c>
      <c r="I121" s="67"/>
      <c r="L121" s="262"/>
      <c r="M121" s="262"/>
      <c r="N121" s="262"/>
      <c r="O121" s="262"/>
      <c r="P121" s="262"/>
      <c r="Q121" s="262"/>
      <c r="R121" s="262"/>
      <c r="S121" s="262"/>
    </row>
    <row r="122" spans="1:19" x14ac:dyDescent="0.25">
      <c r="A122" s="63"/>
      <c r="B122" s="64" t="s">
        <v>51</v>
      </c>
      <c r="C122" s="66">
        <f t="shared" ref="C122:H122" si="93">SQRT((C121*(1-C121))/($I120-1))</f>
        <v>0</v>
      </c>
      <c r="D122" s="66">
        <f t="shared" si="93"/>
        <v>5.3457070873277474E-3</v>
      </c>
      <c r="E122" s="66">
        <f t="shared" si="93"/>
        <v>2.668395069261098E-2</v>
      </c>
      <c r="F122" s="66">
        <f t="shared" si="93"/>
        <v>2.6466649235579363E-2</v>
      </c>
      <c r="G122" s="66">
        <f t="shared" si="93"/>
        <v>3.0959752321981426E-3</v>
      </c>
      <c r="H122" s="66">
        <f t="shared" si="93"/>
        <v>0</v>
      </c>
      <c r="I122" s="66"/>
      <c r="L122" s="262"/>
      <c r="M122" s="262"/>
      <c r="N122" s="262"/>
      <c r="O122" s="262"/>
      <c r="P122" s="262"/>
      <c r="Q122" s="262"/>
      <c r="R122" s="262"/>
      <c r="S122" s="262"/>
    </row>
    <row r="123" spans="1:19" x14ac:dyDescent="0.25">
      <c r="A123" s="63"/>
      <c r="B123" s="64" t="s">
        <v>18</v>
      </c>
      <c r="C123" s="68">
        <f t="shared" ref="C123:H123" si="94">C121*$I123</f>
        <v>0</v>
      </c>
      <c r="D123" s="68">
        <f t="shared" si="94"/>
        <v>38.684210526315788</v>
      </c>
      <c r="E123" s="68">
        <f t="shared" si="94"/>
        <v>2682.1052631578946</v>
      </c>
      <c r="F123" s="68">
        <f t="shared" si="94"/>
        <v>1431.3157894736844</v>
      </c>
      <c r="G123" s="68">
        <f t="shared" si="94"/>
        <v>12.894736842105264</v>
      </c>
      <c r="H123" s="68">
        <f t="shared" si="94"/>
        <v>0</v>
      </c>
      <c r="I123" s="68">
        <f>'Summary Data'!J35</f>
        <v>4165</v>
      </c>
      <c r="J123" s="60">
        <f>I120/I123</f>
        <v>7.7551020408163265E-2</v>
      </c>
      <c r="L123" s="262"/>
      <c r="M123" s="262"/>
      <c r="N123" s="262"/>
      <c r="O123" s="262"/>
      <c r="P123" s="262"/>
      <c r="Q123" s="262"/>
      <c r="R123" s="262"/>
      <c r="S123" s="262"/>
    </row>
    <row r="124" spans="1:19" x14ac:dyDescent="0.25">
      <c r="A124" s="69"/>
      <c r="B124" s="70" t="s">
        <v>52</v>
      </c>
      <c r="C124" s="71">
        <f t="shared" ref="C124:H124" si="95">SQRT(($I123*($I123-$I120)/($I120-1))*(C121*(1-C121)))</f>
        <v>0</v>
      </c>
      <c r="D124" s="71">
        <f t="shared" si="95"/>
        <v>21.384117962257093</v>
      </c>
      <c r="E124" s="71">
        <f t="shared" si="95"/>
        <v>106.74224007942927</v>
      </c>
      <c r="F124" s="71">
        <f t="shared" si="95"/>
        <v>105.87298182890711</v>
      </c>
      <c r="G124" s="71">
        <f t="shared" si="95"/>
        <v>12.38464781029487</v>
      </c>
      <c r="H124" s="71">
        <f t="shared" si="95"/>
        <v>0</v>
      </c>
      <c r="I124" s="72"/>
      <c r="L124" s="262"/>
      <c r="M124" s="262"/>
      <c r="N124" s="262"/>
      <c r="O124" s="262"/>
      <c r="P124" s="262"/>
      <c r="Q124" s="262"/>
      <c r="R124" s="262"/>
      <c r="S124" s="262"/>
    </row>
    <row r="125" spans="1:19" x14ac:dyDescent="0.25">
      <c r="A125" s="63">
        <v>2007</v>
      </c>
      <c r="B125" s="64" t="s">
        <v>49</v>
      </c>
      <c r="C125" s="65">
        <v>0</v>
      </c>
      <c r="D125" s="260">
        <f>'Escapement Age'!S30</f>
        <v>0</v>
      </c>
      <c r="E125" s="260">
        <f>'Escapement Age'!T30</f>
        <v>94</v>
      </c>
      <c r="F125" s="260">
        <f>'Escapement Age'!U30</f>
        <v>426</v>
      </c>
      <c r="G125" s="260">
        <f>'Escapement Age'!V30</f>
        <v>9</v>
      </c>
      <c r="H125" s="65">
        <v>0</v>
      </c>
      <c r="I125" s="65">
        <f>SUM(C125:H125)</f>
        <v>529</v>
      </c>
      <c r="L125" s="262"/>
      <c r="M125" s="262"/>
      <c r="N125" s="262"/>
      <c r="O125" s="262"/>
      <c r="P125" s="262"/>
      <c r="Q125" s="262"/>
      <c r="R125" s="262"/>
      <c r="S125" s="262"/>
    </row>
    <row r="126" spans="1:19" x14ac:dyDescent="0.25">
      <c r="A126" s="63"/>
      <c r="B126" s="64" t="s">
        <v>50</v>
      </c>
      <c r="C126" s="66">
        <f t="shared" ref="C126:H126" si="96">C125/$I125</f>
        <v>0</v>
      </c>
      <c r="D126" s="66">
        <f t="shared" si="96"/>
        <v>0</v>
      </c>
      <c r="E126" s="66">
        <f t="shared" si="96"/>
        <v>0.17769376181474481</v>
      </c>
      <c r="F126" s="66">
        <f t="shared" si="96"/>
        <v>0.80529300567107753</v>
      </c>
      <c r="G126" s="66">
        <f t="shared" si="96"/>
        <v>1.7013232514177693E-2</v>
      </c>
      <c r="H126" s="66">
        <f t="shared" si="96"/>
        <v>0</v>
      </c>
      <c r="I126" s="67"/>
      <c r="L126" s="262"/>
      <c r="M126" s="262"/>
      <c r="N126" s="262"/>
      <c r="O126" s="262"/>
      <c r="P126" s="262"/>
      <c r="Q126" s="262"/>
      <c r="R126" s="262"/>
      <c r="S126" s="262"/>
    </row>
    <row r="127" spans="1:19" x14ac:dyDescent="0.25">
      <c r="A127" s="63"/>
      <c r="B127" s="64" t="s">
        <v>51</v>
      </c>
      <c r="C127" s="66">
        <f t="shared" ref="C127:H127" si="97">SQRT((C126*(1-C126))/($I125-1))</f>
        <v>0</v>
      </c>
      <c r="D127" s="66">
        <f t="shared" si="97"/>
        <v>0</v>
      </c>
      <c r="E127" s="66">
        <f t="shared" si="97"/>
        <v>1.663550242583554E-2</v>
      </c>
      <c r="F127" s="66">
        <f t="shared" si="97"/>
        <v>1.7232598858699388E-2</v>
      </c>
      <c r="G127" s="66">
        <f t="shared" si="97"/>
        <v>5.6279508141649131E-3</v>
      </c>
      <c r="H127" s="66">
        <f t="shared" si="97"/>
        <v>0</v>
      </c>
      <c r="I127" s="66"/>
      <c r="L127" s="262"/>
      <c r="M127" s="262"/>
      <c r="N127" s="262"/>
      <c r="O127" s="262"/>
      <c r="P127" s="262"/>
      <c r="Q127" s="262"/>
      <c r="R127" s="262"/>
      <c r="S127" s="262"/>
    </row>
    <row r="128" spans="1:19" x14ac:dyDescent="0.25">
      <c r="A128" s="63"/>
      <c r="B128" s="64" t="s">
        <v>18</v>
      </c>
      <c r="C128" s="68">
        <f t="shared" ref="C128:H128" si="98">C126*$I128</f>
        <v>0</v>
      </c>
      <c r="D128" s="68">
        <f t="shared" si="98"/>
        <v>0</v>
      </c>
      <c r="E128" s="68">
        <f t="shared" si="98"/>
        <v>550.6729678638942</v>
      </c>
      <c r="F128" s="68">
        <f t="shared" si="98"/>
        <v>2495.6030245746692</v>
      </c>
      <c r="G128" s="68">
        <f t="shared" si="98"/>
        <v>52.724007561436672</v>
      </c>
      <c r="H128" s="68">
        <f t="shared" si="98"/>
        <v>0</v>
      </c>
      <c r="I128" s="68">
        <f>'Summary Data'!J36</f>
        <v>3099</v>
      </c>
      <c r="J128" s="60">
        <f>I125/I128</f>
        <v>0.17070022587931591</v>
      </c>
      <c r="L128" s="262"/>
      <c r="M128" s="262"/>
      <c r="N128" s="262"/>
      <c r="O128" s="262"/>
      <c r="P128" s="262"/>
      <c r="Q128" s="262"/>
      <c r="R128" s="262"/>
      <c r="S128" s="262"/>
    </row>
    <row r="129" spans="1:26" x14ac:dyDescent="0.25">
      <c r="A129" s="69"/>
      <c r="B129" s="70" t="s">
        <v>52</v>
      </c>
      <c r="C129" s="71">
        <f t="shared" ref="C129:H129" si="99">SQRT(($I128*($I128-$I125)/($I125-1))*(C126*(1-C126)))</f>
        <v>0</v>
      </c>
      <c r="D129" s="71">
        <f t="shared" si="99"/>
        <v>0</v>
      </c>
      <c r="E129" s="71">
        <f t="shared" si="99"/>
        <v>46.947586604424032</v>
      </c>
      <c r="F129" s="71">
        <f t="shared" si="99"/>
        <v>48.632671657793566</v>
      </c>
      <c r="G129" s="71">
        <f t="shared" si="99"/>
        <v>15.882821058840081</v>
      </c>
      <c r="H129" s="71">
        <f t="shared" si="99"/>
        <v>0</v>
      </c>
      <c r="I129" s="72"/>
      <c r="L129" s="262"/>
      <c r="M129" s="262"/>
      <c r="N129" s="262"/>
      <c r="O129" s="262"/>
      <c r="P129" s="262"/>
      <c r="Q129" s="262"/>
      <c r="R129" s="262"/>
      <c r="S129" s="262"/>
    </row>
    <row r="130" spans="1:26" x14ac:dyDescent="0.25">
      <c r="A130" s="63">
        <v>2008</v>
      </c>
      <c r="B130" s="64" t="s">
        <v>49</v>
      </c>
      <c r="C130" s="65">
        <v>0</v>
      </c>
      <c r="D130" s="260">
        <f>'Escapement Age'!S31</f>
        <v>3</v>
      </c>
      <c r="E130" s="260">
        <f>'Escapement Age'!T31</f>
        <v>117</v>
      </c>
      <c r="F130" s="260">
        <f>'Escapement Age'!U31</f>
        <v>170</v>
      </c>
      <c r="G130" s="260">
        <f>'Escapement Age'!V31</f>
        <v>1</v>
      </c>
      <c r="H130" s="65">
        <v>0</v>
      </c>
      <c r="I130" s="65">
        <f>SUM(C130:H130)</f>
        <v>291</v>
      </c>
      <c r="L130" s="262"/>
      <c r="M130" s="262"/>
      <c r="N130" s="262"/>
      <c r="O130" s="262"/>
      <c r="P130" s="262"/>
      <c r="Q130" s="262"/>
      <c r="R130" s="262"/>
      <c r="S130" s="262"/>
      <c r="T130" s="263"/>
      <c r="U130" s="263"/>
      <c r="V130" s="263"/>
      <c r="W130" s="263"/>
      <c r="X130" s="263"/>
      <c r="Y130" s="263"/>
      <c r="Z130" s="263"/>
    </row>
    <row r="131" spans="1:26" x14ac:dyDescent="0.25">
      <c r="A131" s="63"/>
      <c r="B131" s="64" t="s">
        <v>50</v>
      </c>
      <c r="C131" s="66">
        <f t="shared" ref="C131:H131" si="100">C130/$I130</f>
        <v>0</v>
      </c>
      <c r="D131" s="66">
        <f t="shared" si="100"/>
        <v>1.0309278350515464E-2</v>
      </c>
      <c r="E131" s="66">
        <f t="shared" si="100"/>
        <v>0.40206185567010311</v>
      </c>
      <c r="F131" s="66">
        <f t="shared" si="100"/>
        <v>0.58419243986254299</v>
      </c>
      <c r="G131" s="66">
        <f t="shared" si="100"/>
        <v>3.4364261168384879E-3</v>
      </c>
      <c r="H131" s="66">
        <f t="shared" si="100"/>
        <v>0</v>
      </c>
      <c r="I131" s="67"/>
      <c r="L131" s="262"/>
      <c r="M131" s="262"/>
      <c r="N131" s="262"/>
      <c r="O131" s="262"/>
      <c r="P131" s="262"/>
      <c r="Q131" s="262"/>
      <c r="R131" s="262"/>
      <c r="S131" s="262"/>
      <c r="T131" s="263"/>
      <c r="U131" s="263"/>
      <c r="V131" s="263"/>
      <c r="W131" s="263"/>
      <c r="X131" s="263"/>
      <c r="Y131" s="263"/>
      <c r="Z131" s="263"/>
    </row>
    <row r="132" spans="1:26" x14ac:dyDescent="0.25">
      <c r="A132" s="63"/>
      <c r="B132" s="64" t="s">
        <v>51</v>
      </c>
      <c r="C132" s="66">
        <f t="shared" ref="C132:H132" si="101">SQRT((C131*(1-C131))/($I130-1))</f>
        <v>0</v>
      </c>
      <c r="D132" s="66">
        <f t="shared" si="101"/>
        <v>5.9315047606439278E-3</v>
      </c>
      <c r="E132" s="66">
        <f t="shared" si="101"/>
        <v>2.8792247512925653E-2</v>
      </c>
      <c r="F132" s="66">
        <f t="shared" si="101"/>
        <v>2.8941774667960621E-2</v>
      </c>
      <c r="G132" s="66">
        <f t="shared" si="101"/>
        <v>3.4364261168384879E-3</v>
      </c>
      <c r="H132" s="66">
        <f t="shared" si="101"/>
        <v>0</v>
      </c>
      <c r="I132" s="66"/>
      <c r="L132" s="262"/>
      <c r="M132" s="262"/>
      <c r="N132" s="262"/>
      <c r="O132" s="262"/>
      <c r="P132" s="262"/>
      <c r="Q132" s="262"/>
      <c r="R132" s="262"/>
      <c r="S132" s="262"/>
      <c r="T132" s="263"/>
      <c r="U132" s="263"/>
      <c r="V132" s="263"/>
      <c r="W132" s="263"/>
      <c r="X132" s="263"/>
      <c r="Y132" s="263"/>
      <c r="Z132" s="263"/>
    </row>
    <row r="133" spans="1:26" x14ac:dyDescent="0.25">
      <c r="A133" s="63"/>
      <c r="B133" s="64" t="s">
        <v>18</v>
      </c>
      <c r="C133" s="68">
        <f t="shared" ref="C133:H133" si="102">C131*$I133</f>
        <v>0</v>
      </c>
      <c r="D133" s="68">
        <f t="shared" si="102"/>
        <v>18.175257731958762</v>
      </c>
      <c r="E133" s="68">
        <f t="shared" si="102"/>
        <v>708.83505154639181</v>
      </c>
      <c r="F133" s="68">
        <f t="shared" si="102"/>
        <v>1029.9312714776634</v>
      </c>
      <c r="G133" s="68">
        <f t="shared" si="102"/>
        <v>6.0584192439862541</v>
      </c>
      <c r="H133" s="68">
        <f t="shared" si="102"/>
        <v>0</v>
      </c>
      <c r="I133" s="68">
        <f>'Summary Data'!J37</f>
        <v>1763</v>
      </c>
      <c r="J133" s="60">
        <f>I130/I133</f>
        <v>0.16505955757231991</v>
      </c>
      <c r="L133" s="262"/>
      <c r="M133" s="262"/>
      <c r="N133" s="262"/>
      <c r="O133" s="262"/>
      <c r="P133" s="262"/>
      <c r="Q133" s="262"/>
      <c r="R133" s="262"/>
      <c r="S133" s="262"/>
      <c r="T133" s="263"/>
      <c r="U133" s="263"/>
      <c r="V133" s="263"/>
      <c r="W133" s="263"/>
      <c r="X133" s="263"/>
      <c r="Y133" s="263"/>
      <c r="Z133" s="263"/>
    </row>
    <row r="134" spans="1:26" x14ac:dyDescent="0.25">
      <c r="A134" s="69"/>
      <c r="B134" s="70" t="s">
        <v>52</v>
      </c>
      <c r="C134" s="71">
        <f t="shared" ref="C134:H134" si="103">SQRT(($I133*($I133-$I130)/($I130-1))*(C131*(1-C131)))</f>
        <v>0</v>
      </c>
      <c r="D134" s="71">
        <f t="shared" si="103"/>
        <v>9.5553135896529877</v>
      </c>
      <c r="E134" s="71">
        <f t="shared" si="103"/>
        <v>46.382657527706989</v>
      </c>
      <c r="F134" s="71">
        <f t="shared" si="103"/>
        <v>46.623537188802075</v>
      </c>
      <c r="G134" s="71">
        <f t="shared" si="103"/>
        <v>5.5358851588446738</v>
      </c>
      <c r="H134" s="71">
        <f t="shared" si="103"/>
        <v>0</v>
      </c>
      <c r="I134" s="72"/>
      <c r="L134" s="262"/>
      <c r="M134" s="262"/>
      <c r="N134" s="262"/>
      <c r="O134" s="262"/>
      <c r="P134" s="262"/>
      <c r="Q134" s="262"/>
      <c r="R134" s="262"/>
      <c r="S134" s="262"/>
      <c r="T134" s="263"/>
      <c r="U134" s="263"/>
      <c r="V134" s="263"/>
      <c r="W134" s="263"/>
      <c r="X134" s="263"/>
      <c r="Y134" s="263"/>
      <c r="Z134" s="263"/>
    </row>
    <row r="135" spans="1:26" x14ac:dyDescent="0.25">
      <c r="A135" s="63">
        <v>2009</v>
      </c>
      <c r="B135" s="64" t="s">
        <v>49</v>
      </c>
      <c r="C135" s="65">
        <v>0</v>
      </c>
      <c r="D135" s="260">
        <f>'Escapement Age'!S32</f>
        <v>0</v>
      </c>
      <c r="E135" s="260">
        <f>'Escapement Age'!T32</f>
        <v>236</v>
      </c>
      <c r="F135" s="260">
        <f>'Escapement Age'!U32</f>
        <v>131</v>
      </c>
      <c r="G135" s="260">
        <f>'Escapement Age'!V32</f>
        <v>4</v>
      </c>
      <c r="H135" s="65">
        <v>0</v>
      </c>
      <c r="I135" s="65">
        <f>SUM(C135:H135)</f>
        <v>371</v>
      </c>
      <c r="L135" s="262"/>
      <c r="M135" s="262"/>
      <c r="N135" s="262"/>
      <c r="O135" s="262"/>
      <c r="P135" s="262"/>
      <c r="Q135" s="262"/>
      <c r="R135" s="262"/>
      <c r="S135" s="262"/>
    </row>
    <row r="136" spans="1:26" x14ac:dyDescent="0.25">
      <c r="A136" s="63"/>
      <c r="B136" s="64" t="s">
        <v>50</v>
      </c>
      <c r="C136" s="66">
        <f t="shared" ref="C136:H136" si="104">C135/$I135</f>
        <v>0</v>
      </c>
      <c r="D136" s="66">
        <f t="shared" si="104"/>
        <v>0</v>
      </c>
      <c r="E136" s="66">
        <f t="shared" si="104"/>
        <v>0.63611859838274931</v>
      </c>
      <c r="F136" s="66">
        <f t="shared" si="104"/>
        <v>0.35309973045822102</v>
      </c>
      <c r="G136" s="66">
        <f t="shared" si="104"/>
        <v>1.078167115902965E-2</v>
      </c>
      <c r="H136" s="66">
        <f t="shared" si="104"/>
        <v>0</v>
      </c>
      <c r="I136" s="67"/>
      <c r="L136" s="262"/>
      <c r="M136" s="262"/>
      <c r="N136" s="262"/>
      <c r="O136" s="262"/>
      <c r="P136" s="262"/>
      <c r="Q136" s="262"/>
      <c r="R136" s="262"/>
      <c r="S136" s="262"/>
    </row>
    <row r="137" spans="1:26" x14ac:dyDescent="0.25">
      <c r="A137" s="63"/>
      <c r="B137" s="64" t="s">
        <v>51</v>
      </c>
      <c r="C137" s="66">
        <f t="shared" ref="C137:H137" si="105">SQRT((C136*(1-C136))/($I135-1))</f>
        <v>0</v>
      </c>
      <c r="D137" s="66">
        <f t="shared" si="105"/>
        <v>0</v>
      </c>
      <c r="E137" s="66">
        <f t="shared" si="105"/>
        <v>2.5011982381116574E-2</v>
      </c>
      <c r="F137" s="66">
        <f t="shared" si="105"/>
        <v>2.4846573030791724E-2</v>
      </c>
      <c r="G137" s="66">
        <f t="shared" si="105"/>
        <v>5.3689363600221696E-3</v>
      </c>
      <c r="H137" s="66">
        <f t="shared" si="105"/>
        <v>0</v>
      </c>
      <c r="I137" s="66"/>
      <c r="L137" s="262"/>
      <c r="M137" s="262"/>
      <c r="N137" s="262"/>
      <c r="O137" s="262"/>
      <c r="P137" s="262"/>
      <c r="Q137" s="262"/>
      <c r="R137" s="262"/>
      <c r="S137" s="262"/>
    </row>
    <row r="138" spans="1:26" x14ac:dyDescent="0.25">
      <c r="A138" s="63"/>
      <c r="B138" s="64" t="s">
        <v>18</v>
      </c>
      <c r="C138" s="68">
        <f t="shared" ref="C138:H138" si="106">C136*$I138</f>
        <v>0</v>
      </c>
      <c r="D138" s="68">
        <f t="shared" si="106"/>
        <v>0</v>
      </c>
      <c r="E138" s="68">
        <f t="shared" si="106"/>
        <v>2346.6415094339623</v>
      </c>
      <c r="F138" s="68">
        <f t="shared" si="106"/>
        <v>1302.5849056603774</v>
      </c>
      <c r="G138" s="68">
        <f t="shared" si="106"/>
        <v>39.773584905660378</v>
      </c>
      <c r="H138" s="68">
        <f t="shared" si="106"/>
        <v>0</v>
      </c>
      <c r="I138" s="68">
        <f>'Summary Data'!J38</f>
        <v>3689</v>
      </c>
      <c r="J138" s="60">
        <f>I135/I138</f>
        <v>0.10056925996204934</v>
      </c>
      <c r="L138" s="262"/>
      <c r="M138" s="262"/>
      <c r="N138" s="262"/>
      <c r="O138" s="262"/>
      <c r="P138" s="262"/>
      <c r="Q138" s="262"/>
      <c r="R138" s="262"/>
      <c r="S138" s="262"/>
    </row>
    <row r="139" spans="1:26" x14ac:dyDescent="0.25">
      <c r="A139" s="69"/>
      <c r="B139" s="70" t="s">
        <v>52</v>
      </c>
      <c r="C139" s="71">
        <f t="shared" ref="C139:H139" si="107">SQRT(($I138*($I138-$I135)/($I135-1))*(C136*(1-C136)))</f>
        <v>0</v>
      </c>
      <c r="D139" s="71">
        <f t="shared" si="107"/>
        <v>0</v>
      </c>
      <c r="E139" s="71">
        <f t="shared" si="107"/>
        <v>87.506564243810928</v>
      </c>
      <c r="F139" s="71">
        <f t="shared" si="107"/>
        <v>86.927865453759949</v>
      </c>
      <c r="G139" s="71">
        <f t="shared" si="107"/>
        <v>18.783684049926116</v>
      </c>
      <c r="H139" s="71">
        <f t="shared" si="107"/>
        <v>0</v>
      </c>
      <c r="I139" s="72"/>
      <c r="L139" s="262"/>
      <c r="M139" s="262"/>
      <c r="N139" s="262"/>
      <c r="O139" s="262"/>
      <c r="P139" s="262"/>
      <c r="Q139" s="262"/>
      <c r="R139" s="262"/>
      <c r="S139" s="262"/>
    </row>
    <row r="140" spans="1:26" x14ac:dyDescent="0.25">
      <c r="A140" s="63">
        <v>2010</v>
      </c>
      <c r="B140" s="64" t="s">
        <v>49</v>
      </c>
      <c r="C140" s="65">
        <v>0</v>
      </c>
      <c r="D140" s="260">
        <f>'Escapement Age'!S33</f>
        <v>0</v>
      </c>
      <c r="E140" s="260">
        <f>'Escapement Age'!T33</f>
        <v>321</v>
      </c>
      <c r="F140" s="260">
        <f>'Escapement Age'!U33</f>
        <v>428</v>
      </c>
      <c r="G140" s="260">
        <f>'Escapement Age'!V33</f>
        <v>4</v>
      </c>
      <c r="H140" s="65">
        <v>0</v>
      </c>
      <c r="I140" s="65">
        <f>SUM(C140:H140)</f>
        <v>753</v>
      </c>
      <c r="L140" s="262"/>
      <c r="M140" s="262"/>
      <c r="N140" s="262"/>
      <c r="O140" s="262"/>
      <c r="P140" s="262"/>
      <c r="Q140" s="262"/>
      <c r="R140" s="262"/>
      <c r="S140" s="262"/>
    </row>
    <row r="141" spans="1:26" x14ac:dyDescent="0.25">
      <c r="A141" s="63"/>
      <c r="B141" s="64" t="s">
        <v>50</v>
      </c>
      <c r="C141" s="66">
        <f t="shared" ref="C141:H141" si="108">C140/$I140</f>
        <v>0</v>
      </c>
      <c r="D141" s="66">
        <f t="shared" si="108"/>
        <v>0</v>
      </c>
      <c r="E141" s="66">
        <f t="shared" si="108"/>
        <v>0.42629482071713148</v>
      </c>
      <c r="F141" s="66">
        <f t="shared" si="108"/>
        <v>0.56839309428950868</v>
      </c>
      <c r="G141" s="66">
        <f t="shared" si="108"/>
        <v>5.3120849933598934E-3</v>
      </c>
      <c r="H141" s="66">
        <f t="shared" si="108"/>
        <v>0</v>
      </c>
      <c r="I141" s="67"/>
      <c r="L141" s="262"/>
      <c r="M141" s="262"/>
      <c r="N141" s="262"/>
      <c r="O141" s="262"/>
      <c r="P141" s="262"/>
      <c r="Q141" s="262"/>
      <c r="R141" s="262"/>
      <c r="S141" s="262"/>
    </row>
    <row r="142" spans="1:26" x14ac:dyDescent="0.25">
      <c r="A142" s="63"/>
      <c r="B142" s="64" t="s">
        <v>51</v>
      </c>
      <c r="C142" s="66">
        <f t="shared" ref="C142:H142" si="109">SQRT((C141*(1-C141))/($I140-1))</f>
        <v>0</v>
      </c>
      <c r="D142" s="66">
        <f t="shared" si="109"/>
        <v>0</v>
      </c>
      <c r="E142" s="66">
        <f t="shared" si="109"/>
        <v>1.803393471373203E-2</v>
      </c>
      <c r="F142" s="66">
        <f t="shared" si="109"/>
        <v>1.8061743419091898E-2</v>
      </c>
      <c r="G142" s="66">
        <f t="shared" si="109"/>
        <v>2.6507392451394309E-3</v>
      </c>
      <c r="H142" s="66">
        <f t="shared" si="109"/>
        <v>0</v>
      </c>
      <c r="I142" s="66"/>
      <c r="L142" s="262"/>
      <c r="M142" s="262"/>
      <c r="N142" s="262"/>
      <c r="O142" s="262"/>
      <c r="P142" s="262"/>
      <c r="Q142" s="262"/>
      <c r="R142" s="262"/>
      <c r="S142" s="262"/>
    </row>
    <row r="143" spans="1:26" x14ac:dyDescent="0.25">
      <c r="A143" s="63"/>
      <c r="B143" s="64" t="s">
        <v>18</v>
      </c>
      <c r="C143" s="68">
        <f t="shared" ref="C143:H143" si="110">C141*$I143</f>
        <v>0</v>
      </c>
      <c r="D143" s="68">
        <f t="shared" si="110"/>
        <v>0</v>
      </c>
      <c r="E143" s="68">
        <f t="shared" si="110"/>
        <v>2404.3027888446218</v>
      </c>
      <c r="F143" s="68">
        <f t="shared" si="110"/>
        <v>3205.7370517928289</v>
      </c>
      <c r="G143" s="68">
        <f t="shared" si="110"/>
        <v>29.960159362549799</v>
      </c>
      <c r="H143" s="68">
        <f t="shared" si="110"/>
        <v>0</v>
      </c>
      <c r="I143" s="68">
        <f>'Summary Data'!J39</f>
        <v>5640</v>
      </c>
      <c r="J143" s="60">
        <f>I140/I143</f>
        <v>0.13351063829787235</v>
      </c>
      <c r="L143" s="262"/>
      <c r="M143" s="262"/>
      <c r="N143" s="262"/>
      <c r="O143" s="262"/>
      <c r="P143" s="262"/>
      <c r="Q143" s="262"/>
      <c r="R143" s="262"/>
      <c r="S143" s="262"/>
    </row>
    <row r="144" spans="1:26" x14ac:dyDescent="0.25">
      <c r="A144" s="69"/>
      <c r="B144" s="70" t="s">
        <v>52</v>
      </c>
      <c r="C144" s="71">
        <f t="shared" ref="C144:H144" si="111">SQRT(($I143*($I143-$I140)/($I140-1))*(C141*(1-C141)))</f>
        <v>0</v>
      </c>
      <c r="D144" s="71">
        <f t="shared" si="111"/>
        <v>0</v>
      </c>
      <c r="E144" s="71">
        <f t="shared" si="111"/>
        <v>94.678466399754939</v>
      </c>
      <c r="F144" s="71">
        <f t="shared" si="111"/>
        <v>94.824462579614135</v>
      </c>
      <c r="G144" s="71">
        <f t="shared" si="111"/>
        <v>13.916426478152024</v>
      </c>
      <c r="H144" s="71">
        <f t="shared" si="111"/>
        <v>0</v>
      </c>
      <c r="I144" s="72"/>
      <c r="L144" s="262"/>
      <c r="M144" s="262"/>
      <c r="N144" s="262"/>
      <c r="O144" s="262"/>
      <c r="P144" s="262"/>
      <c r="Q144" s="262"/>
      <c r="R144" s="262"/>
      <c r="S144" s="262"/>
    </row>
    <row r="145" spans="1:26" x14ac:dyDescent="0.25">
      <c r="A145" s="63">
        <v>2011</v>
      </c>
      <c r="B145" s="64" t="s">
        <v>49</v>
      </c>
      <c r="C145" s="68">
        <v>0</v>
      </c>
      <c r="D145" s="68">
        <f>'Escapement Age'!S34</f>
        <v>0</v>
      </c>
      <c r="E145" s="68">
        <f>'Escapement Age'!T34</f>
        <v>212</v>
      </c>
      <c r="F145" s="68">
        <f>'Escapement Age'!U34</f>
        <v>198</v>
      </c>
      <c r="G145" s="68">
        <f>'Escapement Age'!V34</f>
        <v>6</v>
      </c>
      <c r="H145" s="68">
        <v>0</v>
      </c>
      <c r="I145" s="65">
        <f>SUM(C145:H145)</f>
        <v>416</v>
      </c>
      <c r="L145" s="262"/>
      <c r="M145" s="262"/>
      <c r="N145" s="262"/>
      <c r="O145" s="262"/>
      <c r="P145" s="262"/>
      <c r="Q145" s="262"/>
      <c r="R145" s="262"/>
      <c r="S145" s="262"/>
      <c r="T145" s="263"/>
      <c r="U145" s="263"/>
      <c r="V145" s="263"/>
      <c r="W145" s="263"/>
      <c r="X145" s="263"/>
      <c r="Y145" s="263"/>
      <c r="Z145" s="263"/>
    </row>
    <row r="146" spans="1:26" x14ac:dyDescent="0.25">
      <c r="A146" s="63"/>
      <c r="B146" s="64" t="s">
        <v>50</v>
      </c>
      <c r="C146" s="66">
        <f t="shared" ref="C146:H146" si="112">C145/$I145</f>
        <v>0</v>
      </c>
      <c r="D146" s="66">
        <f t="shared" si="112"/>
        <v>0</v>
      </c>
      <c r="E146" s="66">
        <f t="shared" si="112"/>
        <v>0.50961538461538458</v>
      </c>
      <c r="F146" s="66">
        <f t="shared" si="112"/>
        <v>0.47596153846153844</v>
      </c>
      <c r="G146" s="66">
        <f t="shared" si="112"/>
        <v>1.4423076923076924E-2</v>
      </c>
      <c r="H146" s="66">
        <f t="shared" si="112"/>
        <v>0</v>
      </c>
      <c r="I146" s="65"/>
      <c r="L146" s="262"/>
      <c r="M146" s="262"/>
      <c r="N146" s="262"/>
      <c r="O146" s="262"/>
      <c r="P146" s="262"/>
      <c r="Q146" s="262"/>
      <c r="R146" s="262"/>
      <c r="S146" s="262"/>
      <c r="T146" s="263"/>
      <c r="U146" s="263"/>
      <c r="V146" s="263"/>
      <c r="W146" s="263"/>
      <c r="X146" s="263"/>
      <c r="Y146" s="263"/>
      <c r="Z146" s="263"/>
    </row>
    <row r="147" spans="1:26" x14ac:dyDescent="0.25">
      <c r="A147" s="63"/>
      <c r="B147" s="64" t="s">
        <v>51</v>
      </c>
      <c r="C147" s="66">
        <f t="shared" ref="C147:H147" si="113">SQRT((C146*(1-C146))/($I145-1))</f>
        <v>0</v>
      </c>
      <c r="D147" s="66">
        <f t="shared" si="113"/>
        <v>0</v>
      </c>
      <c r="E147" s="66">
        <f t="shared" si="113"/>
        <v>2.453949579605445E-2</v>
      </c>
      <c r="F147" s="66">
        <f t="shared" si="113"/>
        <v>2.4515652849127822E-2</v>
      </c>
      <c r="G147" s="66">
        <f t="shared" si="113"/>
        <v>5.8526179447820929E-3</v>
      </c>
      <c r="H147" s="66">
        <f t="shared" si="113"/>
        <v>0</v>
      </c>
      <c r="I147" s="65"/>
      <c r="L147" s="262"/>
      <c r="M147" s="262"/>
      <c r="N147" s="262"/>
      <c r="O147" s="262"/>
      <c r="P147" s="262"/>
      <c r="Q147" s="262"/>
      <c r="R147" s="262"/>
      <c r="S147" s="262"/>
      <c r="T147" s="263"/>
      <c r="U147" s="263"/>
      <c r="V147" s="263"/>
      <c r="W147" s="263"/>
      <c r="X147" s="263"/>
      <c r="Y147" s="263"/>
      <c r="Z147" s="263"/>
    </row>
    <row r="148" spans="1:26" x14ac:dyDescent="0.25">
      <c r="A148" s="63"/>
      <c r="B148" s="64" t="s">
        <v>18</v>
      </c>
      <c r="C148" s="68">
        <f t="shared" ref="C148:H148" si="114">C146*$I148</f>
        <v>0</v>
      </c>
      <c r="D148" s="68">
        <f t="shared" si="114"/>
        <v>0</v>
      </c>
      <c r="E148" s="68">
        <f t="shared" si="114"/>
        <v>2434.4326923076919</v>
      </c>
      <c r="F148" s="68">
        <f t="shared" si="114"/>
        <v>2273.6682692307691</v>
      </c>
      <c r="G148" s="68">
        <f t="shared" si="114"/>
        <v>68.899038461538467</v>
      </c>
      <c r="H148" s="68">
        <f t="shared" si="114"/>
        <v>0</v>
      </c>
      <c r="I148" s="68">
        <f>'Summary Data'!J40</f>
        <v>4777</v>
      </c>
      <c r="J148" s="60">
        <f>I145/I148</f>
        <v>8.7083943897843838E-2</v>
      </c>
      <c r="L148" s="262"/>
      <c r="M148" s="262"/>
      <c r="N148" s="262"/>
      <c r="O148" s="262"/>
      <c r="P148" s="262"/>
      <c r="Q148" s="262"/>
      <c r="R148" s="262"/>
      <c r="S148" s="262"/>
      <c r="T148" s="263"/>
      <c r="U148" s="263"/>
      <c r="V148" s="263"/>
      <c r="W148" s="263"/>
      <c r="X148" s="263"/>
      <c r="Y148" s="263"/>
      <c r="Z148" s="263"/>
    </row>
    <row r="149" spans="1:26" x14ac:dyDescent="0.25">
      <c r="A149" s="69"/>
      <c r="B149" s="70" t="s">
        <v>52</v>
      </c>
      <c r="C149" s="71">
        <f t="shared" ref="C149:H149" si="115">SQRT(($I148*($I148-$I145)/($I145-1))*(C146*(1-C146)))</f>
        <v>0</v>
      </c>
      <c r="D149" s="71">
        <f t="shared" si="115"/>
        <v>0</v>
      </c>
      <c r="E149" s="71">
        <f t="shared" si="115"/>
        <v>112.00471341788759</v>
      </c>
      <c r="F149" s="71">
        <f t="shared" si="115"/>
        <v>111.89588793672247</v>
      </c>
      <c r="G149" s="71">
        <f t="shared" si="115"/>
        <v>26.712887709579658</v>
      </c>
      <c r="H149" s="71">
        <f t="shared" si="115"/>
        <v>0</v>
      </c>
      <c r="I149" s="72"/>
      <c r="L149" s="262"/>
      <c r="M149" s="262"/>
      <c r="N149" s="262"/>
      <c r="O149" s="262"/>
      <c r="P149" s="262"/>
      <c r="Q149" s="262"/>
      <c r="R149" s="262"/>
      <c r="S149" s="262"/>
      <c r="T149" s="263"/>
      <c r="U149" s="263"/>
      <c r="V149" s="263"/>
      <c r="W149" s="263"/>
      <c r="X149" s="263"/>
      <c r="Y149" s="263"/>
      <c r="Z149" s="263"/>
    </row>
    <row r="150" spans="1:26" x14ac:dyDescent="0.25">
      <c r="A150" s="63">
        <v>2012</v>
      </c>
      <c r="B150" s="64" t="s">
        <v>49</v>
      </c>
      <c r="C150" s="68">
        <v>0</v>
      </c>
      <c r="D150" s="68">
        <f>'Escapement Age'!S35</f>
        <v>4</v>
      </c>
      <c r="E150" s="68">
        <f>'Escapement Age'!T35</f>
        <v>239</v>
      </c>
      <c r="F150" s="68">
        <f>'Escapement Age'!U35</f>
        <v>346</v>
      </c>
      <c r="G150" s="68">
        <f>'Escapement Age'!V35</f>
        <v>7</v>
      </c>
      <c r="H150" s="68">
        <v>0</v>
      </c>
      <c r="I150" s="65">
        <f>SUM(C150:H150)</f>
        <v>596</v>
      </c>
      <c r="L150" s="262"/>
      <c r="M150" s="262"/>
      <c r="N150" s="262"/>
      <c r="O150" s="262"/>
      <c r="P150" s="262"/>
      <c r="Q150" s="262"/>
      <c r="R150" s="262"/>
      <c r="S150" s="262"/>
    </row>
    <row r="151" spans="1:26" x14ac:dyDescent="0.25">
      <c r="A151" s="63"/>
      <c r="B151" s="64" t="s">
        <v>50</v>
      </c>
      <c r="C151" s="66">
        <f t="shared" ref="C151:H151" si="116">C150/$I150</f>
        <v>0</v>
      </c>
      <c r="D151" s="66">
        <f t="shared" si="116"/>
        <v>6.7114093959731542E-3</v>
      </c>
      <c r="E151" s="66">
        <f t="shared" si="116"/>
        <v>0.40100671140939598</v>
      </c>
      <c r="F151" s="66">
        <f t="shared" si="116"/>
        <v>0.58053691275167785</v>
      </c>
      <c r="G151" s="66">
        <f t="shared" si="116"/>
        <v>1.1744966442953021E-2</v>
      </c>
      <c r="H151" s="66">
        <f t="shared" si="116"/>
        <v>0</v>
      </c>
      <c r="I151" s="65"/>
      <c r="L151" s="262"/>
      <c r="M151" s="262"/>
      <c r="N151" s="262"/>
      <c r="O151" s="262"/>
      <c r="P151" s="262"/>
      <c r="Q151" s="262"/>
      <c r="R151" s="262"/>
      <c r="S151" s="262"/>
    </row>
    <row r="152" spans="1:26" x14ac:dyDescent="0.25">
      <c r="A152" s="63"/>
      <c r="B152" s="64" t="s">
        <v>51</v>
      </c>
      <c r="C152" s="66">
        <f t="shared" ref="C152:H152" si="117">SQRT((C151*(1-C151))/($I150-1))</f>
        <v>0</v>
      </c>
      <c r="D152" s="66">
        <f t="shared" si="117"/>
        <v>3.3472342477131063E-3</v>
      </c>
      <c r="E152" s="66">
        <f t="shared" si="117"/>
        <v>2.0092238093855977E-2</v>
      </c>
      <c r="F152" s="66">
        <f t="shared" si="117"/>
        <v>2.0230346025462937E-2</v>
      </c>
      <c r="G152" s="66">
        <f t="shared" si="117"/>
        <v>4.4167409191129001E-3</v>
      </c>
      <c r="H152" s="66">
        <f t="shared" si="117"/>
        <v>0</v>
      </c>
      <c r="I152" s="65"/>
      <c r="L152" s="262"/>
      <c r="M152" s="262"/>
      <c r="N152" s="262"/>
      <c r="O152" s="262"/>
      <c r="P152" s="262"/>
      <c r="Q152" s="262"/>
      <c r="R152" s="262"/>
      <c r="S152" s="262"/>
    </row>
    <row r="153" spans="1:26" x14ac:dyDescent="0.25">
      <c r="A153" s="63"/>
      <c r="B153" s="64" t="s">
        <v>18</v>
      </c>
      <c r="C153" s="68">
        <f t="shared" ref="C153:H153" si="118">C151*$I153</f>
        <v>0</v>
      </c>
      <c r="D153" s="68">
        <f t="shared" si="118"/>
        <v>38.127516778523486</v>
      </c>
      <c r="E153" s="68">
        <f t="shared" si="118"/>
        <v>2278.1191275167785</v>
      </c>
      <c r="F153" s="68">
        <f t="shared" si="118"/>
        <v>3298.030201342282</v>
      </c>
      <c r="G153" s="68">
        <f t="shared" si="118"/>
        <v>66.723154362416111</v>
      </c>
      <c r="H153" s="68">
        <f t="shared" si="118"/>
        <v>0</v>
      </c>
      <c r="I153" s="68">
        <f>'Summary Data'!J41</f>
        <v>5681</v>
      </c>
      <c r="J153" s="60">
        <f>I150/I153</f>
        <v>0.10491110719943672</v>
      </c>
      <c r="L153" s="262"/>
      <c r="M153" s="262"/>
      <c r="N153" s="262"/>
      <c r="O153" s="262"/>
      <c r="P153" s="262"/>
      <c r="Q153" s="262"/>
      <c r="R153" s="262"/>
      <c r="S153" s="262"/>
    </row>
    <row r="154" spans="1:26" x14ac:dyDescent="0.25">
      <c r="A154" s="69"/>
      <c r="B154" s="70" t="s">
        <v>52</v>
      </c>
      <c r="C154" s="71">
        <f t="shared" ref="C154:H154" si="119">SQRT(($I153*($I153-$I150)/($I150-1))*(C151*(1-C151)))</f>
        <v>0</v>
      </c>
      <c r="D154" s="71">
        <f t="shared" si="119"/>
        <v>17.990530905708692</v>
      </c>
      <c r="E154" s="71">
        <f t="shared" si="119"/>
        <v>107.99065844863908</v>
      </c>
      <c r="F154" s="71">
        <f t="shared" si="119"/>
        <v>108.73295337872833</v>
      </c>
      <c r="G154" s="71">
        <f t="shared" si="119"/>
        <v>23.738856658178936</v>
      </c>
      <c r="H154" s="71">
        <f t="shared" si="119"/>
        <v>0</v>
      </c>
      <c r="I154" s="72"/>
      <c r="L154" s="262"/>
      <c r="M154" s="262"/>
      <c r="N154" s="262"/>
      <c r="O154" s="262"/>
      <c r="P154" s="262"/>
      <c r="Q154" s="262"/>
      <c r="R154" s="262"/>
      <c r="S154" s="262"/>
    </row>
    <row r="155" spans="1:26" x14ac:dyDescent="0.25">
      <c r="A155" s="63">
        <v>2013</v>
      </c>
      <c r="B155" s="64" t="s">
        <v>49</v>
      </c>
      <c r="C155" s="68">
        <v>0</v>
      </c>
      <c r="D155" s="68">
        <f>'Escapement Age'!S36</f>
        <v>1</v>
      </c>
      <c r="E155" s="68">
        <f>'Escapement Age'!T36</f>
        <v>298</v>
      </c>
      <c r="F155" s="68">
        <f>'Escapement Age'!U36</f>
        <v>269</v>
      </c>
      <c r="G155" s="68">
        <f>'Escapement Age'!V36</f>
        <v>9</v>
      </c>
      <c r="H155" s="68">
        <v>0</v>
      </c>
      <c r="I155" s="68">
        <f>SUM(C155:H155)</f>
        <v>577</v>
      </c>
      <c r="L155" s="262"/>
      <c r="M155" s="262"/>
      <c r="N155" s="262"/>
      <c r="O155" s="262"/>
      <c r="P155" s="262"/>
      <c r="Q155" s="262"/>
      <c r="R155" s="262"/>
      <c r="S155" s="262"/>
    </row>
    <row r="156" spans="1:26" x14ac:dyDescent="0.25">
      <c r="A156" s="63"/>
      <c r="B156" s="64" t="s">
        <v>50</v>
      </c>
      <c r="C156" s="66">
        <f t="shared" ref="C156:H156" si="120">C155/$I155</f>
        <v>0</v>
      </c>
      <c r="D156" s="66">
        <f t="shared" si="120"/>
        <v>1.7331022530329288E-3</v>
      </c>
      <c r="E156" s="66">
        <f t="shared" si="120"/>
        <v>0.5164644714038128</v>
      </c>
      <c r="F156" s="66">
        <f t="shared" si="120"/>
        <v>0.46620450606585789</v>
      </c>
      <c r="G156" s="66">
        <f t="shared" si="120"/>
        <v>1.5597920277296361E-2</v>
      </c>
      <c r="H156" s="66">
        <f t="shared" si="120"/>
        <v>0</v>
      </c>
      <c r="I156" s="65"/>
      <c r="L156" s="262"/>
      <c r="M156" s="262"/>
      <c r="N156" s="262"/>
      <c r="O156" s="262"/>
      <c r="P156" s="262"/>
      <c r="Q156" s="262"/>
      <c r="R156" s="262"/>
      <c r="S156" s="262"/>
    </row>
    <row r="157" spans="1:26" x14ac:dyDescent="0.25">
      <c r="A157" s="63"/>
      <c r="B157" s="64" t="s">
        <v>51</v>
      </c>
      <c r="C157" s="66">
        <f t="shared" ref="C157:H157" si="121">SQRT((C156*(1-C156))/($I155-1))</f>
        <v>0</v>
      </c>
      <c r="D157" s="66">
        <f t="shared" si="121"/>
        <v>1.7331022530329288E-3</v>
      </c>
      <c r="E157" s="66">
        <f t="shared" si="121"/>
        <v>2.0822035319075016E-2</v>
      </c>
      <c r="F157" s="66">
        <f t="shared" si="121"/>
        <v>2.0785689880339422E-2</v>
      </c>
      <c r="G157" s="66">
        <f t="shared" si="121"/>
        <v>5.1630742148236503E-3</v>
      </c>
      <c r="H157" s="66">
        <f t="shared" si="121"/>
        <v>0</v>
      </c>
      <c r="I157" s="68"/>
      <c r="L157" s="262"/>
      <c r="M157" s="262"/>
      <c r="N157" s="262"/>
      <c r="O157" s="262"/>
      <c r="P157" s="262"/>
      <c r="Q157" s="262"/>
      <c r="R157" s="262"/>
      <c r="S157" s="262"/>
    </row>
    <row r="158" spans="1:26" x14ac:dyDescent="0.25">
      <c r="A158" s="63"/>
      <c r="B158" s="64" t="s">
        <v>18</v>
      </c>
      <c r="C158" s="68">
        <f t="shared" ref="C158:H158" si="122">C156*$I158</f>
        <v>0</v>
      </c>
      <c r="D158" s="68">
        <f t="shared" si="122"/>
        <v>11.136915077989601</v>
      </c>
      <c r="E158" s="68">
        <f t="shared" si="122"/>
        <v>3318.8006932409012</v>
      </c>
      <c r="F158" s="68">
        <f t="shared" si="122"/>
        <v>2995.830155979203</v>
      </c>
      <c r="G158" s="68">
        <f t="shared" si="122"/>
        <v>100.23223570190642</v>
      </c>
      <c r="H158" s="68">
        <f t="shared" si="122"/>
        <v>0</v>
      </c>
      <c r="I158" s="68">
        <f>'Summary Data'!J42</f>
        <v>6426</v>
      </c>
      <c r="J158" s="60">
        <f>I155/I158</f>
        <v>8.9791472144413326E-2</v>
      </c>
      <c r="L158" s="262"/>
      <c r="M158" s="262"/>
      <c r="N158" s="262"/>
      <c r="O158" s="262"/>
      <c r="P158" s="262"/>
      <c r="Q158" s="262"/>
      <c r="R158" s="262"/>
      <c r="S158" s="262"/>
    </row>
    <row r="159" spans="1:26" x14ac:dyDescent="0.25">
      <c r="A159" s="69"/>
      <c r="B159" s="70" t="s">
        <v>52</v>
      </c>
      <c r="C159" s="71">
        <f t="shared" ref="C159:H159" si="123">SQRT(($I158*($I158-$I155)/($I155-1))*(C156*(1-C156)))</f>
        <v>0</v>
      </c>
      <c r="D159" s="71">
        <f t="shared" si="123"/>
        <v>10.625157051844576</v>
      </c>
      <c r="E159" s="71">
        <f t="shared" si="123"/>
        <v>127.65397714823882</v>
      </c>
      <c r="F159" s="71">
        <f t="shared" si="123"/>
        <v>127.43115359930623</v>
      </c>
      <c r="G159" s="71">
        <f t="shared" si="123"/>
        <v>31.653339730433146</v>
      </c>
      <c r="H159" s="71">
        <f t="shared" si="123"/>
        <v>0</v>
      </c>
      <c r="I159" s="72"/>
      <c r="L159" s="262"/>
      <c r="M159" s="262"/>
      <c r="N159" s="262"/>
      <c r="O159" s="262"/>
      <c r="P159" s="262"/>
      <c r="Q159" s="262"/>
      <c r="R159" s="262"/>
      <c r="S159" s="262"/>
    </row>
    <row r="160" spans="1:26" x14ac:dyDescent="0.25">
      <c r="A160" s="63"/>
      <c r="B160" s="64"/>
      <c r="C160" s="68"/>
      <c r="D160" s="68"/>
      <c r="E160" s="68"/>
      <c r="F160" s="68"/>
      <c r="G160" s="68"/>
      <c r="H160" s="68"/>
      <c r="I160" s="65"/>
    </row>
    <row r="161" spans="1:1" x14ac:dyDescent="0.25">
      <c r="A161" s="19"/>
    </row>
    <row r="162" spans="1:1" x14ac:dyDescent="0.25">
      <c r="A162" s="19"/>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38"/>
  <sheetViews>
    <sheetView workbookViewId="0">
      <pane xSplit="1" ySplit="5" topLeftCell="B6" activePane="bottomRight" state="frozen"/>
      <selection activeCell="M36" sqref="H5:M36"/>
      <selection pane="topRight" activeCell="M36" sqref="H5:M36"/>
      <selection pane="bottomLeft" activeCell="M36" sqref="H5:M36"/>
      <selection pane="bottomRight" activeCell="M24" sqref="M24"/>
    </sheetView>
  </sheetViews>
  <sheetFormatPr defaultColWidth="9.140625" defaultRowHeight="12.75" x14ac:dyDescent="0.2"/>
  <cols>
    <col min="1" max="1" width="9" style="6" customWidth="1"/>
    <col min="2" max="2" width="7.28515625" style="6" customWidth="1"/>
    <col min="3" max="3" width="6" style="6" bestFit="1" customWidth="1"/>
    <col min="4" max="4" width="7" style="6" bestFit="1" customWidth="1"/>
    <col min="5" max="5" width="5.42578125" style="6" bestFit="1" customWidth="1"/>
    <col min="6" max="6" width="7" style="6" bestFit="1" customWidth="1"/>
    <col min="7" max="7" width="5.85546875" style="196" customWidth="1"/>
    <col min="8" max="17" width="5.42578125" style="196" bestFit="1" customWidth="1"/>
    <col min="18" max="18" width="5" style="6" bestFit="1" customWidth="1"/>
    <col min="19" max="23" width="6.7109375" style="6" customWidth="1"/>
    <col min="24" max="24" width="15.5703125" style="6" bestFit="1" customWidth="1"/>
    <col min="25" max="27" width="7.42578125" style="6" bestFit="1" customWidth="1"/>
    <col min="28" max="31" width="6.7109375" style="6" customWidth="1"/>
    <col min="32" max="16384" width="9.140625" style="6"/>
  </cols>
  <sheetData>
    <row r="1" spans="1:42" ht="15.75" x14ac:dyDescent="0.25">
      <c r="A1" s="5" t="s">
        <v>53</v>
      </c>
    </row>
    <row r="2" spans="1:42" x14ac:dyDescent="0.2">
      <c r="A2" s="19" t="s">
        <v>109</v>
      </c>
    </row>
    <row r="3" spans="1:42" x14ac:dyDescent="0.2">
      <c r="A3" s="6" t="s">
        <v>195</v>
      </c>
      <c r="G3" s="198" t="s">
        <v>47</v>
      </c>
      <c r="S3" s="7" t="s">
        <v>94</v>
      </c>
    </row>
    <row r="4" spans="1:42" x14ac:dyDescent="0.2">
      <c r="A4" s="44"/>
      <c r="B4" s="44" t="s">
        <v>93</v>
      </c>
      <c r="C4" s="45"/>
      <c r="D4" s="45"/>
      <c r="E4" s="45"/>
      <c r="F4" s="46"/>
      <c r="G4" s="27" t="s">
        <v>23</v>
      </c>
      <c r="H4" s="27" t="s">
        <v>24</v>
      </c>
      <c r="I4" s="27" t="s">
        <v>25</v>
      </c>
      <c r="J4" s="27" t="s">
        <v>24</v>
      </c>
      <c r="K4" s="27" t="s">
        <v>25</v>
      </c>
      <c r="L4" s="27" t="s">
        <v>26</v>
      </c>
      <c r="M4" s="27" t="s">
        <v>27</v>
      </c>
      <c r="N4" s="27" t="s">
        <v>25</v>
      </c>
      <c r="O4" s="27" t="s">
        <v>26</v>
      </c>
      <c r="P4" s="27" t="s">
        <v>27</v>
      </c>
      <c r="Q4" s="27" t="s">
        <v>28</v>
      </c>
      <c r="R4" s="7"/>
      <c r="S4" s="28" t="s">
        <v>29</v>
      </c>
      <c r="T4" s="28"/>
      <c r="U4" s="28"/>
      <c r="V4" s="28"/>
      <c r="W4" s="28"/>
      <c r="X4" s="29" t="s">
        <v>30</v>
      </c>
      <c r="Y4" s="29"/>
      <c r="Z4" s="29"/>
      <c r="AA4" s="29"/>
      <c r="AB4" s="30" t="s">
        <v>31</v>
      </c>
      <c r="AC4" s="31"/>
      <c r="AD4" s="31"/>
      <c r="AE4" s="31"/>
    </row>
    <row r="5" spans="1:42" x14ac:dyDescent="0.2">
      <c r="A5" s="124" t="s">
        <v>10</v>
      </c>
      <c r="B5" s="46" t="s">
        <v>24</v>
      </c>
      <c r="C5" s="46" t="s">
        <v>25</v>
      </c>
      <c r="D5" s="46" t="s">
        <v>26</v>
      </c>
      <c r="E5" s="46" t="s">
        <v>27</v>
      </c>
      <c r="F5" s="46" t="s">
        <v>9</v>
      </c>
      <c r="G5" s="33" t="s">
        <v>32</v>
      </c>
      <c r="H5" s="33" t="s">
        <v>33</v>
      </c>
      <c r="I5" s="33" t="s">
        <v>34</v>
      </c>
      <c r="J5" s="33" t="s">
        <v>35</v>
      </c>
      <c r="K5" s="33" t="s">
        <v>36</v>
      </c>
      <c r="L5" s="33" t="s">
        <v>37</v>
      </c>
      <c r="M5" s="33" t="s">
        <v>38</v>
      </c>
      <c r="N5" s="33" t="s">
        <v>39</v>
      </c>
      <c r="O5" s="33" t="s">
        <v>40</v>
      </c>
      <c r="P5" s="33" t="s">
        <v>41</v>
      </c>
      <c r="Q5" s="33" t="s">
        <v>42</v>
      </c>
      <c r="R5" s="32" t="s">
        <v>9</v>
      </c>
      <c r="S5" s="34" t="s">
        <v>24</v>
      </c>
      <c r="T5" s="34" t="s">
        <v>25</v>
      </c>
      <c r="U5" s="34" t="s">
        <v>26</v>
      </c>
      <c r="V5" s="34" t="s">
        <v>27</v>
      </c>
      <c r="W5" s="35" t="s">
        <v>9</v>
      </c>
      <c r="X5" s="36" t="s">
        <v>24</v>
      </c>
      <c r="Y5" s="36" t="s">
        <v>25</v>
      </c>
      <c r="Z5" s="36" t="s">
        <v>26</v>
      </c>
      <c r="AA5" s="36" t="s">
        <v>27</v>
      </c>
      <c r="AB5" s="37" t="s">
        <v>24</v>
      </c>
      <c r="AC5" s="37" t="s">
        <v>25</v>
      </c>
      <c r="AD5" s="37" t="s">
        <v>26</v>
      </c>
      <c r="AE5" s="37" t="s">
        <v>27</v>
      </c>
    </row>
    <row r="6" spans="1:42" x14ac:dyDescent="0.2">
      <c r="A6" s="32">
        <v>1983</v>
      </c>
      <c r="B6" s="13">
        <f>X6*'Summary Data'!$J12</f>
        <v>224.75157629255992</v>
      </c>
      <c r="C6" s="13">
        <f>Y6*'Summary Data'!$J12</f>
        <v>3424.1563682219421</v>
      </c>
      <c r="D6" s="13">
        <f>Z6*'Summary Data'!$J12</f>
        <v>6610.3404791929388</v>
      </c>
      <c r="E6" s="13">
        <f>AA6*'Summary Data'!$J12</f>
        <v>224.75157629255992</v>
      </c>
      <c r="F6" s="13">
        <f t="shared" ref="F6:F33" si="0">SUM(B6:E6)</f>
        <v>10484</v>
      </c>
      <c r="G6" s="38"/>
      <c r="H6" s="38">
        <v>4</v>
      </c>
      <c r="I6" s="38">
        <v>2</v>
      </c>
      <c r="J6" s="38">
        <v>13</v>
      </c>
      <c r="K6" s="38">
        <v>256</v>
      </c>
      <c r="L6" s="38">
        <v>489</v>
      </c>
      <c r="M6" s="38">
        <v>1</v>
      </c>
      <c r="N6" s="38">
        <v>1</v>
      </c>
      <c r="O6" s="38">
        <v>11</v>
      </c>
      <c r="P6" s="38">
        <v>16</v>
      </c>
      <c r="Q6" s="38"/>
      <c r="R6" s="38">
        <f t="shared" ref="R6:R15" si="1">SUM(G6:Q6)</f>
        <v>793</v>
      </c>
      <c r="S6" s="125">
        <f>H6+J6</f>
        <v>17</v>
      </c>
      <c r="T6" s="125">
        <f t="shared" ref="T6" si="2">I6+K6+N6</f>
        <v>259</v>
      </c>
      <c r="U6" s="125">
        <f t="shared" ref="U6:V6" si="3">L6+O6</f>
        <v>500</v>
      </c>
      <c r="V6" s="125">
        <f t="shared" si="3"/>
        <v>17</v>
      </c>
      <c r="W6" s="125">
        <f t="shared" ref="W6" si="4">SUM(S6:V6)</f>
        <v>793</v>
      </c>
      <c r="X6" s="580">
        <f>S6/$W6</f>
        <v>2.1437578814627996E-2</v>
      </c>
      <c r="Y6" s="580">
        <f t="shared" ref="Y6:AA21" si="5">T6/$W6</f>
        <v>0.3266078184110971</v>
      </c>
      <c r="Z6" s="580">
        <f t="shared" si="5"/>
        <v>0.63051702395964693</v>
      </c>
      <c r="AA6" s="580">
        <f t="shared" si="5"/>
        <v>2.1437578814627996E-2</v>
      </c>
      <c r="AB6" s="39">
        <f>SQRT(((X6)*(1-X6))/($R6-1))</f>
        <v>5.1465896609183817E-3</v>
      </c>
      <c r="AC6" s="39">
        <f t="shared" ref="AC6:AE21" si="6">SQRT(((Y6)*(1-Y6))/($R6-1))</f>
        <v>1.6664210097891465E-2</v>
      </c>
      <c r="AD6" s="39">
        <f t="shared" si="6"/>
        <v>1.7150746753801318E-2</v>
      </c>
      <c r="AE6" s="39">
        <f t="shared" si="6"/>
        <v>5.1465896609183817E-3</v>
      </c>
      <c r="AF6" s="503"/>
      <c r="AH6" s="503"/>
      <c r="AN6" s="502"/>
      <c r="AO6" s="502"/>
      <c r="AP6" s="502"/>
    </row>
    <row r="7" spans="1:42" x14ac:dyDescent="0.2">
      <c r="A7" s="32">
        <v>1984</v>
      </c>
      <c r="B7" s="13">
        <f>X7*'Summary Data'!$J13</f>
        <v>0</v>
      </c>
      <c r="C7" s="13">
        <f>Y7*'Summary Data'!$J13</f>
        <v>4567.0548153180698</v>
      </c>
      <c r="D7" s="13">
        <f>Z7*'Summary Data'!$J13</f>
        <v>5941.3357475870325</v>
      </c>
      <c r="E7" s="13">
        <f>AA7*'Summary Data'!$J13</f>
        <v>111.05300462779499</v>
      </c>
      <c r="F7" s="13">
        <f t="shared" si="0"/>
        <v>10619.443567532897</v>
      </c>
      <c r="G7" s="38"/>
      <c r="H7" s="38"/>
      <c r="I7" s="38">
        <v>13</v>
      </c>
      <c r="J7" s="38"/>
      <c r="K7" s="38">
        <v>316</v>
      </c>
      <c r="L7" s="38">
        <v>420</v>
      </c>
      <c r="M7" s="38"/>
      <c r="N7" s="38"/>
      <c r="O7" s="38">
        <v>8</v>
      </c>
      <c r="P7" s="38">
        <v>8</v>
      </c>
      <c r="Q7" s="38"/>
      <c r="R7" s="38">
        <f t="shared" si="1"/>
        <v>765</v>
      </c>
      <c r="S7" s="125">
        <f t="shared" ref="S7:S36" si="7">H7+J7</f>
        <v>0</v>
      </c>
      <c r="T7" s="125">
        <f t="shared" ref="T7:T36" si="8">I7+K7+N7</f>
        <v>329</v>
      </c>
      <c r="U7" s="125">
        <f t="shared" ref="U7:U36" si="9">L7+O7</f>
        <v>428</v>
      </c>
      <c r="V7" s="125">
        <f t="shared" ref="V7:V36" si="10">M7+P7</f>
        <v>8</v>
      </c>
      <c r="W7" s="125">
        <f t="shared" ref="W7:W36" si="11">SUM(S7:V7)</f>
        <v>765</v>
      </c>
      <c r="X7" s="580">
        <f>S7/$W7</f>
        <v>0</v>
      </c>
      <c r="Y7" s="580">
        <f t="shared" si="5"/>
        <v>0.43006535947712421</v>
      </c>
      <c r="Z7" s="580">
        <f t="shared" si="5"/>
        <v>0.55947712418300655</v>
      </c>
      <c r="AA7" s="580">
        <f t="shared" si="5"/>
        <v>1.045751633986928E-2</v>
      </c>
      <c r="AB7" s="39">
        <f t="shared" ref="AB7:AB36" si="12">SQRT(((X7)*(1-X7))/($R7-1))</f>
        <v>0</v>
      </c>
      <c r="AC7" s="39">
        <f t="shared" si="6"/>
        <v>1.7911546264929273E-2</v>
      </c>
      <c r="AD7" s="39">
        <f t="shared" si="6"/>
        <v>1.7960925873814485E-2</v>
      </c>
      <c r="AE7" s="39">
        <f t="shared" si="6"/>
        <v>3.6803135344522721E-3</v>
      </c>
      <c r="AF7" s="503"/>
      <c r="AH7" s="503"/>
      <c r="AN7" s="502"/>
      <c r="AO7" s="502"/>
      <c r="AP7" s="502"/>
    </row>
    <row r="8" spans="1:42" x14ac:dyDescent="0.2">
      <c r="A8" s="32">
        <v>1985</v>
      </c>
      <c r="B8" s="13">
        <f>X8*'Summary Data'!$J14</f>
        <v>617.95794765638993</v>
      </c>
      <c r="C8" s="13">
        <f>Y8*'Summary Data'!$J14</f>
        <v>1936.2682359900218</v>
      </c>
      <c r="D8" s="13">
        <f>Z8*'Summary Data'!$J14</f>
        <v>5541.0229306522961</v>
      </c>
      <c r="E8" s="13">
        <f>AA8*'Summary Data'!$J14</f>
        <v>61.795794765638995</v>
      </c>
      <c r="F8" s="13">
        <f t="shared" si="0"/>
        <v>8157.044909064346</v>
      </c>
      <c r="G8" s="38"/>
      <c r="H8" s="38"/>
      <c r="I8" s="38"/>
      <c r="J8" s="38">
        <v>30</v>
      </c>
      <c r="K8" s="38">
        <v>94</v>
      </c>
      <c r="L8" s="38">
        <v>265</v>
      </c>
      <c r="M8" s="38">
        <v>1</v>
      </c>
      <c r="N8" s="38"/>
      <c r="O8" s="38">
        <v>4</v>
      </c>
      <c r="P8" s="38">
        <v>2</v>
      </c>
      <c r="Q8" s="38"/>
      <c r="R8" s="38">
        <f t="shared" si="1"/>
        <v>396</v>
      </c>
      <c r="S8" s="125">
        <f t="shared" si="7"/>
        <v>30</v>
      </c>
      <c r="T8" s="125">
        <f t="shared" si="8"/>
        <v>94</v>
      </c>
      <c r="U8" s="125">
        <f t="shared" si="9"/>
        <v>269</v>
      </c>
      <c r="V8" s="125">
        <f t="shared" si="10"/>
        <v>3</v>
      </c>
      <c r="W8" s="125">
        <f t="shared" si="11"/>
        <v>396</v>
      </c>
      <c r="X8" s="580">
        <f t="shared" ref="X8:X36" si="13">S8/$W8</f>
        <v>7.575757575757576E-2</v>
      </c>
      <c r="Y8" s="580">
        <f t="shared" si="5"/>
        <v>0.23737373737373738</v>
      </c>
      <c r="Z8" s="580">
        <f t="shared" si="5"/>
        <v>0.67929292929292928</v>
      </c>
      <c r="AA8" s="580">
        <f t="shared" si="5"/>
        <v>7.575757575757576E-3</v>
      </c>
      <c r="AB8" s="39">
        <f t="shared" si="12"/>
        <v>1.3313965778142388E-2</v>
      </c>
      <c r="AC8" s="39">
        <f t="shared" si="6"/>
        <v>2.1407880140234255E-2</v>
      </c>
      <c r="AD8" s="39">
        <f t="shared" si="6"/>
        <v>2.3484659442453103E-2</v>
      </c>
      <c r="AE8" s="39">
        <f t="shared" si="6"/>
        <v>4.3627785458673959E-3</v>
      </c>
      <c r="AF8" s="503"/>
      <c r="AH8" s="503"/>
      <c r="AN8" s="502"/>
      <c r="AO8" s="502"/>
      <c r="AP8" s="502"/>
    </row>
    <row r="9" spans="1:42" x14ac:dyDescent="0.2">
      <c r="A9" s="32">
        <v>1986</v>
      </c>
      <c r="B9" s="13">
        <f>X9*'Summary Data'!$J15</f>
        <v>24.210088268618353</v>
      </c>
      <c r="C9" s="13">
        <f>Y9*'Summary Data'!$J15</f>
        <v>3736.4236227900988</v>
      </c>
      <c r="D9" s="13">
        <f>Z9*'Summary Data'!$J15</f>
        <v>3058.5411512687851</v>
      </c>
      <c r="E9" s="13">
        <f>AA9*'Summary Data'!$J15</f>
        <v>217.89079441756519</v>
      </c>
      <c r="F9" s="13">
        <f t="shared" si="0"/>
        <v>7037.0656567450669</v>
      </c>
      <c r="G9" s="38"/>
      <c r="H9" s="38">
        <v>3</v>
      </c>
      <c r="I9" s="38">
        <v>1</v>
      </c>
      <c r="J9" s="38"/>
      <c r="K9" s="38">
        <v>462</v>
      </c>
      <c r="L9" s="38">
        <v>370</v>
      </c>
      <c r="M9" s="38">
        <v>1</v>
      </c>
      <c r="N9" s="38"/>
      <c r="O9" s="38">
        <v>9</v>
      </c>
      <c r="P9" s="38">
        <v>26</v>
      </c>
      <c r="Q9" s="38"/>
      <c r="R9" s="38">
        <f t="shared" si="1"/>
        <v>872</v>
      </c>
      <c r="S9" s="125">
        <f t="shared" si="7"/>
        <v>3</v>
      </c>
      <c r="T9" s="125">
        <f t="shared" si="8"/>
        <v>463</v>
      </c>
      <c r="U9" s="125">
        <f t="shared" si="9"/>
        <v>379</v>
      </c>
      <c r="V9" s="125">
        <f t="shared" si="10"/>
        <v>27</v>
      </c>
      <c r="W9" s="125">
        <f t="shared" si="11"/>
        <v>872</v>
      </c>
      <c r="X9" s="580">
        <f t="shared" si="13"/>
        <v>3.4403669724770644E-3</v>
      </c>
      <c r="Y9" s="580">
        <f t="shared" si="5"/>
        <v>0.53096330275229353</v>
      </c>
      <c r="Z9" s="580">
        <f t="shared" si="5"/>
        <v>0.43463302752293576</v>
      </c>
      <c r="AA9" s="580">
        <f t="shared" si="5"/>
        <v>3.096330275229358E-2</v>
      </c>
      <c r="AB9" s="39">
        <f t="shared" si="12"/>
        <v>1.9840150085227038E-3</v>
      </c>
      <c r="AC9" s="39">
        <f t="shared" si="6"/>
        <v>1.69093372898101E-2</v>
      </c>
      <c r="AD9" s="39">
        <f t="shared" si="6"/>
        <v>1.67964500277656E-2</v>
      </c>
      <c r="AE9" s="39">
        <f t="shared" si="6"/>
        <v>5.8692779140091245E-3</v>
      </c>
      <c r="AF9" s="503"/>
      <c r="AH9" s="503"/>
      <c r="AN9" s="503"/>
      <c r="AO9" s="503"/>
      <c r="AP9" s="503"/>
    </row>
    <row r="10" spans="1:42" x14ac:dyDescent="0.2">
      <c r="A10" s="32">
        <v>1987</v>
      </c>
      <c r="B10" s="13">
        <f>X10*'Summary Data'!$J16</f>
        <v>0</v>
      </c>
      <c r="C10" s="13">
        <f>Y10*'Summary Data'!$J16</f>
        <v>780.20613882605323</v>
      </c>
      <c r="D10" s="13">
        <f>Z10*'Summary Data'!$J16</f>
        <v>9339.5264265354017</v>
      </c>
      <c r="E10" s="13">
        <f>AA10*'Summary Data'!$J16</f>
        <v>137.68343626342116</v>
      </c>
      <c r="F10" s="13">
        <f t="shared" si="0"/>
        <v>10257.416001624877</v>
      </c>
      <c r="G10" s="38"/>
      <c r="H10" s="38"/>
      <c r="I10" s="38">
        <v>17</v>
      </c>
      <c r="J10" s="38"/>
      <c r="K10" s="38">
        <v>85</v>
      </c>
      <c r="L10" s="38">
        <v>1220</v>
      </c>
      <c r="M10" s="38"/>
      <c r="N10" s="38"/>
      <c r="O10" s="38">
        <v>1</v>
      </c>
      <c r="P10" s="38">
        <v>18</v>
      </c>
      <c r="Q10" s="38"/>
      <c r="R10" s="38">
        <f t="shared" si="1"/>
        <v>1341</v>
      </c>
      <c r="S10" s="125">
        <f t="shared" si="7"/>
        <v>0</v>
      </c>
      <c r="T10" s="125">
        <f t="shared" si="8"/>
        <v>102</v>
      </c>
      <c r="U10" s="125">
        <f t="shared" si="9"/>
        <v>1221</v>
      </c>
      <c r="V10" s="125">
        <f t="shared" si="10"/>
        <v>18</v>
      </c>
      <c r="W10" s="125">
        <f t="shared" si="11"/>
        <v>1341</v>
      </c>
      <c r="X10" s="580">
        <f t="shared" si="13"/>
        <v>0</v>
      </c>
      <c r="Y10" s="580">
        <f t="shared" si="5"/>
        <v>7.6062639821029079E-2</v>
      </c>
      <c r="Z10" s="580">
        <f t="shared" si="5"/>
        <v>0.91051454138702459</v>
      </c>
      <c r="AA10" s="580">
        <f t="shared" si="5"/>
        <v>1.3422818791946308E-2</v>
      </c>
      <c r="AB10" s="39">
        <f t="shared" si="12"/>
        <v>0</v>
      </c>
      <c r="AC10" s="39">
        <f t="shared" si="6"/>
        <v>7.2419339919420614E-3</v>
      </c>
      <c r="AD10" s="39">
        <f t="shared" si="6"/>
        <v>7.7977135622154569E-3</v>
      </c>
      <c r="AE10" s="39">
        <f t="shared" si="6"/>
        <v>3.1436558629714369E-3</v>
      </c>
      <c r="AF10" s="503"/>
      <c r="AH10" s="503"/>
      <c r="AN10" s="503"/>
      <c r="AO10" s="503"/>
      <c r="AP10" s="503"/>
    </row>
    <row r="11" spans="1:42" x14ac:dyDescent="0.2">
      <c r="A11" s="32">
        <v>1988</v>
      </c>
      <c r="B11" s="13">
        <f>X11*'Summary Data'!$J17</f>
        <v>2.7597248749813859</v>
      </c>
      <c r="C11" s="13">
        <f>Y11*'Summary Data'!$J17</f>
        <v>734.08681674504862</v>
      </c>
      <c r="D11" s="13">
        <f>Z11*'Summary Data'!$J17</f>
        <v>1048.6954524929265</v>
      </c>
      <c r="E11" s="13">
        <f>AA11*'Summary Data'!$J17</f>
        <v>33.116698499776632</v>
      </c>
      <c r="F11" s="13">
        <f t="shared" si="0"/>
        <v>1818.6586926127334</v>
      </c>
      <c r="G11" s="38"/>
      <c r="H11" s="38"/>
      <c r="I11" s="38"/>
      <c r="J11" s="38">
        <v>1</v>
      </c>
      <c r="K11" s="38">
        <v>266</v>
      </c>
      <c r="L11" s="38">
        <v>333</v>
      </c>
      <c r="M11" s="38">
        <v>1</v>
      </c>
      <c r="N11" s="38"/>
      <c r="O11" s="38">
        <v>47</v>
      </c>
      <c r="P11" s="38">
        <v>11</v>
      </c>
      <c r="Q11" s="38"/>
      <c r="R11" s="38">
        <f t="shared" si="1"/>
        <v>659</v>
      </c>
      <c r="S11" s="125">
        <f t="shared" si="7"/>
        <v>1</v>
      </c>
      <c r="T11" s="125">
        <f t="shared" si="8"/>
        <v>266</v>
      </c>
      <c r="U11" s="125">
        <f t="shared" si="9"/>
        <v>380</v>
      </c>
      <c r="V11" s="125">
        <f t="shared" si="10"/>
        <v>12</v>
      </c>
      <c r="W11" s="125">
        <f t="shared" si="11"/>
        <v>659</v>
      </c>
      <c r="X11" s="580">
        <f t="shared" si="13"/>
        <v>1.5174506828528073E-3</v>
      </c>
      <c r="Y11" s="580">
        <f t="shared" si="5"/>
        <v>0.40364188163884673</v>
      </c>
      <c r="Z11" s="580">
        <f t="shared" si="5"/>
        <v>0.57663125948406679</v>
      </c>
      <c r="AA11" s="580">
        <f t="shared" si="5"/>
        <v>1.8209408194233688E-2</v>
      </c>
      <c r="AB11" s="39">
        <f t="shared" si="12"/>
        <v>1.5174506828528073E-3</v>
      </c>
      <c r="AC11" s="39">
        <f t="shared" si="6"/>
        <v>1.9126642132091171E-2</v>
      </c>
      <c r="AD11" s="39">
        <f t="shared" si="6"/>
        <v>1.9261740984648938E-2</v>
      </c>
      <c r="AE11" s="39">
        <f t="shared" si="6"/>
        <v>5.2124800040361198E-3</v>
      </c>
      <c r="AF11" s="503"/>
      <c r="AH11" s="503"/>
      <c r="AN11" s="503"/>
      <c r="AO11" s="503"/>
      <c r="AP11" s="503"/>
    </row>
    <row r="12" spans="1:42" x14ac:dyDescent="0.2">
      <c r="A12" s="32">
        <v>1989</v>
      </c>
      <c r="B12" s="13">
        <f>X12*'Summary Data'!$J18</f>
        <v>12.58701196779103</v>
      </c>
      <c r="C12" s="13">
        <f>Y12*'Summary Data'!$J18</f>
        <v>4065.6048655965023</v>
      </c>
      <c r="D12" s="13">
        <f>Z12*'Summary Data'!$J18</f>
        <v>9201.1057484552421</v>
      </c>
      <c r="E12" s="13">
        <f>AA12*'Summary Data'!$J18</f>
        <v>918.85187364874514</v>
      </c>
      <c r="F12" s="13">
        <f t="shared" si="0"/>
        <v>14198.149499668281</v>
      </c>
      <c r="G12" s="38"/>
      <c r="H12" s="38">
        <v>1</v>
      </c>
      <c r="I12" s="38"/>
      <c r="J12" s="38"/>
      <c r="K12" s="38">
        <v>323</v>
      </c>
      <c r="L12" s="38">
        <v>703</v>
      </c>
      <c r="M12" s="38">
        <v>1</v>
      </c>
      <c r="N12" s="38"/>
      <c r="O12" s="38">
        <v>28</v>
      </c>
      <c r="P12" s="38">
        <v>72</v>
      </c>
      <c r="Q12" s="38"/>
      <c r="R12" s="38">
        <f t="shared" si="1"/>
        <v>1128</v>
      </c>
      <c r="S12" s="125">
        <f t="shared" si="7"/>
        <v>1</v>
      </c>
      <c r="T12" s="125">
        <f t="shared" si="8"/>
        <v>323</v>
      </c>
      <c r="U12" s="125">
        <f t="shared" si="9"/>
        <v>731</v>
      </c>
      <c r="V12" s="125">
        <f t="shared" si="10"/>
        <v>73</v>
      </c>
      <c r="W12" s="125">
        <f t="shared" si="11"/>
        <v>1128</v>
      </c>
      <c r="X12" s="580">
        <f t="shared" si="13"/>
        <v>8.8652482269503544E-4</v>
      </c>
      <c r="Y12" s="580">
        <f t="shared" si="5"/>
        <v>0.28634751773049644</v>
      </c>
      <c r="Z12" s="580">
        <f t="shared" si="5"/>
        <v>0.64804964539007093</v>
      </c>
      <c r="AA12" s="580">
        <f t="shared" si="5"/>
        <v>6.4716312056737585E-2</v>
      </c>
      <c r="AB12" s="39">
        <f t="shared" si="12"/>
        <v>8.8652482269503544E-4</v>
      </c>
      <c r="AC12" s="39">
        <f t="shared" si="6"/>
        <v>1.3465675474680904E-2</v>
      </c>
      <c r="AD12" s="39">
        <f t="shared" si="6"/>
        <v>1.4226002614901298E-2</v>
      </c>
      <c r="AE12" s="39">
        <f t="shared" si="6"/>
        <v>7.3285254808599541E-3</v>
      </c>
      <c r="AF12" s="503"/>
      <c r="AH12" s="503"/>
      <c r="AN12" s="503"/>
      <c r="AO12" s="503"/>
      <c r="AP12" s="503"/>
    </row>
    <row r="13" spans="1:42" x14ac:dyDescent="0.2">
      <c r="A13" s="32">
        <v>1990</v>
      </c>
      <c r="B13" s="13">
        <f>X13*'Summary Data'!$J19</f>
        <v>88.495322550546987</v>
      </c>
      <c r="C13" s="13">
        <f>Y13*'Summary Data'!$J19</f>
        <v>8318.5603197514174</v>
      </c>
      <c r="D13" s="13">
        <f>Z13*'Summary Data'!$J19</f>
        <v>9449.3338856750725</v>
      </c>
      <c r="E13" s="13">
        <f>AA13*'Summary Data'!$J19</f>
        <v>452.30942636946236</v>
      </c>
      <c r="F13" s="13">
        <f t="shared" si="0"/>
        <v>18308.698954346499</v>
      </c>
      <c r="G13" s="38"/>
      <c r="H13" s="38">
        <v>9</v>
      </c>
      <c r="I13" s="38">
        <v>1</v>
      </c>
      <c r="J13" s="38"/>
      <c r="K13" s="38">
        <v>844</v>
      </c>
      <c r="L13" s="38">
        <v>935</v>
      </c>
      <c r="M13" s="38">
        <v>3</v>
      </c>
      <c r="N13" s="38">
        <v>1</v>
      </c>
      <c r="O13" s="38">
        <v>26</v>
      </c>
      <c r="P13" s="38">
        <v>43</v>
      </c>
      <c r="Q13" s="38"/>
      <c r="R13" s="38">
        <f t="shared" si="1"/>
        <v>1862</v>
      </c>
      <c r="S13" s="125">
        <f t="shared" si="7"/>
        <v>9</v>
      </c>
      <c r="T13" s="125">
        <f t="shared" si="8"/>
        <v>846</v>
      </c>
      <c r="U13" s="125">
        <f t="shared" si="9"/>
        <v>961</v>
      </c>
      <c r="V13" s="125">
        <f t="shared" si="10"/>
        <v>46</v>
      </c>
      <c r="W13" s="125">
        <f t="shared" si="11"/>
        <v>1862</v>
      </c>
      <c r="X13" s="580">
        <f t="shared" si="13"/>
        <v>4.8335123523093448E-3</v>
      </c>
      <c r="Y13" s="580">
        <f t="shared" si="5"/>
        <v>0.45435016111707843</v>
      </c>
      <c r="Z13" s="580">
        <f t="shared" si="5"/>
        <v>0.51611170784103111</v>
      </c>
      <c r="AA13" s="580">
        <f t="shared" si="5"/>
        <v>2.4704618689581095E-2</v>
      </c>
      <c r="AB13" s="39">
        <f t="shared" si="12"/>
        <v>1.6077040328369265E-3</v>
      </c>
      <c r="AC13" s="39">
        <f t="shared" si="6"/>
        <v>1.1541949566274129E-2</v>
      </c>
      <c r="AD13" s="39">
        <f t="shared" si="6"/>
        <v>1.1584338147339264E-2</v>
      </c>
      <c r="AE13" s="39">
        <f t="shared" si="6"/>
        <v>3.5981890263299442E-3</v>
      </c>
      <c r="AF13" s="503"/>
      <c r="AH13" s="503"/>
      <c r="AN13" s="503"/>
      <c r="AO13" s="503"/>
      <c r="AP13" s="503"/>
    </row>
    <row r="14" spans="1:42" x14ac:dyDescent="0.2">
      <c r="A14" s="32">
        <v>1991</v>
      </c>
      <c r="B14" s="13">
        <f>X14*'Summary Data'!$J20</f>
        <v>12.454220534707405</v>
      </c>
      <c r="C14" s="13">
        <f>Y14*'Summary Data'!$J20</f>
        <v>460.80615978417399</v>
      </c>
      <c r="D14" s="13">
        <f>Z14*'Summary Data'!$J20</f>
        <v>1382.4184793525219</v>
      </c>
      <c r="E14" s="13">
        <f>AA14*'Summary Data'!$J20</f>
        <v>62.271102673537015</v>
      </c>
      <c r="F14" s="13">
        <f t="shared" si="0"/>
        <v>1917.9499623449401</v>
      </c>
      <c r="G14" s="38"/>
      <c r="H14" s="38">
        <v>1</v>
      </c>
      <c r="I14" s="38">
        <v>4</v>
      </c>
      <c r="J14" s="38"/>
      <c r="K14" s="38">
        <v>33</v>
      </c>
      <c r="L14" s="38">
        <v>107</v>
      </c>
      <c r="M14" s="38">
        <v>2</v>
      </c>
      <c r="N14" s="38"/>
      <c r="O14" s="38">
        <v>4</v>
      </c>
      <c r="P14" s="38">
        <v>3</v>
      </c>
      <c r="Q14" s="38"/>
      <c r="R14" s="38">
        <f t="shared" si="1"/>
        <v>154</v>
      </c>
      <c r="S14" s="125">
        <f t="shared" si="7"/>
        <v>1</v>
      </c>
      <c r="T14" s="125">
        <f t="shared" si="8"/>
        <v>37</v>
      </c>
      <c r="U14" s="125">
        <f t="shared" si="9"/>
        <v>111</v>
      </c>
      <c r="V14" s="125">
        <f t="shared" si="10"/>
        <v>5</v>
      </c>
      <c r="W14" s="125">
        <f t="shared" si="11"/>
        <v>154</v>
      </c>
      <c r="X14" s="580">
        <f t="shared" si="13"/>
        <v>6.4935064935064939E-3</v>
      </c>
      <c r="Y14" s="580">
        <f t="shared" si="5"/>
        <v>0.24025974025974026</v>
      </c>
      <c r="Z14" s="580">
        <f t="shared" si="5"/>
        <v>0.72077922077922074</v>
      </c>
      <c r="AA14" s="580">
        <f t="shared" si="5"/>
        <v>3.2467532467532464E-2</v>
      </c>
      <c r="AB14" s="39">
        <f t="shared" si="12"/>
        <v>6.4935064935064939E-3</v>
      </c>
      <c r="AC14" s="39">
        <f t="shared" si="6"/>
        <v>3.4540399522164401E-2</v>
      </c>
      <c r="AD14" s="39">
        <f t="shared" si="6"/>
        <v>3.6268473829697126E-2</v>
      </c>
      <c r="AE14" s="39">
        <f t="shared" si="6"/>
        <v>1.4328862002759743E-2</v>
      </c>
      <c r="AF14" s="503"/>
      <c r="AH14" s="503"/>
      <c r="AN14" s="503"/>
      <c r="AO14" s="503"/>
      <c r="AP14" s="503"/>
    </row>
    <row r="15" spans="1:42" x14ac:dyDescent="0.2">
      <c r="A15" s="32">
        <v>1992</v>
      </c>
      <c r="B15" s="13">
        <f>X15*'Summary Data'!$J21</f>
        <v>0</v>
      </c>
      <c r="C15" s="13">
        <f>Y15*'Summary Data'!$J21</f>
        <v>5859.3926343450294</v>
      </c>
      <c r="D15" s="13">
        <f>Z15*'Summary Data'!$J21</f>
        <v>4271.9360395775429</v>
      </c>
      <c r="E15" s="13">
        <f>AA15*'Summary Data'!$J21</f>
        <v>167.77996530062859</v>
      </c>
      <c r="F15" s="13">
        <f t="shared" si="0"/>
        <v>10299.108639223201</v>
      </c>
      <c r="G15" s="38"/>
      <c r="H15" s="38"/>
      <c r="I15" s="38">
        <v>1</v>
      </c>
      <c r="J15" s="38"/>
      <c r="K15" s="38">
        <v>453</v>
      </c>
      <c r="L15" s="38">
        <v>320</v>
      </c>
      <c r="M15" s="38">
        <v>1</v>
      </c>
      <c r="N15" s="38"/>
      <c r="O15" s="38">
        <v>11</v>
      </c>
      <c r="P15" s="38">
        <v>12</v>
      </c>
      <c r="Q15" s="38"/>
      <c r="R15" s="38">
        <f t="shared" si="1"/>
        <v>798</v>
      </c>
      <c r="S15" s="125">
        <f t="shared" si="7"/>
        <v>0</v>
      </c>
      <c r="T15" s="125">
        <f t="shared" si="8"/>
        <v>454</v>
      </c>
      <c r="U15" s="125">
        <f t="shared" si="9"/>
        <v>331</v>
      </c>
      <c r="V15" s="125">
        <f t="shared" si="10"/>
        <v>13</v>
      </c>
      <c r="W15" s="125">
        <f t="shared" si="11"/>
        <v>798</v>
      </c>
      <c r="X15" s="580">
        <f t="shared" si="13"/>
        <v>0</v>
      </c>
      <c r="Y15" s="580">
        <f t="shared" si="5"/>
        <v>0.56892230576441105</v>
      </c>
      <c r="Z15" s="580">
        <f t="shared" si="5"/>
        <v>0.41478696741854637</v>
      </c>
      <c r="AA15" s="580">
        <f t="shared" si="5"/>
        <v>1.6290726817042606E-2</v>
      </c>
      <c r="AB15" s="39">
        <f t="shared" si="12"/>
        <v>0</v>
      </c>
      <c r="AC15" s="39">
        <f t="shared" si="6"/>
        <v>1.7541837988368964E-2</v>
      </c>
      <c r="AD15" s="39">
        <f t="shared" si="6"/>
        <v>1.7451806343190983E-2</v>
      </c>
      <c r="AE15" s="39">
        <f t="shared" si="6"/>
        <v>4.4840913604096812E-3</v>
      </c>
      <c r="AF15" s="503"/>
      <c r="AH15" s="503"/>
      <c r="AN15" s="503"/>
      <c r="AO15" s="503"/>
      <c r="AP15" s="503"/>
    </row>
    <row r="16" spans="1:42" x14ac:dyDescent="0.2">
      <c r="A16" s="32" t="s">
        <v>193</v>
      </c>
      <c r="B16" s="189">
        <f>X16*'Summary Data (Calc) NOT USED'!$J22</f>
        <v>0</v>
      </c>
      <c r="C16" s="189">
        <f>Y16*'Summary Data (Calc) NOT USED'!$J22</f>
        <v>8405.5772644801127</v>
      </c>
      <c r="D16" s="189">
        <f>Z16*'Summary Data (Calc) NOT USED'!$J22</f>
        <v>15130.039076064204</v>
      </c>
      <c r="E16" s="189">
        <f>AA16*'Summary Data (Calc) NOT USED'!$J22</f>
        <v>793.86007497867729</v>
      </c>
      <c r="F16" s="641">
        <f t="shared" si="0"/>
        <v>24329.476415522993</v>
      </c>
      <c r="G16" s="38"/>
      <c r="H16" s="38"/>
      <c r="I16" s="38">
        <v>6</v>
      </c>
      <c r="J16" s="38"/>
      <c r="K16" s="38">
        <v>173</v>
      </c>
      <c r="L16" s="38">
        <v>318</v>
      </c>
      <c r="M16" s="38"/>
      <c r="N16" s="38">
        <v>1</v>
      </c>
      <c r="O16" s="38">
        <v>6</v>
      </c>
      <c r="P16" s="38">
        <v>17</v>
      </c>
      <c r="Q16" s="38"/>
      <c r="R16" s="38">
        <f t="shared" ref="R16:R36" si="14">SUM(G16:Q16)</f>
        <v>521</v>
      </c>
      <c r="S16" s="125">
        <f t="shared" si="7"/>
        <v>0</v>
      </c>
      <c r="T16" s="125">
        <f t="shared" si="8"/>
        <v>180</v>
      </c>
      <c r="U16" s="125">
        <f t="shared" si="9"/>
        <v>324</v>
      </c>
      <c r="V16" s="125">
        <f t="shared" si="10"/>
        <v>17</v>
      </c>
      <c r="W16" s="125">
        <f t="shared" si="11"/>
        <v>521</v>
      </c>
      <c r="X16" s="580">
        <f t="shared" si="13"/>
        <v>0</v>
      </c>
      <c r="Y16" s="580">
        <f t="shared" si="5"/>
        <v>0.34548944337811899</v>
      </c>
      <c r="Z16" s="580">
        <f t="shared" si="5"/>
        <v>0.62188099808061426</v>
      </c>
      <c r="AA16" s="580">
        <f t="shared" si="5"/>
        <v>3.2629558541266791E-2</v>
      </c>
      <c r="AB16" s="39">
        <f t="shared" si="12"/>
        <v>0</v>
      </c>
      <c r="AC16" s="39">
        <f t="shared" si="6"/>
        <v>2.0853264266351704E-2</v>
      </c>
      <c r="AD16" s="39">
        <f t="shared" si="6"/>
        <v>2.1265040935177067E-2</v>
      </c>
      <c r="AE16" s="39">
        <f t="shared" si="6"/>
        <v>7.791127899322018E-3</v>
      </c>
      <c r="AF16" s="503"/>
      <c r="AH16" s="503"/>
      <c r="AN16" s="503"/>
      <c r="AO16" s="503"/>
      <c r="AP16" s="503"/>
    </row>
    <row r="17" spans="1:42" x14ac:dyDescent="0.2">
      <c r="A17" s="32" t="s">
        <v>194</v>
      </c>
      <c r="B17" s="189">
        <f>X17*'Summary Data (Calc) NOT USED'!$J23</f>
        <v>75.698779958199509</v>
      </c>
      <c r="C17" s="189">
        <f>Y17*'Summary Data (Calc) NOT USED'!$J23</f>
        <v>442.54671360178179</v>
      </c>
      <c r="D17" s="189">
        <f>Z17*'Summary Data (Calc) NOT USED'!$J23</f>
        <v>1473.2147176480366</v>
      </c>
      <c r="E17" s="189">
        <f>AA17*'Summary Data (Calc) NOT USED'!$J23</f>
        <v>11.64596614741531</v>
      </c>
      <c r="F17" s="641">
        <f t="shared" si="0"/>
        <v>2003.1061773554331</v>
      </c>
      <c r="G17" s="38"/>
      <c r="H17" s="38">
        <v>2</v>
      </c>
      <c r="I17" s="38"/>
      <c r="J17" s="38">
        <v>11</v>
      </c>
      <c r="K17" s="38">
        <v>76</v>
      </c>
      <c r="L17" s="38">
        <v>239</v>
      </c>
      <c r="M17" s="38"/>
      <c r="N17" s="38"/>
      <c r="O17" s="38">
        <v>14</v>
      </c>
      <c r="P17" s="38">
        <v>2</v>
      </c>
      <c r="Q17" s="38"/>
      <c r="R17" s="38">
        <f t="shared" si="14"/>
        <v>344</v>
      </c>
      <c r="S17" s="125">
        <f t="shared" si="7"/>
        <v>13</v>
      </c>
      <c r="T17" s="125">
        <f t="shared" si="8"/>
        <v>76</v>
      </c>
      <c r="U17" s="125">
        <f t="shared" si="9"/>
        <v>253</v>
      </c>
      <c r="V17" s="125">
        <f t="shared" si="10"/>
        <v>2</v>
      </c>
      <c r="W17" s="125">
        <f t="shared" si="11"/>
        <v>344</v>
      </c>
      <c r="X17" s="580">
        <f t="shared" si="13"/>
        <v>3.7790697674418602E-2</v>
      </c>
      <c r="Y17" s="580">
        <f t="shared" si="5"/>
        <v>0.22093023255813954</v>
      </c>
      <c r="Z17" s="580">
        <f t="shared" si="5"/>
        <v>0.73546511627906974</v>
      </c>
      <c r="AA17" s="580">
        <f t="shared" si="5"/>
        <v>5.8139534883720929E-3</v>
      </c>
      <c r="AB17" s="39">
        <f t="shared" si="12"/>
        <v>1.0296275876277116E-2</v>
      </c>
      <c r="AC17" s="39">
        <f t="shared" si="6"/>
        <v>2.2401066255595906E-2</v>
      </c>
      <c r="AD17" s="39">
        <f t="shared" si="6"/>
        <v>2.3816363719168884E-2</v>
      </c>
      <c r="AE17" s="39">
        <f t="shared" si="6"/>
        <v>4.105088726152395E-3</v>
      </c>
      <c r="AF17" s="503"/>
      <c r="AH17" s="503"/>
      <c r="AN17" s="503"/>
      <c r="AO17" s="503"/>
      <c r="AP17" s="503"/>
    </row>
    <row r="18" spans="1:42" x14ac:dyDescent="0.2">
      <c r="A18" s="32">
        <v>1995</v>
      </c>
      <c r="B18" s="13">
        <f>X18*'Summary Data'!$J24</f>
        <v>38.564871513271804</v>
      </c>
      <c r="C18" s="13">
        <f>Y18*'Summary Data'!$J24</f>
        <v>4383.5403953418945</v>
      </c>
      <c r="D18" s="13">
        <f>Z18*'Summary Data'!$J24</f>
        <v>2956.6401493508379</v>
      </c>
      <c r="E18" s="13">
        <f>AA18*'Summary Data'!$J24</f>
        <v>822.71725894979829</v>
      </c>
      <c r="F18" s="13">
        <f t="shared" si="0"/>
        <v>8201.4626751558026</v>
      </c>
      <c r="G18" s="38"/>
      <c r="H18" s="38">
        <v>2</v>
      </c>
      <c r="I18" s="38">
        <v>2</v>
      </c>
      <c r="J18" s="38">
        <v>1</v>
      </c>
      <c r="K18" s="38">
        <v>336</v>
      </c>
      <c r="L18" s="38">
        <v>209</v>
      </c>
      <c r="M18" s="38"/>
      <c r="N18" s="38">
        <v>3</v>
      </c>
      <c r="O18" s="38">
        <v>21</v>
      </c>
      <c r="P18" s="38">
        <v>64</v>
      </c>
      <c r="Q18" s="38">
        <v>2</v>
      </c>
      <c r="R18" s="38">
        <f t="shared" si="14"/>
        <v>640</v>
      </c>
      <c r="S18" s="125">
        <f t="shared" si="7"/>
        <v>3</v>
      </c>
      <c r="T18" s="125">
        <f t="shared" si="8"/>
        <v>341</v>
      </c>
      <c r="U18" s="125">
        <f t="shared" si="9"/>
        <v>230</v>
      </c>
      <c r="V18" s="125">
        <f t="shared" si="10"/>
        <v>64</v>
      </c>
      <c r="W18" s="125">
        <f t="shared" si="11"/>
        <v>638</v>
      </c>
      <c r="X18" s="580">
        <f t="shared" si="13"/>
        <v>4.7021943573667714E-3</v>
      </c>
      <c r="Y18" s="580">
        <f t="shared" si="5"/>
        <v>0.53448275862068961</v>
      </c>
      <c r="Z18" s="580">
        <f t="shared" si="5"/>
        <v>0.36050156739811912</v>
      </c>
      <c r="AA18" s="580">
        <f t="shared" si="5"/>
        <v>0.10031347962382445</v>
      </c>
      <c r="AB18" s="39">
        <f t="shared" si="12"/>
        <v>2.706302770928985E-3</v>
      </c>
      <c r="AC18" s="39">
        <f t="shared" si="6"/>
        <v>1.973259972616144E-2</v>
      </c>
      <c r="AD18" s="39">
        <f t="shared" si="6"/>
        <v>1.8994282448416746E-2</v>
      </c>
      <c r="AE18" s="39">
        <f t="shared" si="6"/>
        <v>1.1884333359049716E-2</v>
      </c>
      <c r="AF18" s="503"/>
      <c r="AH18" s="503"/>
      <c r="AN18" s="503"/>
      <c r="AO18" s="503"/>
      <c r="AP18" s="503"/>
    </row>
    <row r="19" spans="1:42" x14ac:dyDescent="0.2">
      <c r="A19" s="32">
        <v>1996</v>
      </c>
      <c r="B19" s="13">
        <f>X19*'Summary Data'!$J25</f>
        <v>208.3098529284191</v>
      </c>
      <c r="C19" s="13">
        <f>Y19*'Summary Data'!$J25</f>
        <v>1999.7745881128233</v>
      </c>
      <c r="D19" s="13">
        <f>Z19*'Summary Data'!$J25</f>
        <v>9853.0560435142233</v>
      </c>
      <c r="E19" s="13">
        <f>AA19*'Summary Data'!$J25</f>
        <v>20.830985292841909</v>
      </c>
      <c r="F19" s="13">
        <f t="shared" si="0"/>
        <v>12081.971469848308</v>
      </c>
      <c r="G19" s="38"/>
      <c r="H19" s="38">
        <v>2</v>
      </c>
      <c r="I19" s="38">
        <v>12</v>
      </c>
      <c r="J19" s="38">
        <v>8</v>
      </c>
      <c r="K19" s="38">
        <v>84</v>
      </c>
      <c r="L19" s="38">
        <v>473</v>
      </c>
      <c r="M19" s="38"/>
      <c r="N19" s="38"/>
      <c r="O19" s="38"/>
      <c r="P19" s="38">
        <v>1</v>
      </c>
      <c r="Q19" s="38"/>
      <c r="R19" s="38">
        <f t="shared" si="14"/>
        <v>580</v>
      </c>
      <c r="S19" s="125">
        <f t="shared" si="7"/>
        <v>10</v>
      </c>
      <c r="T19" s="125">
        <f t="shared" si="8"/>
        <v>96</v>
      </c>
      <c r="U19" s="125">
        <f t="shared" si="9"/>
        <v>473</v>
      </c>
      <c r="V19" s="125">
        <f t="shared" si="10"/>
        <v>1</v>
      </c>
      <c r="W19" s="125">
        <f t="shared" si="11"/>
        <v>580</v>
      </c>
      <c r="X19" s="580">
        <f t="shared" si="13"/>
        <v>1.7241379310344827E-2</v>
      </c>
      <c r="Y19" s="580">
        <f t="shared" si="5"/>
        <v>0.16551724137931034</v>
      </c>
      <c r="Z19" s="580">
        <f t="shared" si="5"/>
        <v>0.81551724137931036</v>
      </c>
      <c r="AA19" s="580">
        <f t="shared" si="5"/>
        <v>1.7241379310344827E-3</v>
      </c>
      <c r="AB19" s="39">
        <f t="shared" si="12"/>
        <v>5.4096622680731409E-3</v>
      </c>
      <c r="AC19" s="39">
        <f t="shared" si="6"/>
        <v>1.5445110576971486E-2</v>
      </c>
      <c r="AD19" s="39">
        <f t="shared" si="6"/>
        <v>1.6119634258333383E-2</v>
      </c>
      <c r="AE19" s="39">
        <f t="shared" si="6"/>
        <v>1.7241379310344827E-3</v>
      </c>
      <c r="AF19" s="503"/>
      <c r="AH19" s="503"/>
      <c r="AN19" s="503"/>
      <c r="AO19" s="503"/>
      <c r="AP19" s="503"/>
    </row>
    <row r="20" spans="1:42" x14ac:dyDescent="0.2">
      <c r="A20" s="32">
        <v>1997</v>
      </c>
      <c r="B20" s="13">
        <f>X20*'Summary Data'!$J26</f>
        <v>103.19290245025569</v>
      </c>
      <c r="C20" s="13">
        <f>Y20*'Summary Data'!$J26</f>
        <v>4054.0068819743306</v>
      </c>
      <c r="D20" s="13">
        <f>Z20*'Summary Data'!$J26</f>
        <v>1621.6027527897324</v>
      </c>
      <c r="E20" s="13">
        <f>AA20*'Summary Data'!$J26</f>
        <v>58.967372828717544</v>
      </c>
      <c r="F20" s="13">
        <f t="shared" si="0"/>
        <v>5837.7699100430364</v>
      </c>
      <c r="G20" s="38"/>
      <c r="H20" s="38">
        <v>5</v>
      </c>
      <c r="I20" s="38">
        <v>1</v>
      </c>
      <c r="J20" s="38">
        <v>2</v>
      </c>
      <c r="K20" s="38">
        <v>274</v>
      </c>
      <c r="L20" s="38">
        <v>110</v>
      </c>
      <c r="M20" s="38">
        <v>1</v>
      </c>
      <c r="N20" s="38"/>
      <c r="O20" s="38"/>
      <c r="P20" s="38">
        <v>3</v>
      </c>
      <c r="Q20" s="38"/>
      <c r="R20" s="38">
        <f t="shared" si="14"/>
        <v>396</v>
      </c>
      <c r="S20" s="125">
        <f t="shared" si="7"/>
        <v>7</v>
      </c>
      <c r="T20" s="125">
        <f t="shared" si="8"/>
        <v>275</v>
      </c>
      <c r="U20" s="125">
        <f t="shared" si="9"/>
        <v>110</v>
      </c>
      <c r="V20" s="125">
        <f t="shared" si="10"/>
        <v>4</v>
      </c>
      <c r="W20" s="125">
        <f t="shared" si="11"/>
        <v>396</v>
      </c>
      <c r="X20" s="580">
        <f t="shared" si="13"/>
        <v>1.7676767676767676E-2</v>
      </c>
      <c r="Y20" s="580">
        <f t="shared" si="5"/>
        <v>0.69444444444444442</v>
      </c>
      <c r="Z20" s="580">
        <f t="shared" si="5"/>
        <v>0.27777777777777779</v>
      </c>
      <c r="AA20" s="580">
        <f t="shared" si="5"/>
        <v>1.0101010101010102E-2</v>
      </c>
      <c r="AB20" s="39">
        <f t="shared" si="12"/>
        <v>6.6302527895885106E-3</v>
      </c>
      <c r="AC20" s="39">
        <f t="shared" si="6"/>
        <v>2.3177431079714483E-2</v>
      </c>
      <c r="AD20" s="39">
        <f t="shared" si="6"/>
        <v>2.2536456201071822E-2</v>
      </c>
      <c r="AE20" s="39">
        <f t="shared" si="6"/>
        <v>5.0312893623775156E-3</v>
      </c>
      <c r="AF20" s="503"/>
      <c r="AH20" s="503"/>
      <c r="AN20" s="503"/>
      <c r="AO20" s="503"/>
      <c r="AP20" s="503"/>
    </row>
    <row r="21" spans="1:42" x14ac:dyDescent="0.2">
      <c r="A21" s="32">
        <v>1998</v>
      </c>
      <c r="B21" s="13">
        <f>X21*'Summary Data'!$J27</f>
        <v>446.54506784249719</v>
      </c>
      <c r="C21" s="13">
        <f>Y21*'Summary Data'!$J27</f>
        <v>6667.3798060621129</v>
      </c>
      <c r="D21" s="13">
        <f>Z21*'Summary Data'!$J27</f>
        <v>6682.7779118497856</v>
      </c>
      <c r="E21" s="13">
        <f>AA21*'Summary Data'!$J27</f>
        <v>61.592423150689264</v>
      </c>
      <c r="F21" s="13">
        <f t="shared" si="0"/>
        <v>13858.295208905083</v>
      </c>
      <c r="G21" s="38"/>
      <c r="H21" s="38">
        <v>29</v>
      </c>
      <c r="I21" s="38">
        <v>20</v>
      </c>
      <c r="J21" s="38"/>
      <c r="K21" s="38">
        <v>413</v>
      </c>
      <c r="L21" s="38">
        <v>431</v>
      </c>
      <c r="M21" s="38"/>
      <c r="N21" s="38"/>
      <c r="O21" s="38">
        <v>3</v>
      </c>
      <c r="P21" s="38">
        <v>4</v>
      </c>
      <c r="Q21" s="38"/>
      <c r="R21" s="38">
        <f t="shared" si="14"/>
        <v>900</v>
      </c>
      <c r="S21" s="125">
        <f t="shared" si="7"/>
        <v>29</v>
      </c>
      <c r="T21" s="125">
        <f t="shared" si="8"/>
        <v>433</v>
      </c>
      <c r="U21" s="125">
        <f t="shared" si="9"/>
        <v>434</v>
      </c>
      <c r="V21" s="125">
        <f t="shared" si="10"/>
        <v>4</v>
      </c>
      <c r="W21" s="125">
        <f t="shared" si="11"/>
        <v>900</v>
      </c>
      <c r="X21" s="580">
        <f t="shared" si="13"/>
        <v>3.2222222222222222E-2</v>
      </c>
      <c r="Y21" s="580">
        <f t="shared" si="5"/>
        <v>0.4811111111111111</v>
      </c>
      <c r="Z21" s="580">
        <f t="shared" si="5"/>
        <v>0.48222222222222222</v>
      </c>
      <c r="AA21" s="580">
        <f t="shared" si="5"/>
        <v>4.4444444444444444E-3</v>
      </c>
      <c r="AB21" s="39">
        <f t="shared" si="12"/>
        <v>5.88959892926425E-3</v>
      </c>
      <c r="AC21" s="39">
        <f t="shared" si="6"/>
        <v>1.66640297835778E-2</v>
      </c>
      <c r="AD21" s="39">
        <f t="shared" si="6"/>
        <v>1.6665389478522207E-2</v>
      </c>
      <c r="AE21" s="39">
        <f t="shared" si="6"/>
        <v>2.2185113002527019E-3</v>
      </c>
      <c r="AF21" s="503"/>
      <c r="AH21" s="503"/>
      <c r="AN21" s="503"/>
      <c r="AO21" s="503"/>
      <c r="AP21" s="503"/>
    </row>
    <row r="22" spans="1:42" x14ac:dyDescent="0.2">
      <c r="A22" s="32">
        <v>1999</v>
      </c>
      <c r="B22" s="13">
        <f>X22*'Summary Data'!$J28</f>
        <v>335.15922019583348</v>
      </c>
      <c r="C22" s="13">
        <f>Y22*'Summary Data'!$J28</f>
        <v>4010.3534278604902</v>
      </c>
      <c r="D22" s="13">
        <f>Z22*'Summary Data'!$J28</f>
        <v>6599.1694735110659</v>
      </c>
      <c r="E22" s="13">
        <f>AA22*'Summary Data'!$J28</f>
        <v>115.572144895115</v>
      </c>
      <c r="F22" s="13">
        <f t="shared" si="0"/>
        <v>11060.254266462505</v>
      </c>
      <c r="G22" s="38">
        <v>1</v>
      </c>
      <c r="H22" s="38">
        <v>1</v>
      </c>
      <c r="I22" s="38"/>
      <c r="J22" s="38">
        <v>28</v>
      </c>
      <c r="K22" s="38">
        <v>347</v>
      </c>
      <c r="L22" s="38">
        <v>566</v>
      </c>
      <c r="M22" s="38">
        <v>1</v>
      </c>
      <c r="N22" s="38"/>
      <c r="O22" s="38">
        <v>5</v>
      </c>
      <c r="P22" s="38">
        <v>9</v>
      </c>
      <c r="Q22" s="38"/>
      <c r="R22" s="38">
        <f t="shared" si="14"/>
        <v>958</v>
      </c>
      <c r="S22" s="125">
        <f t="shared" si="7"/>
        <v>29</v>
      </c>
      <c r="T22" s="125">
        <f t="shared" si="8"/>
        <v>347</v>
      </c>
      <c r="U22" s="125">
        <f t="shared" si="9"/>
        <v>571</v>
      </c>
      <c r="V22" s="125">
        <f t="shared" si="10"/>
        <v>10</v>
      </c>
      <c r="W22" s="125">
        <f t="shared" si="11"/>
        <v>957</v>
      </c>
      <c r="X22" s="580">
        <f t="shared" si="13"/>
        <v>3.0303030303030304E-2</v>
      </c>
      <c r="Y22" s="580">
        <f t="shared" ref="Y22:Y36" si="15">T22/$W22</f>
        <v>0.36259143155694878</v>
      </c>
      <c r="Z22" s="580">
        <f t="shared" ref="Z22:Z36" si="16">U22/$W22</f>
        <v>0.59665621734587249</v>
      </c>
      <c r="AA22" s="580">
        <f t="shared" ref="AA22:AA36" si="17">V22/$W22</f>
        <v>1.0449320794148381E-2</v>
      </c>
      <c r="AB22" s="39">
        <f t="shared" si="12"/>
        <v>5.5412160106969024E-3</v>
      </c>
      <c r="AC22" s="39">
        <f t="shared" ref="AC22:AC36" si="18">SQRT(((Y22)*(1-Y22))/($R22-1))</f>
        <v>1.5540384082378013E-2</v>
      </c>
      <c r="AD22" s="39">
        <f t="shared" ref="AD22:AD36" si="19">SQRT(((Z22)*(1-Z22))/($R22-1))</f>
        <v>1.5857831533636721E-2</v>
      </c>
      <c r="AE22" s="39">
        <f t="shared" ref="AE22:AE36" si="20">SQRT(((AA22)*(1-AA22))/($R22-1))</f>
        <v>3.2870558472969497E-3</v>
      </c>
      <c r="AF22" s="503"/>
      <c r="AH22" s="503"/>
      <c r="AN22" s="503"/>
      <c r="AO22" s="503"/>
      <c r="AP22" s="503"/>
    </row>
    <row r="23" spans="1:42" x14ac:dyDescent="0.2">
      <c r="A23" s="32">
        <v>2000</v>
      </c>
      <c r="B23" s="13">
        <f>X23*'Summary Data'!$J29</f>
        <v>387.61268894103307</v>
      </c>
      <c r="C23" s="13">
        <f>Y23*'Summary Data'!$J29</f>
        <v>4845.158611762914</v>
      </c>
      <c r="D23" s="13">
        <f>Z23*'Summary Data'!$J29</f>
        <v>2761.7404087048608</v>
      </c>
      <c r="E23" s="13">
        <f>AA23*'Summary Data'!$J29</f>
        <v>16.150528705876379</v>
      </c>
      <c r="F23" s="13">
        <f t="shared" si="0"/>
        <v>8010.6622381146844</v>
      </c>
      <c r="G23" s="38"/>
      <c r="H23" s="38">
        <v>14</v>
      </c>
      <c r="I23" s="38">
        <v>2</v>
      </c>
      <c r="J23" s="38">
        <v>10</v>
      </c>
      <c r="K23" s="38">
        <v>298</v>
      </c>
      <c r="L23" s="38">
        <v>170</v>
      </c>
      <c r="M23" s="38">
        <v>1</v>
      </c>
      <c r="N23" s="38"/>
      <c r="O23" s="38">
        <v>1</v>
      </c>
      <c r="P23" s="38"/>
      <c r="Q23" s="38"/>
      <c r="R23" s="38">
        <f t="shared" si="14"/>
        <v>496</v>
      </c>
      <c r="S23" s="125">
        <f t="shared" si="7"/>
        <v>24</v>
      </c>
      <c r="T23" s="125">
        <f t="shared" si="8"/>
        <v>300</v>
      </c>
      <c r="U23" s="125">
        <f t="shared" si="9"/>
        <v>171</v>
      </c>
      <c r="V23" s="125">
        <f t="shared" si="10"/>
        <v>1</v>
      </c>
      <c r="W23" s="125">
        <f t="shared" si="11"/>
        <v>496</v>
      </c>
      <c r="X23" s="580">
        <f t="shared" si="13"/>
        <v>4.8387096774193547E-2</v>
      </c>
      <c r="Y23" s="580">
        <f t="shared" si="15"/>
        <v>0.60483870967741937</v>
      </c>
      <c r="Z23" s="580">
        <f t="shared" si="16"/>
        <v>0.34475806451612906</v>
      </c>
      <c r="AA23" s="580">
        <f t="shared" si="17"/>
        <v>2.0161290322580645E-3</v>
      </c>
      <c r="AB23" s="39">
        <f t="shared" si="12"/>
        <v>9.6447804107523925E-3</v>
      </c>
      <c r="AC23" s="39">
        <f t="shared" si="18"/>
        <v>2.1973760520688147E-2</v>
      </c>
      <c r="AD23" s="39">
        <f t="shared" si="19"/>
        <v>2.1362666456123856E-2</v>
      </c>
      <c r="AE23" s="39">
        <f t="shared" si="20"/>
        <v>2.0161290322580645E-3</v>
      </c>
      <c r="AF23" s="503"/>
      <c r="AH23" s="503"/>
      <c r="AN23" s="503"/>
      <c r="AO23" s="503"/>
      <c r="AP23" s="503"/>
    </row>
    <row r="24" spans="1:42" x14ac:dyDescent="0.2">
      <c r="A24" s="32">
        <v>2001</v>
      </c>
      <c r="B24" s="13">
        <f>X24*'Summary Data'!$J30</f>
        <v>780.80209686613546</v>
      </c>
      <c r="C24" s="13">
        <f>Y24*'Summary Data'!$J30</f>
        <v>4897.75860761485</v>
      </c>
      <c r="D24" s="13">
        <f>Z24*'Summary Data'!$J30</f>
        <v>3640.3630230512031</v>
      </c>
      <c r="E24" s="13">
        <f>AA24*'Summary Data'!$J30</f>
        <v>30.420860916862416</v>
      </c>
      <c r="F24" s="13">
        <f t="shared" si="0"/>
        <v>9349.3445884490502</v>
      </c>
      <c r="G24" s="38"/>
      <c r="H24" s="38"/>
      <c r="I24" s="38">
        <v>3</v>
      </c>
      <c r="J24" s="38">
        <v>77</v>
      </c>
      <c r="K24" s="38">
        <v>480</v>
      </c>
      <c r="L24" s="38">
        <v>359</v>
      </c>
      <c r="M24" s="38">
        <v>1</v>
      </c>
      <c r="N24" s="38"/>
      <c r="O24" s="38"/>
      <c r="P24" s="38">
        <v>2</v>
      </c>
      <c r="Q24" s="38"/>
      <c r="R24" s="38">
        <f t="shared" si="14"/>
        <v>922</v>
      </c>
      <c r="S24" s="125">
        <f t="shared" si="7"/>
        <v>77</v>
      </c>
      <c r="T24" s="125">
        <f t="shared" si="8"/>
        <v>483</v>
      </c>
      <c r="U24" s="125">
        <f t="shared" si="9"/>
        <v>359</v>
      </c>
      <c r="V24" s="125">
        <f t="shared" si="10"/>
        <v>3</v>
      </c>
      <c r="W24" s="125">
        <f t="shared" si="11"/>
        <v>922</v>
      </c>
      <c r="X24" s="580">
        <f t="shared" si="13"/>
        <v>8.3514099783080262E-2</v>
      </c>
      <c r="Y24" s="580">
        <f t="shared" si="15"/>
        <v>0.52386117136659438</v>
      </c>
      <c r="Z24" s="580">
        <f t="shared" si="16"/>
        <v>0.38937093275488072</v>
      </c>
      <c r="AA24" s="580">
        <f t="shared" si="17"/>
        <v>3.2537960954446853E-3</v>
      </c>
      <c r="AB24" s="39">
        <f t="shared" si="12"/>
        <v>9.1161818707534356E-3</v>
      </c>
      <c r="AC24" s="39">
        <f t="shared" si="18"/>
        <v>1.64567885626207E-2</v>
      </c>
      <c r="AD24" s="39">
        <f t="shared" si="19"/>
        <v>1.60672179752483E-2</v>
      </c>
      <c r="AE24" s="39">
        <f t="shared" si="20"/>
        <v>1.8765392252963844E-3</v>
      </c>
      <c r="AF24" s="503"/>
      <c r="AH24" s="503"/>
      <c r="AN24" s="503"/>
      <c r="AO24" s="503"/>
      <c r="AP24" s="503"/>
    </row>
    <row r="25" spans="1:42" x14ac:dyDescent="0.2">
      <c r="A25" s="32">
        <v>2002</v>
      </c>
      <c r="B25" s="13">
        <f>X25*'Summary Data'!$J31</f>
        <v>68.527027027027032</v>
      </c>
      <c r="C25" s="13">
        <f>Y25*'Summary Data'!$J31</f>
        <v>3866.8822393822397</v>
      </c>
      <c r="D25" s="13">
        <f>Z25*'Summary Data'!$J31</f>
        <v>1116.0115830115831</v>
      </c>
      <c r="E25" s="13">
        <f>AA25*'Summary Data'!$J31</f>
        <v>19.579150579150578</v>
      </c>
      <c r="F25" s="13">
        <f t="shared" si="0"/>
        <v>5071</v>
      </c>
      <c r="G25" s="38"/>
      <c r="H25" s="38">
        <v>6</v>
      </c>
      <c r="I25" s="38">
        <v>1</v>
      </c>
      <c r="J25" s="38">
        <v>1</v>
      </c>
      <c r="K25" s="38">
        <v>394</v>
      </c>
      <c r="L25" s="38">
        <v>111</v>
      </c>
      <c r="M25" s="38">
        <v>1</v>
      </c>
      <c r="N25" s="38"/>
      <c r="O25" s="38">
        <v>3</v>
      </c>
      <c r="P25" s="38">
        <v>1</v>
      </c>
      <c r="Q25" s="38"/>
      <c r="R25" s="38">
        <f t="shared" si="14"/>
        <v>518</v>
      </c>
      <c r="S25" s="125">
        <f t="shared" si="7"/>
        <v>7</v>
      </c>
      <c r="T25" s="125">
        <f t="shared" si="8"/>
        <v>395</v>
      </c>
      <c r="U25" s="125">
        <f t="shared" si="9"/>
        <v>114</v>
      </c>
      <c r="V25" s="125">
        <f t="shared" si="10"/>
        <v>2</v>
      </c>
      <c r="W25" s="125">
        <f t="shared" si="11"/>
        <v>518</v>
      </c>
      <c r="X25" s="580">
        <f t="shared" si="13"/>
        <v>1.3513513513513514E-2</v>
      </c>
      <c r="Y25" s="580">
        <f t="shared" si="15"/>
        <v>0.76254826254826258</v>
      </c>
      <c r="Z25" s="580">
        <f t="shared" si="16"/>
        <v>0.22007722007722008</v>
      </c>
      <c r="AA25" s="580">
        <f t="shared" si="17"/>
        <v>3.8610038610038611E-3</v>
      </c>
      <c r="AB25" s="39">
        <f t="shared" si="12"/>
        <v>5.0779034468888566E-3</v>
      </c>
      <c r="AC25" s="39">
        <f t="shared" si="18"/>
        <v>1.8714407085418942E-2</v>
      </c>
      <c r="AD25" s="39">
        <f t="shared" si="19"/>
        <v>1.8220826674992596E-2</v>
      </c>
      <c r="AE25" s="39">
        <f t="shared" si="20"/>
        <v>2.7275003648416199E-3</v>
      </c>
      <c r="AF25" s="503"/>
      <c r="AH25" s="503"/>
      <c r="AN25" s="503"/>
      <c r="AO25" s="503"/>
      <c r="AP25" s="503"/>
    </row>
    <row r="26" spans="1:42" x14ac:dyDescent="0.2">
      <c r="A26" s="32">
        <v>2003</v>
      </c>
      <c r="B26" s="13">
        <f>X26*'Summary Data'!$J32</f>
        <v>56.412868632707777</v>
      </c>
      <c r="C26" s="13">
        <f>Y26*'Summary Data'!$J32</f>
        <v>2720.3538873994639</v>
      </c>
      <c r="D26" s="13">
        <f>Z26*'Summary Data'!$J32</f>
        <v>4230.9651474530829</v>
      </c>
      <c r="E26" s="13">
        <f>AA26*'Summary Data'!$J32</f>
        <v>6.2680965147453085</v>
      </c>
      <c r="F26" s="13">
        <f t="shared" si="0"/>
        <v>7014</v>
      </c>
      <c r="G26" s="38"/>
      <c r="H26" s="38">
        <v>7</v>
      </c>
      <c r="I26" s="38">
        <v>4</v>
      </c>
      <c r="J26" s="38">
        <v>2</v>
      </c>
      <c r="K26" s="38">
        <v>430</v>
      </c>
      <c r="L26" s="38">
        <v>674</v>
      </c>
      <c r="M26" s="38">
        <v>1</v>
      </c>
      <c r="N26" s="38"/>
      <c r="O26" s="38">
        <v>1</v>
      </c>
      <c r="P26" s="38"/>
      <c r="Q26" s="38"/>
      <c r="R26" s="38">
        <f t="shared" si="14"/>
        <v>1119</v>
      </c>
      <c r="S26" s="125">
        <f t="shared" si="7"/>
        <v>9</v>
      </c>
      <c r="T26" s="125">
        <f t="shared" si="8"/>
        <v>434</v>
      </c>
      <c r="U26" s="125">
        <f t="shared" si="9"/>
        <v>675</v>
      </c>
      <c r="V26" s="125">
        <f t="shared" si="10"/>
        <v>1</v>
      </c>
      <c r="W26" s="125">
        <f t="shared" si="11"/>
        <v>1119</v>
      </c>
      <c r="X26" s="580">
        <f t="shared" si="13"/>
        <v>8.0428954423592495E-3</v>
      </c>
      <c r="Y26" s="580">
        <f t="shared" si="15"/>
        <v>0.38784629133154602</v>
      </c>
      <c r="Z26" s="580">
        <f t="shared" si="16"/>
        <v>0.60321715817694366</v>
      </c>
      <c r="AA26" s="580">
        <f t="shared" si="17"/>
        <v>8.9365504915102768E-4</v>
      </c>
      <c r="AB26" s="39">
        <f t="shared" si="12"/>
        <v>2.6713559224589753E-3</v>
      </c>
      <c r="AC26" s="39">
        <f t="shared" si="18"/>
        <v>1.4572671068404016E-2</v>
      </c>
      <c r="AD26" s="39">
        <f t="shared" si="19"/>
        <v>1.4631618978558022E-2</v>
      </c>
      <c r="AE26" s="39">
        <f t="shared" si="20"/>
        <v>8.9365504915102768E-4</v>
      </c>
      <c r="AF26" s="503"/>
      <c r="AH26" s="503"/>
      <c r="AN26" s="503"/>
      <c r="AO26" s="503"/>
      <c r="AP26" s="503"/>
    </row>
    <row r="27" spans="1:42" x14ac:dyDescent="0.2">
      <c r="A27" s="32">
        <v>2004</v>
      </c>
      <c r="B27" s="13">
        <f>X27*'Summary Data'!$J33</f>
        <v>12.217357310398748</v>
      </c>
      <c r="C27" s="13">
        <f>Y27*'Summary Data'!$J33</f>
        <v>4337.1618451915556</v>
      </c>
      <c r="D27" s="13">
        <f>Z27*'Summary Data'!$J33</f>
        <v>3445.2947615324474</v>
      </c>
      <c r="E27" s="13">
        <f>AA27*'Summary Data'!$J33</f>
        <v>18.326035965598123</v>
      </c>
      <c r="F27" s="13">
        <f t="shared" si="0"/>
        <v>7813</v>
      </c>
      <c r="G27" s="38"/>
      <c r="H27" s="38">
        <v>2</v>
      </c>
      <c r="I27" s="38">
        <v>5</v>
      </c>
      <c r="J27" s="38"/>
      <c r="K27" s="38">
        <v>705</v>
      </c>
      <c r="L27" s="38">
        <v>560</v>
      </c>
      <c r="M27" s="38">
        <v>2</v>
      </c>
      <c r="N27" s="38"/>
      <c r="O27" s="38">
        <v>4</v>
      </c>
      <c r="P27" s="38">
        <v>1</v>
      </c>
      <c r="Q27" s="38"/>
      <c r="R27" s="38">
        <f t="shared" si="14"/>
        <v>1279</v>
      </c>
      <c r="S27" s="125">
        <f t="shared" si="7"/>
        <v>2</v>
      </c>
      <c r="T27" s="125">
        <f t="shared" si="8"/>
        <v>710</v>
      </c>
      <c r="U27" s="125">
        <f t="shared" si="9"/>
        <v>564</v>
      </c>
      <c r="V27" s="125">
        <f t="shared" si="10"/>
        <v>3</v>
      </c>
      <c r="W27" s="125">
        <f t="shared" si="11"/>
        <v>1279</v>
      </c>
      <c r="X27" s="580">
        <f t="shared" si="13"/>
        <v>1.563721657544957E-3</v>
      </c>
      <c r="Y27" s="580">
        <f t="shared" si="15"/>
        <v>0.5551211884284597</v>
      </c>
      <c r="Z27" s="580">
        <f t="shared" si="16"/>
        <v>0.44096950742767788</v>
      </c>
      <c r="AA27" s="580">
        <f t="shared" si="17"/>
        <v>2.3455824863174357E-3</v>
      </c>
      <c r="AB27" s="39">
        <f t="shared" si="12"/>
        <v>1.1052855061812049E-3</v>
      </c>
      <c r="AC27" s="39">
        <f t="shared" si="18"/>
        <v>1.3901105398065767E-2</v>
      </c>
      <c r="AD27" s="39">
        <f t="shared" si="19"/>
        <v>1.3888540241383083E-2</v>
      </c>
      <c r="AE27" s="39">
        <f t="shared" si="20"/>
        <v>1.3531626228271184E-3</v>
      </c>
      <c r="AF27" s="503"/>
      <c r="AH27" s="503"/>
      <c r="AN27" s="503"/>
      <c r="AO27" s="503"/>
      <c r="AP27" s="503"/>
    </row>
    <row r="28" spans="1:42" x14ac:dyDescent="0.2">
      <c r="A28" s="32">
        <v>2005</v>
      </c>
      <c r="B28" s="13">
        <f>X28*'Summary Data'!$J34</f>
        <v>1231.9968000000001</v>
      </c>
      <c r="C28" s="13">
        <f>Y28*'Summary Data'!$J34</f>
        <v>2965.2471999999998</v>
      </c>
      <c r="D28" s="13">
        <f>Z28*'Summary Data'!$J34</f>
        <v>3303.4423999999999</v>
      </c>
      <c r="E28" s="13">
        <f>AA28*'Summary Data'!$J34</f>
        <v>48.313600000000001</v>
      </c>
      <c r="F28" s="13">
        <f t="shared" si="0"/>
        <v>7549</v>
      </c>
      <c r="G28" s="38"/>
      <c r="H28" s="38">
        <v>1</v>
      </c>
      <c r="I28" s="38">
        <v>2</v>
      </c>
      <c r="J28" s="38">
        <v>203</v>
      </c>
      <c r="K28" s="38">
        <v>487</v>
      </c>
      <c r="L28" s="38">
        <v>543</v>
      </c>
      <c r="M28" s="38"/>
      <c r="N28" s="38">
        <v>2</v>
      </c>
      <c r="O28" s="38">
        <v>4</v>
      </c>
      <c r="P28" s="38">
        <v>8</v>
      </c>
      <c r="Q28" s="38"/>
      <c r="R28" s="38">
        <f t="shared" si="14"/>
        <v>1250</v>
      </c>
      <c r="S28" s="125">
        <f t="shared" si="7"/>
        <v>204</v>
      </c>
      <c r="T28" s="125">
        <f t="shared" si="8"/>
        <v>491</v>
      </c>
      <c r="U28" s="125">
        <f t="shared" si="9"/>
        <v>547</v>
      </c>
      <c r="V28" s="125">
        <f t="shared" si="10"/>
        <v>8</v>
      </c>
      <c r="W28" s="125">
        <f t="shared" si="11"/>
        <v>1250</v>
      </c>
      <c r="X28" s="580">
        <f t="shared" si="13"/>
        <v>0.16320000000000001</v>
      </c>
      <c r="Y28" s="580">
        <f t="shared" si="15"/>
        <v>0.39279999999999998</v>
      </c>
      <c r="Z28" s="580">
        <f t="shared" si="16"/>
        <v>0.43759999999999999</v>
      </c>
      <c r="AA28" s="580">
        <f t="shared" si="17"/>
        <v>6.4000000000000003E-3</v>
      </c>
      <c r="AB28" s="39">
        <f t="shared" si="12"/>
        <v>1.0456580706141527E-2</v>
      </c>
      <c r="AC28" s="39">
        <f t="shared" si="18"/>
        <v>1.3818802243188412E-2</v>
      </c>
      <c r="AD28" s="39">
        <f t="shared" si="19"/>
        <v>1.4037187257455843E-2</v>
      </c>
      <c r="AE28" s="39">
        <f t="shared" si="20"/>
        <v>2.256392041298504E-3</v>
      </c>
      <c r="AF28" s="503"/>
      <c r="AH28" s="503"/>
      <c r="AN28" s="503"/>
      <c r="AO28" s="503"/>
      <c r="AP28" s="503"/>
    </row>
    <row r="29" spans="1:42" x14ac:dyDescent="0.2">
      <c r="A29" s="32">
        <v>2006</v>
      </c>
      <c r="B29" s="13">
        <f>X29*'Summary Data'!$J35</f>
        <v>38.684210526315788</v>
      </c>
      <c r="C29" s="13">
        <f>Y29*'Summary Data'!$J35</f>
        <v>2682.1052631578946</v>
      </c>
      <c r="D29" s="13">
        <f>Z29*'Summary Data'!$J35</f>
        <v>1431.3157894736844</v>
      </c>
      <c r="E29" s="13">
        <f>AA29*'Summary Data'!$J35</f>
        <v>12.894736842105264</v>
      </c>
      <c r="F29" s="13">
        <f t="shared" si="0"/>
        <v>4165</v>
      </c>
      <c r="G29" s="38"/>
      <c r="H29" s="38"/>
      <c r="I29" s="38"/>
      <c r="J29" s="38">
        <v>3</v>
      </c>
      <c r="K29" s="38">
        <v>208</v>
      </c>
      <c r="L29" s="38">
        <v>106</v>
      </c>
      <c r="M29" s="38"/>
      <c r="N29" s="38"/>
      <c r="O29" s="38">
        <v>5</v>
      </c>
      <c r="P29" s="38">
        <v>1</v>
      </c>
      <c r="Q29" s="38"/>
      <c r="R29" s="38">
        <f t="shared" si="14"/>
        <v>323</v>
      </c>
      <c r="S29" s="125">
        <f t="shared" si="7"/>
        <v>3</v>
      </c>
      <c r="T29" s="125">
        <f t="shared" si="8"/>
        <v>208</v>
      </c>
      <c r="U29" s="125">
        <f t="shared" si="9"/>
        <v>111</v>
      </c>
      <c r="V29" s="125">
        <f t="shared" si="10"/>
        <v>1</v>
      </c>
      <c r="W29" s="125">
        <f t="shared" si="11"/>
        <v>323</v>
      </c>
      <c r="X29" s="580">
        <f t="shared" si="13"/>
        <v>9.2879256965944269E-3</v>
      </c>
      <c r="Y29" s="580">
        <f t="shared" si="15"/>
        <v>0.64396284829721362</v>
      </c>
      <c r="Z29" s="580">
        <f t="shared" si="16"/>
        <v>0.34365325077399383</v>
      </c>
      <c r="AA29" s="580">
        <f t="shared" si="17"/>
        <v>3.0959752321981426E-3</v>
      </c>
      <c r="AB29" s="39">
        <f t="shared" si="12"/>
        <v>5.3457070873277474E-3</v>
      </c>
      <c r="AC29" s="39">
        <f t="shared" si="18"/>
        <v>2.668395069261098E-2</v>
      </c>
      <c r="AD29" s="39">
        <f t="shared" si="19"/>
        <v>2.6466649235579363E-2</v>
      </c>
      <c r="AE29" s="39">
        <f t="shared" si="20"/>
        <v>3.0959752321981426E-3</v>
      </c>
      <c r="AF29" s="503"/>
      <c r="AH29" s="503"/>
      <c r="AN29" s="503"/>
      <c r="AO29" s="503"/>
      <c r="AP29" s="503"/>
    </row>
    <row r="30" spans="1:42" x14ac:dyDescent="0.2">
      <c r="A30" s="32">
        <v>2007</v>
      </c>
      <c r="B30" s="13">
        <f>X30*'Summary Data'!$J36</f>
        <v>0</v>
      </c>
      <c r="C30" s="13">
        <f>Y30*'Summary Data'!$J36</f>
        <v>550.6729678638942</v>
      </c>
      <c r="D30" s="13">
        <f>Z30*'Summary Data'!$J36</f>
        <v>2495.6030245746692</v>
      </c>
      <c r="E30" s="13">
        <f>AA30*'Summary Data'!$J36</f>
        <v>52.724007561436672</v>
      </c>
      <c r="F30" s="13">
        <f t="shared" si="0"/>
        <v>3099.0000000000005</v>
      </c>
      <c r="G30" s="38"/>
      <c r="H30" s="38"/>
      <c r="I30" s="38">
        <v>2</v>
      </c>
      <c r="J30" s="38"/>
      <c r="K30" s="38">
        <v>92</v>
      </c>
      <c r="L30" s="38">
        <v>426</v>
      </c>
      <c r="M30" s="38"/>
      <c r="N30" s="38"/>
      <c r="O30" s="38"/>
      <c r="P30" s="38">
        <v>9</v>
      </c>
      <c r="Q30" s="38"/>
      <c r="R30" s="38">
        <f t="shared" si="14"/>
        <v>529</v>
      </c>
      <c r="S30" s="125">
        <f t="shared" si="7"/>
        <v>0</v>
      </c>
      <c r="T30" s="125">
        <f t="shared" si="8"/>
        <v>94</v>
      </c>
      <c r="U30" s="125">
        <f t="shared" si="9"/>
        <v>426</v>
      </c>
      <c r="V30" s="125">
        <f t="shared" si="10"/>
        <v>9</v>
      </c>
      <c r="W30" s="125">
        <f t="shared" si="11"/>
        <v>529</v>
      </c>
      <c r="X30" s="580">
        <f t="shared" si="13"/>
        <v>0</v>
      </c>
      <c r="Y30" s="580">
        <f t="shared" si="15"/>
        <v>0.17769376181474481</v>
      </c>
      <c r="Z30" s="580">
        <f t="shared" si="16"/>
        <v>0.80529300567107753</v>
      </c>
      <c r="AA30" s="580">
        <f t="shared" si="17"/>
        <v>1.7013232514177693E-2</v>
      </c>
      <c r="AB30" s="39">
        <f t="shared" si="12"/>
        <v>0</v>
      </c>
      <c r="AC30" s="39">
        <f t="shared" si="18"/>
        <v>1.663550242583554E-2</v>
      </c>
      <c r="AD30" s="39">
        <f t="shared" si="19"/>
        <v>1.7232598858699388E-2</v>
      </c>
      <c r="AE30" s="39">
        <f t="shared" si="20"/>
        <v>5.6279508141649131E-3</v>
      </c>
      <c r="AF30" s="503"/>
      <c r="AH30" s="503"/>
      <c r="AN30" s="503"/>
      <c r="AO30" s="503"/>
      <c r="AP30" s="503"/>
    </row>
    <row r="31" spans="1:42" x14ac:dyDescent="0.2">
      <c r="A31" s="32">
        <v>2008</v>
      </c>
      <c r="B31" s="13">
        <f>X31*'Summary Data'!$J37</f>
        <v>18.175257731958762</v>
      </c>
      <c r="C31" s="13">
        <f>Y31*'Summary Data'!$J37</f>
        <v>708.83505154639181</v>
      </c>
      <c r="D31" s="13">
        <f>Z31*'Summary Data'!$J37</f>
        <v>1029.9312714776634</v>
      </c>
      <c r="E31" s="13">
        <f>AA31*'Summary Data'!$J37</f>
        <v>6.0584192439862541</v>
      </c>
      <c r="F31" s="13">
        <f t="shared" si="0"/>
        <v>1763.0000000000002</v>
      </c>
      <c r="G31" s="38"/>
      <c r="H31" s="38">
        <v>1</v>
      </c>
      <c r="I31" s="38">
        <v>4</v>
      </c>
      <c r="J31" s="38">
        <v>2</v>
      </c>
      <c r="K31" s="38">
        <v>113</v>
      </c>
      <c r="L31" s="38">
        <v>170</v>
      </c>
      <c r="M31" s="38">
        <v>1</v>
      </c>
      <c r="N31" s="38"/>
      <c r="O31" s="38"/>
      <c r="P31" s="38"/>
      <c r="Q31" s="38"/>
      <c r="R31" s="38">
        <f t="shared" si="14"/>
        <v>291</v>
      </c>
      <c r="S31" s="125">
        <f t="shared" si="7"/>
        <v>3</v>
      </c>
      <c r="T31" s="125">
        <f>I31+K31+N31</f>
        <v>117</v>
      </c>
      <c r="U31" s="125">
        <f t="shared" si="9"/>
        <v>170</v>
      </c>
      <c r="V31" s="125">
        <f t="shared" si="10"/>
        <v>1</v>
      </c>
      <c r="W31" s="125">
        <f t="shared" si="11"/>
        <v>291</v>
      </c>
      <c r="X31" s="580">
        <f t="shared" si="13"/>
        <v>1.0309278350515464E-2</v>
      </c>
      <c r="Y31" s="580">
        <f t="shared" si="15"/>
        <v>0.40206185567010311</v>
      </c>
      <c r="Z31" s="580">
        <f t="shared" si="16"/>
        <v>0.58419243986254299</v>
      </c>
      <c r="AA31" s="580">
        <f t="shared" si="17"/>
        <v>3.4364261168384879E-3</v>
      </c>
      <c r="AB31" s="39">
        <f t="shared" si="12"/>
        <v>5.9315047606439278E-3</v>
      </c>
      <c r="AC31" s="39">
        <f t="shared" si="18"/>
        <v>2.8792247512925653E-2</v>
      </c>
      <c r="AD31" s="39">
        <f t="shared" si="19"/>
        <v>2.8941774667960621E-2</v>
      </c>
      <c r="AE31" s="39">
        <f t="shared" si="20"/>
        <v>3.4364261168384879E-3</v>
      </c>
      <c r="AF31" s="503"/>
      <c r="AH31" s="503"/>
      <c r="AN31" s="503"/>
      <c r="AO31" s="503"/>
      <c r="AP31" s="503"/>
    </row>
    <row r="32" spans="1:42" x14ac:dyDescent="0.2">
      <c r="A32" s="32">
        <v>2009</v>
      </c>
      <c r="B32" s="13">
        <f>X32*'Summary Data'!$J38</f>
        <v>0</v>
      </c>
      <c r="C32" s="13">
        <f>Y32*'Summary Data'!$J38</f>
        <v>2346.6415094339623</v>
      </c>
      <c r="D32" s="13">
        <f>Z32*'Summary Data'!$J38</f>
        <v>1302.5849056603774</v>
      </c>
      <c r="E32" s="13">
        <f>AA32*'Summary Data'!$J38</f>
        <v>39.773584905660378</v>
      </c>
      <c r="F32" s="13">
        <f t="shared" si="0"/>
        <v>3689</v>
      </c>
      <c r="G32" s="38"/>
      <c r="H32" s="38"/>
      <c r="I32" s="38">
        <v>2</v>
      </c>
      <c r="J32" s="38"/>
      <c r="K32" s="38">
        <v>234</v>
      </c>
      <c r="L32" s="38">
        <v>129</v>
      </c>
      <c r="M32" s="38">
        <v>4</v>
      </c>
      <c r="N32" s="38"/>
      <c r="O32" s="38">
        <v>2</v>
      </c>
      <c r="P32" s="38"/>
      <c r="Q32" s="38"/>
      <c r="R32" s="38">
        <f t="shared" si="14"/>
        <v>371</v>
      </c>
      <c r="S32" s="125">
        <f t="shared" si="7"/>
        <v>0</v>
      </c>
      <c r="T32" s="125">
        <f t="shared" si="8"/>
        <v>236</v>
      </c>
      <c r="U32" s="125">
        <f t="shared" si="9"/>
        <v>131</v>
      </c>
      <c r="V32" s="125">
        <f t="shared" si="10"/>
        <v>4</v>
      </c>
      <c r="W32" s="125">
        <f t="shared" si="11"/>
        <v>371</v>
      </c>
      <c r="X32" s="580">
        <f t="shared" si="13"/>
        <v>0</v>
      </c>
      <c r="Y32" s="580">
        <f t="shared" si="15"/>
        <v>0.63611859838274931</v>
      </c>
      <c r="Z32" s="580">
        <f t="shared" si="16"/>
        <v>0.35309973045822102</v>
      </c>
      <c r="AA32" s="580">
        <f t="shared" si="17"/>
        <v>1.078167115902965E-2</v>
      </c>
      <c r="AB32" s="39">
        <f t="shared" si="12"/>
        <v>0</v>
      </c>
      <c r="AC32" s="39">
        <f t="shared" si="18"/>
        <v>2.5011982381116574E-2</v>
      </c>
      <c r="AD32" s="39">
        <f t="shared" si="19"/>
        <v>2.4846573030791724E-2</v>
      </c>
      <c r="AE32" s="39">
        <f t="shared" si="20"/>
        <v>5.3689363600221696E-3</v>
      </c>
      <c r="AF32" s="503"/>
      <c r="AH32" s="503"/>
      <c r="AN32" s="503"/>
      <c r="AO32" s="503"/>
      <c r="AP32" s="503"/>
    </row>
    <row r="33" spans="1:42" x14ac:dyDescent="0.2">
      <c r="A33" s="32">
        <v>2010</v>
      </c>
      <c r="B33" s="13">
        <f>X33*'Summary Data'!$J39</f>
        <v>0</v>
      </c>
      <c r="C33" s="13">
        <f>Y33*'Summary Data'!$J39</f>
        <v>2404.3027888446218</v>
      </c>
      <c r="D33" s="13">
        <f>Z33*'Summary Data'!$J39</f>
        <v>3205.7370517928289</v>
      </c>
      <c r="E33" s="13">
        <f>AA33*'Summary Data'!$J39</f>
        <v>29.960159362549799</v>
      </c>
      <c r="F33" s="13">
        <f t="shared" si="0"/>
        <v>5640</v>
      </c>
      <c r="G33" s="38"/>
      <c r="H33" s="38"/>
      <c r="I33" s="38"/>
      <c r="J33" s="38"/>
      <c r="K33" s="38">
        <v>321</v>
      </c>
      <c r="L33" s="38">
        <v>410</v>
      </c>
      <c r="M33" s="38"/>
      <c r="N33" s="38"/>
      <c r="O33" s="38">
        <v>18</v>
      </c>
      <c r="P33" s="38">
        <v>4</v>
      </c>
      <c r="Q33" s="38"/>
      <c r="R33" s="38">
        <f t="shared" si="14"/>
        <v>753</v>
      </c>
      <c r="S33" s="125">
        <f t="shared" si="7"/>
        <v>0</v>
      </c>
      <c r="T33" s="125">
        <f t="shared" si="8"/>
        <v>321</v>
      </c>
      <c r="U33" s="125">
        <f t="shared" si="9"/>
        <v>428</v>
      </c>
      <c r="V33" s="125">
        <f t="shared" si="10"/>
        <v>4</v>
      </c>
      <c r="W33" s="125">
        <f t="shared" si="11"/>
        <v>753</v>
      </c>
      <c r="X33" s="580">
        <f t="shared" si="13"/>
        <v>0</v>
      </c>
      <c r="Y33" s="580">
        <f t="shared" si="15"/>
        <v>0.42629482071713148</v>
      </c>
      <c r="Z33" s="580">
        <f t="shared" si="16"/>
        <v>0.56839309428950868</v>
      </c>
      <c r="AA33" s="580">
        <f t="shared" si="17"/>
        <v>5.3120849933598934E-3</v>
      </c>
      <c r="AB33" s="39">
        <f t="shared" si="12"/>
        <v>0</v>
      </c>
      <c r="AC33" s="39">
        <f t="shared" si="18"/>
        <v>1.803393471373203E-2</v>
      </c>
      <c r="AD33" s="39">
        <f t="shared" si="19"/>
        <v>1.8061743419091898E-2</v>
      </c>
      <c r="AE33" s="39">
        <f t="shared" si="20"/>
        <v>2.6507392451394309E-3</v>
      </c>
      <c r="AF33" s="503"/>
      <c r="AH33" s="503"/>
      <c r="AN33" s="502"/>
      <c r="AO33" s="502"/>
      <c r="AP33" s="502"/>
    </row>
    <row r="34" spans="1:42" x14ac:dyDescent="0.2">
      <c r="A34" s="32">
        <v>2011</v>
      </c>
      <c r="B34" s="13">
        <f>X34*'Summary Data'!$J40</f>
        <v>0</v>
      </c>
      <c r="C34" s="13">
        <f>Y34*'Summary Data'!$J40</f>
        <v>2434.4326923076919</v>
      </c>
      <c r="D34" s="13">
        <f>Z34*'Summary Data'!$J40</f>
        <v>2273.6682692307691</v>
      </c>
      <c r="E34" s="13">
        <f>AA34*'Summary Data'!$J40</f>
        <v>68.899038461538467</v>
      </c>
      <c r="F34" s="13">
        <f>SUM(B34:E34)</f>
        <v>4776.9999999999991</v>
      </c>
      <c r="G34" s="38"/>
      <c r="H34" s="38"/>
      <c r="I34" s="38"/>
      <c r="J34" s="38"/>
      <c r="K34" s="38">
        <v>212</v>
      </c>
      <c r="L34" s="38">
        <v>194</v>
      </c>
      <c r="M34" s="38"/>
      <c r="N34" s="38"/>
      <c r="O34" s="38">
        <v>4</v>
      </c>
      <c r="P34" s="38">
        <v>6</v>
      </c>
      <c r="Q34" s="38"/>
      <c r="R34" s="38">
        <f t="shared" si="14"/>
        <v>416</v>
      </c>
      <c r="S34" s="125">
        <f t="shared" si="7"/>
        <v>0</v>
      </c>
      <c r="T34" s="125">
        <f t="shared" si="8"/>
        <v>212</v>
      </c>
      <c r="U34" s="125">
        <f t="shared" si="9"/>
        <v>198</v>
      </c>
      <c r="V34" s="125">
        <f t="shared" si="10"/>
        <v>6</v>
      </c>
      <c r="W34" s="125">
        <f t="shared" si="11"/>
        <v>416</v>
      </c>
      <c r="X34" s="580">
        <f t="shared" si="13"/>
        <v>0</v>
      </c>
      <c r="Y34" s="580">
        <f t="shared" si="15"/>
        <v>0.50961538461538458</v>
      </c>
      <c r="Z34" s="580">
        <f t="shared" si="16"/>
        <v>0.47596153846153844</v>
      </c>
      <c r="AA34" s="580">
        <f t="shared" si="17"/>
        <v>1.4423076923076924E-2</v>
      </c>
      <c r="AB34" s="39">
        <f t="shared" si="12"/>
        <v>0</v>
      </c>
      <c r="AC34" s="39">
        <f t="shared" si="18"/>
        <v>2.453949579605445E-2</v>
      </c>
      <c r="AD34" s="39">
        <f t="shared" si="19"/>
        <v>2.4515652849127822E-2</v>
      </c>
      <c r="AE34" s="39">
        <f t="shared" si="20"/>
        <v>5.8526179447820929E-3</v>
      </c>
      <c r="AF34" s="503"/>
      <c r="AH34" s="503"/>
      <c r="AN34" s="502"/>
      <c r="AO34" s="502"/>
      <c r="AP34" s="502"/>
    </row>
    <row r="35" spans="1:42" x14ac:dyDescent="0.2">
      <c r="A35" s="32">
        <v>2012</v>
      </c>
      <c r="B35" s="13">
        <f>X35*'Summary Data'!$J41</f>
        <v>38.127516778523486</v>
      </c>
      <c r="C35" s="13">
        <f>Y35*'Summary Data'!$J41</f>
        <v>2278.1191275167785</v>
      </c>
      <c r="D35" s="13">
        <f>Z35*'Summary Data'!$J41</f>
        <v>3298.030201342282</v>
      </c>
      <c r="E35" s="13">
        <f>AA35*'Summary Data'!$J41</f>
        <v>66.723154362416111</v>
      </c>
      <c r="F35" s="13">
        <f>SUM(B35:E35)</f>
        <v>5680.9999999999991</v>
      </c>
      <c r="H35" s="196">
        <v>3</v>
      </c>
      <c r="J35" s="196">
        <v>1</v>
      </c>
      <c r="K35" s="196">
        <v>239</v>
      </c>
      <c r="L35" s="196">
        <v>332</v>
      </c>
      <c r="O35" s="196">
        <v>14</v>
      </c>
      <c r="P35" s="196">
        <v>7</v>
      </c>
      <c r="R35" s="38">
        <f t="shared" si="14"/>
        <v>596</v>
      </c>
      <c r="S35" s="125">
        <f t="shared" si="7"/>
        <v>4</v>
      </c>
      <c r="T35" s="125">
        <f t="shared" si="8"/>
        <v>239</v>
      </c>
      <c r="U35" s="125">
        <f t="shared" si="9"/>
        <v>346</v>
      </c>
      <c r="V35" s="125">
        <f t="shared" si="10"/>
        <v>7</v>
      </c>
      <c r="W35" s="125">
        <f t="shared" si="11"/>
        <v>596</v>
      </c>
      <c r="X35" s="580">
        <f t="shared" si="13"/>
        <v>6.7114093959731542E-3</v>
      </c>
      <c r="Y35" s="580">
        <f t="shared" si="15"/>
        <v>0.40100671140939598</v>
      </c>
      <c r="Z35" s="580">
        <f t="shared" si="16"/>
        <v>0.58053691275167785</v>
      </c>
      <c r="AA35" s="580">
        <f t="shared" si="17"/>
        <v>1.1744966442953021E-2</v>
      </c>
      <c r="AB35" s="39">
        <f t="shared" si="12"/>
        <v>3.3472342477131063E-3</v>
      </c>
      <c r="AC35" s="39">
        <f t="shared" si="18"/>
        <v>2.0092238093855977E-2</v>
      </c>
      <c r="AD35" s="39">
        <f t="shared" si="19"/>
        <v>2.0230346025462937E-2</v>
      </c>
      <c r="AE35" s="39">
        <f t="shared" si="20"/>
        <v>4.4167409191129001E-3</v>
      </c>
      <c r="AF35" s="503"/>
      <c r="AH35" s="503"/>
      <c r="AN35" s="502"/>
      <c r="AO35" s="502"/>
      <c r="AP35" s="502"/>
    </row>
    <row r="36" spans="1:42" x14ac:dyDescent="0.2">
      <c r="A36" s="32">
        <v>2013</v>
      </c>
      <c r="B36" s="13">
        <f>X36*'Summary Data'!$J42</f>
        <v>11.136915077989601</v>
      </c>
      <c r="C36" s="13">
        <f>Y36*'Summary Data'!$J42</f>
        <v>3318.8006932409012</v>
      </c>
      <c r="D36" s="13">
        <f>Z36*'Summary Data'!$J42</f>
        <v>2995.830155979203</v>
      </c>
      <c r="E36" s="13">
        <f>AA36*'Summary Data'!$J42</f>
        <v>100.23223570190642</v>
      </c>
      <c r="F36" s="13">
        <f>SUM(B36:E36)</f>
        <v>6426.0000000000009</v>
      </c>
      <c r="J36" s="196">
        <v>1</v>
      </c>
      <c r="K36" s="196">
        <v>298</v>
      </c>
      <c r="L36" s="196">
        <v>259</v>
      </c>
      <c r="O36" s="196">
        <v>10</v>
      </c>
      <c r="P36" s="196">
        <v>9</v>
      </c>
      <c r="R36" s="38">
        <f t="shared" si="14"/>
        <v>577</v>
      </c>
      <c r="S36" s="125">
        <f t="shared" si="7"/>
        <v>1</v>
      </c>
      <c r="T36" s="125">
        <f t="shared" si="8"/>
        <v>298</v>
      </c>
      <c r="U36" s="125">
        <f t="shared" si="9"/>
        <v>269</v>
      </c>
      <c r="V36" s="125">
        <f t="shared" si="10"/>
        <v>9</v>
      </c>
      <c r="W36" s="125">
        <f t="shared" si="11"/>
        <v>577</v>
      </c>
      <c r="X36" s="580">
        <f t="shared" si="13"/>
        <v>1.7331022530329288E-3</v>
      </c>
      <c r="Y36" s="580">
        <f t="shared" si="15"/>
        <v>0.5164644714038128</v>
      </c>
      <c r="Z36" s="580">
        <f t="shared" si="16"/>
        <v>0.46620450606585789</v>
      </c>
      <c r="AA36" s="580">
        <f t="shared" si="17"/>
        <v>1.5597920277296361E-2</v>
      </c>
      <c r="AB36" s="39">
        <f t="shared" si="12"/>
        <v>1.7331022530329288E-3</v>
      </c>
      <c r="AC36" s="39">
        <f t="shared" si="18"/>
        <v>2.0822035319075016E-2</v>
      </c>
      <c r="AD36" s="39">
        <f t="shared" si="19"/>
        <v>2.0785689880339422E-2</v>
      </c>
      <c r="AE36" s="39">
        <f t="shared" si="20"/>
        <v>5.1630742148236503E-3</v>
      </c>
      <c r="AF36" s="503"/>
      <c r="AH36" s="503"/>
    </row>
    <row r="38" spans="1:42" x14ac:dyDescent="0.2">
      <c r="K38" s="197"/>
      <c r="L38" s="197"/>
      <c r="M38" s="197"/>
      <c r="N38" s="197"/>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17"/>
  <sheetViews>
    <sheetView zoomScale="85" zoomScaleNormal="85" workbookViewId="0">
      <pane xSplit="1" ySplit="9" topLeftCell="I10" activePane="bottomRight" state="frozen"/>
      <selection activeCell="M36" sqref="H5:M36"/>
      <selection pane="topRight" activeCell="M36" sqref="H5:M36"/>
      <selection pane="bottomLeft" activeCell="M36" sqref="H5:M36"/>
      <selection pane="bottomRight" activeCell="A99" sqref="A99"/>
    </sheetView>
  </sheetViews>
  <sheetFormatPr defaultRowHeight="15" x14ac:dyDescent="0.25"/>
  <cols>
    <col min="2" max="2" width="30.7109375" bestFit="1" customWidth="1"/>
    <col min="3" max="26" width="7.28515625" customWidth="1"/>
  </cols>
  <sheetData>
    <row r="1" spans="1:37" ht="15.75" x14ac:dyDescent="0.25">
      <c r="A1" s="76" t="s">
        <v>11</v>
      </c>
    </row>
    <row r="2" spans="1:37" x14ac:dyDescent="0.25">
      <c r="A2" s="4" t="s">
        <v>54</v>
      </c>
    </row>
    <row r="3" spans="1:37" x14ac:dyDescent="0.25">
      <c r="A3" s="4" t="s">
        <v>117</v>
      </c>
    </row>
    <row r="4" spans="1:37" x14ac:dyDescent="0.25">
      <c r="A4" s="4" t="s">
        <v>139</v>
      </c>
    </row>
    <row r="5" spans="1:37" x14ac:dyDescent="0.25">
      <c r="A5" s="4" t="s">
        <v>48</v>
      </c>
    </row>
    <row r="6" spans="1:37" x14ac:dyDescent="0.25">
      <c r="A6" s="4" t="s">
        <v>140</v>
      </c>
    </row>
    <row r="7" spans="1:37" x14ac:dyDescent="0.25">
      <c r="A7" s="4"/>
      <c r="C7" s="190" t="s">
        <v>126</v>
      </c>
      <c r="J7" s="190" t="s">
        <v>123</v>
      </c>
      <c r="Q7" s="190" t="s">
        <v>124</v>
      </c>
      <c r="X7" s="190" t="s">
        <v>125</v>
      </c>
      <c r="AE7" s="190" t="s">
        <v>141</v>
      </c>
    </row>
    <row r="8" spans="1:37" s="1" customFormat="1" ht="12.75" x14ac:dyDescent="0.2">
      <c r="A8" s="42"/>
      <c r="B8" s="273"/>
      <c r="C8" s="274" t="s">
        <v>0</v>
      </c>
      <c r="D8" s="275"/>
      <c r="E8" s="276"/>
      <c r="F8" s="276"/>
      <c r="G8" s="276"/>
      <c r="H8" s="273"/>
      <c r="I8" s="273"/>
      <c r="J8" s="274" t="s">
        <v>0</v>
      </c>
      <c r="K8" s="275"/>
      <c r="L8" s="276"/>
      <c r="M8" s="276"/>
      <c r="N8" s="276"/>
      <c r="O8" s="273"/>
      <c r="P8" s="273"/>
      <c r="Q8" s="274" t="s">
        <v>0</v>
      </c>
      <c r="R8" s="275"/>
      <c r="S8" s="276"/>
      <c r="T8" s="276"/>
      <c r="U8" s="276"/>
      <c r="V8" s="273"/>
      <c r="W8" s="273"/>
      <c r="X8" s="274" t="s">
        <v>0</v>
      </c>
      <c r="Y8" s="275"/>
      <c r="Z8" s="276"/>
      <c r="AA8" s="276"/>
      <c r="AB8" s="276"/>
      <c r="AC8" s="273"/>
      <c r="AD8" s="273"/>
      <c r="AE8" s="274" t="s">
        <v>0</v>
      </c>
      <c r="AF8" s="275"/>
      <c r="AG8" s="276"/>
      <c r="AH8" s="276"/>
      <c r="AI8" s="276"/>
      <c r="AJ8" s="273"/>
      <c r="AK8" s="273"/>
    </row>
    <row r="9" spans="1:37" s="1" customFormat="1" ht="12.75" x14ac:dyDescent="0.2">
      <c r="A9" s="43" t="s">
        <v>10</v>
      </c>
      <c r="B9" s="277" t="s">
        <v>1</v>
      </c>
      <c r="C9" s="278" t="s">
        <v>2</v>
      </c>
      <c r="D9" s="278" t="s">
        <v>3</v>
      </c>
      <c r="E9" s="278" t="s">
        <v>4</v>
      </c>
      <c r="F9" s="278" t="s">
        <v>5</v>
      </c>
      <c r="G9" s="279" t="s">
        <v>6</v>
      </c>
      <c r="H9" s="280" t="s">
        <v>7</v>
      </c>
      <c r="I9" s="278" t="s">
        <v>8</v>
      </c>
      <c r="J9" s="278" t="s">
        <v>2</v>
      </c>
      <c r="K9" s="278" t="s">
        <v>3</v>
      </c>
      <c r="L9" s="278" t="s">
        <v>4</v>
      </c>
      <c r="M9" s="278" t="s">
        <v>5</v>
      </c>
      <c r="N9" s="279" t="s">
        <v>6</v>
      </c>
      <c r="O9" s="280" t="s">
        <v>7</v>
      </c>
      <c r="P9" s="278" t="s">
        <v>8</v>
      </c>
      <c r="Q9" s="278" t="s">
        <v>2</v>
      </c>
      <c r="R9" s="278" t="s">
        <v>3</v>
      </c>
      <c r="S9" s="278" t="s">
        <v>4</v>
      </c>
      <c r="T9" s="278" t="s">
        <v>5</v>
      </c>
      <c r="U9" s="279" t="s">
        <v>6</v>
      </c>
      <c r="V9" s="280" t="s">
        <v>7</v>
      </c>
      <c r="W9" s="278" t="s">
        <v>8</v>
      </c>
      <c r="X9" s="278" t="s">
        <v>2</v>
      </c>
      <c r="Y9" s="278" t="s">
        <v>3</v>
      </c>
      <c r="Z9" s="278" t="s">
        <v>4</v>
      </c>
      <c r="AA9" s="278" t="s">
        <v>5</v>
      </c>
      <c r="AB9" s="279" t="s">
        <v>6</v>
      </c>
      <c r="AC9" s="280" t="s">
        <v>7</v>
      </c>
      <c r="AD9" s="278" t="s">
        <v>8</v>
      </c>
      <c r="AE9" s="278" t="s">
        <v>2</v>
      </c>
      <c r="AF9" s="278" t="s">
        <v>3</v>
      </c>
      <c r="AG9" s="278" t="s">
        <v>4</v>
      </c>
      <c r="AH9" s="278" t="s">
        <v>5</v>
      </c>
      <c r="AI9" s="279" t="s">
        <v>6</v>
      </c>
      <c r="AJ9" s="280" t="s">
        <v>7</v>
      </c>
      <c r="AK9" s="278" t="s">
        <v>8</v>
      </c>
    </row>
    <row r="10" spans="1:37" s="1" customFormat="1" ht="12.75" x14ac:dyDescent="0.2">
      <c r="A10" s="53">
        <v>1986</v>
      </c>
      <c r="B10" s="265" t="s">
        <v>45</v>
      </c>
      <c r="C10" s="266">
        <f>J10+Q10+X10+AE10</f>
        <v>2214</v>
      </c>
      <c r="D10" s="266">
        <f t="shared" ref="D10:F10" si="0">K10+R10+Y10+AF10</f>
        <v>2715</v>
      </c>
      <c r="E10" s="266">
        <f t="shared" si="0"/>
        <v>86</v>
      </c>
      <c r="F10" s="266">
        <f t="shared" si="0"/>
        <v>300</v>
      </c>
      <c r="G10" s="266">
        <f>N10+U10+AB10+AI10</f>
        <v>27</v>
      </c>
      <c r="H10" s="266">
        <f>O10+V10+AC10+AJ10</f>
        <v>4</v>
      </c>
      <c r="I10" s="266">
        <f>P10+W10+AD10+AK10</f>
        <v>5346</v>
      </c>
      <c r="J10" s="267">
        <v>2214</v>
      </c>
      <c r="K10" s="267">
        <v>2715</v>
      </c>
      <c r="L10" s="267">
        <v>86</v>
      </c>
      <c r="M10" s="267">
        <v>300</v>
      </c>
      <c r="N10" s="267">
        <v>27</v>
      </c>
      <c r="O10" s="267">
        <v>4</v>
      </c>
      <c r="P10" s="267">
        <v>5346</v>
      </c>
      <c r="Q10" s="268"/>
      <c r="R10" s="268"/>
      <c r="S10" s="268"/>
      <c r="T10" s="268"/>
      <c r="U10" s="268"/>
      <c r="V10" s="268"/>
      <c r="W10" s="268">
        <v>0</v>
      </c>
      <c r="X10" s="268"/>
      <c r="Y10" s="268"/>
      <c r="Z10" s="268"/>
      <c r="AA10" s="268"/>
      <c r="AB10" s="268"/>
      <c r="AC10" s="268"/>
      <c r="AD10" s="268">
        <v>0</v>
      </c>
      <c r="AE10" s="268"/>
      <c r="AF10" s="268"/>
      <c r="AG10" s="268"/>
      <c r="AH10" s="268"/>
      <c r="AI10" s="268"/>
      <c r="AJ10" s="268"/>
      <c r="AK10" s="268">
        <v>0</v>
      </c>
    </row>
    <row r="11" spans="1:37" s="1" customFormat="1" ht="12.75" x14ac:dyDescent="0.2">
      <c r="A11" s="54"/>
      <c r="B11" s="281" t="s">
        <v>44</v>
      </c>
      <c r="C11" s="282">
        <f>C10/SUM($C10:$F10)</f>
        <v>0.41655691439322673</v>
      </c>
      <c r="D11" s="282">
        <f>D10/SUM($C10:$F10)</f>
        <v>0.51081843838193797</v>
      </c>
      <c r="E11" s="282">
        <f>E10/SUM($C10:$F10)</f>
        <v>1.6180620884289745E-2</v>
      </c>
      <c r="F11" s="282">
        <f>F10/SUM($C10:$F10)</f>
        <v>5.6444026340545628E-2</v>
      </c>
      <c r="G11" s="281"/>
      <c r="H11" s="281"/>
      <c r="I11" s="281"/>
      <c r="J11" s="282">
        <f>J10/SUM($J10:$M10)</f>
        <v>0.41655691439322673</v>
      </c>
      <c r="K11" s="282">
        <f>K10/SUM($J10:$M10)</f>
        <v>0.51081843838193797</v>
      </c>
      <c r="L11" s="282">
        <f>L10/SUM($J10:$M10)</f>
        <v>1.6180620884289745E-2</v>
      </c>
      <c r="M11" s="282">
        <f>M10/SUM($J10:$M10)</f>
        <v>5.6444026340545628E-2</v>
      </c>
      <c r="N11" s="283"/>
      <c r="O11" s="283"/>
      <c r="P11" s="283"/>
      <c r="Q11" s="268"/>
      <c r="R11" s="268"/>
      <c r="S11" s="268"/>
      <c r="T11" s="268"/>
      <c r="U11" s="268"/>
      <c r="V11" s="268"/>
      <c r="W11" s="268"/>
      <c r="X11" s="268"/>
      <c r="Y11" s="268"/>
      <c r="Z11" s="268"/>
      <c r="AA11" s="268"/>
      <c r="AB11" s="268"/>
      <c r="AC11" s="268"/>
      <c r="AD11" s="268"/>
      <c r="AE11" s="268"/>
      <c r="AF11" s="268"/>
      <c r="AG11" s="268"/>
      <c r="AH11" s="268"/>
      <c r="AI11" s="268"/>
      <c r="AJ11" s="268"/>
      <c r="AK11" s="268"/>
    </row>
    <row r="12" spans="1:37" s="1" customFormat="1" ht="12.75" x14ac:dyDescent="0.2">
      <c r="A12" s="55"/>
      <c r="B12" s="284" t="s">
        <v>46</v>
      </c>
      <c r="C12" s="285">
        <f>C11*$I10</f>
        <v>2226.9132643461903</v>
      </c>
      <c r="D12" s="285">
        <f>D11*$I10</f>
        <v>2730.8353715898402</v>
      </c>
      <c r="E12" s="285">
        <f>E11*$I10</f>
        <v>86.501599247412983</v>
      </c>
      <c r="F12" s="285">
        <f>F11*$I10</f>
        <v>301.74976481655693</v>
      </c>
      <c r="G12" s="284"/>
      <c r="H12" s="284"/>
      <c r="I12" s="285">
        <f>SUM(C12:H12)</f>
        <v>5346</v>
      </c>
      <c r="J12" s="285">
        <f>J11*$P10</f>
        <v>2226.9132643461903</v>
      </c>
      <c r="K12" s="285">
        <f>K11*$P10</f>
        <v>2730.8353715898402</v>
      </c>
      <c r="L12" s="285">
        <f>L11*$P10</f>
        <v>86.501599247412983</v>
      </c>
      <c r="M12" s="285">
        <f>M11*$P10</f>
        <v>301.74976481655693</v>
      </c>
      <c r="N12" s="285"/>
      <c r="O12" s="285"/>
      <c r="P12" s="285">
        <f>SUM(J12:O12)</f>
        <v>5346</v>
      </c>
      <c r="Q12" s="270"/>
      <c r="R12" s="270"/>
      <c r="S12" s="270"/>
      <c r="T12" s="270"/>
      <c r="U12" s="270"/>
      <c r="V12" s="270"/>
      <c r="W12" s="270"/>
      <c r="X12" s="270"/>
      <c r="Y12" s="270"/>
      <c r="Z12" s="270"/>
      <c r="AA12" s="270"/>
      <c r="AB12" s="270"/>
      <c r="AC12" s="270"/>
      <c r="AD12" s="270"/>
      <c r="AE12" s="270"/>
      <c r="AF12" s="270"/>
      <c r="AG12" s="270"/>
      <c r="AH12" s="270"/>
      <c r="AI12" s="270"/>
      <c r="AJ12" s="270"/>
      <c r="AK12" s="270"/>
    </row>
    <row r="13" spans="1:37" s="1" customFormat="1" ht="12.75" x14ac:dyDescent="0.2">
      <c r="A13" s="53">
        <v>1987</v>
      </c>
      <c r="B13" s="265" t="s">
        <v>45</v>
      </c>
      <c r="C13" s="266">
        <f>J13+Q13+X13+AE13</f>
        <v>111</v>
      </c>
      <c r="D13" s="266">
        <f t="shared" ref="D13" si="1">K13+R13+Y13+AF13</f>
        <v>8847</v>
      </c>
      <c r="E13" s="266">
        <f t="shared" ref="E13" si="2">L13+S13+Z13+AG13</f>
        <v>12</v>
      </c>
      <c r="F13" s="266">
        <f t="shared" ref="F13" si="3">M13+T13+AA13+AH13</f>
        <v>239</v>
      </c>
      <c r="G13" s="266">
        <f>N13+U13+AB13+AI13</f>
        <v>75</v>
      </c>
      <c r="H13" s="266">
        <f>O13+V13+AC13+AJ13</f>
        <v>0</v>
      </c>
      <c r="I13" s="266">
        <f>P13+W13+AD13+AK13</f>
        <v>9284</v>
      </c>
      <c r="J13" s="267">
        <v>111</v>
      </c>
      <c r="K13" s="267">
        <v>8847</v>
      </c>
      <c r="L13" s="267">
        <v>12</v>
      </c>
      <c r="M13" s="267">
        <v>239</v>
      </c>
      <c r="N13" s="267">
        <v>75</v>
      </c>
      <c r="O13" s="267">
        <v>0</v>
      </c>
      <c r="P13" s="267">
        <v>9284</v>
      </c>
      <c r="Q13" s="268"/>
      <c r="R13" s="268"/>
      <c r="S13" s="268"/>
      <c r="T13" s="268"/>
      <c r="U13" s="268"/>
      <c r="V13" s="268"/>
      <c r="W13" s="268">
        <v>0</v>
      </c>
      <c r="X13" s="268"/>
      <c r="Y13" s="268"/>
      <c r="Z13" s="268"/>
      <c r="AA13" s="268"/>
      <c r="AB13" s="268"/>
      <c r="AC13" s="268"/>
      <c r="AD13" s="268">
        <v>0</v>
      </c>
      <c r="AE13" s="268"/>
      <c r="AF13" s="268"/>
      <c r="AG13" s="268"/>
      <c r="AH13" s="268"/>
      <c r="AI13" s="268"/>
      <c r="AJ13" s="268"/>
      <c r="AK13" s="268">
        <v>0</v>
      </c>
    </row>
    <row r="14" spans="1:37" s="1" customFormat="1" ht="12.75" x14ac:dyDescent="0.2">
      <c r="A14" s="54"/>
      <c r="B14" s="281" t="s">
        <v>44</v>
      </c>
      <c r="C14" s="282">
        <f>C13/SUM($C13:$F13)</f>
        <v>1.2053425996307959E-2</v>
      </c>
      <c r="D14" s="282">
        <f>D13/SUM($C13:$F13)</f>
        <v>0.96069062873276145</v>
      </c>
      <c r="E14" s="282">
        <f>E13/SUM($C13:$F13)</f>
        <v>1.3030730806819417E-3</v>
      </c>
      <c r="F14" s="282">
        <f>F13/SUM($C13:$F13)</f>
        <v>2.5952872190248669E-2</v>
      </c>
      <c r="G14" s="281"/>
      <c r="H14" s="281"/>
      <c r="I14" s="281"/>
      <c r="J14" s="282">
        <f>J13/SUM($J13:$M13)</f>
        <v>1.2053425996307959E-2</v>
      </c>
      <c r="K14" s="282">
        <f>K13/SUM($J13:$M13)</f>
        <v>0.96069062873276145</v>
      </c>
      <c r="L14" s="282">
        <f>L13/SUM($J13:$M13)</f>
        <v>1.3030730806819417E-3</v>
      </c>
      <c r="M14" s="282">
        <f>M13/SUM($J13:$M13)</f>
        <v>2.5952872190248669E-2</v>
      </c>
      <c r="N14" s="283"/>
      <c r="O14" s="283"/>
      <c r="P14" s="283"/>
      <c r="Q14" s="268"/>
      <c r="R14" s="268"/>
      <c r="S14" s="268"/>
      <c r="T14" s="268"/>
      <c r="U14" s="268"/>
      <c r="V14" s="268"/>
      <c r="W14" s="268"/>
      <c r="X14" s="268"/>
      <c r="Y14" s="268"/>
      <c r="Z14" s="268"/>
      <c r="AA14" s="268"/>
      <c r="AB14" s="268"/>
      <c r="AC14" s="268"/>
      <c r="AD14" s="268"/>
      <c r="AE14" s="268"/>
      <c r="AF14" s="268"/>
      <c r="AG14" s="268"/>
      <c r="AH14" s="268"/>
      <c r="AI14" s="268"/>
      <c r="AJ14" s="268"/>
      <c r="AK14" s="268"/>
    </row>
    <row r="15" spans="1:37" s="1" customFormat="1" ht="12.75" x14ac:dyDescent="0.2">
      <c r="A15" s="55"/>
      <c r="B15" s="284" t="s">
        <v>46</v>
      </c>
      <c r="C15" s="285">
        <f>C14*$I13</f>
        <v>111.9040069497231</v>
      </c>
      <c r="D15" s="285">
        <f>D14*$I13</f>
        <v>8919.051797154958</v>
      </c>
      <c r="E15" s="285">
        <f>E14*$I13</f>
        <v>12.097730481051146</v>
      </c>
      <c r="F15" s="285">
        <f>F14*$I13</f>
        <v>240.94646541426866</v>
      </c>
      <c r="G15" s="284"/>
      <c r="H15" s="284"/>
      <c r="I15" s="285">
        <f>SUM(C15:H15)</f>
        <v>9284</v>
      </c>
      <c r="J15" s="285">
        <f>J14*$P13</f>
        <v>111.9040069497231</v>
      </c>
      <c r="K15" s="285">
        <f>K14*$P13</f>
        <v>8919.051797154958</v>
      </c>
      <c r="L15" s="285">
        <f>L14*$P13</f>
        <v>12.097730481051146</v>
      </c>
      <c r="M15" s="285">
        <f>M14*$P13</f>
        <v>240.94646541426866</v>
      </c>
      <c r="N15" s="285"/>
      <c r="O15" s="285"/>
      <c r="P15" s="285">
        <f>SUM(J15:O15)</f>
        <v>9284</v>
      </c>
      <c r="Q15" s="270"/>
      <c r="R15" s="270"/>
      <c r="S15" s="270"/>
      <c r="T15" s="270"/>
      <c r="U15" s="270"/>
      <c r="V15" s="270"/>
      <c r="W15" s="270"/>
      <c r="X15" s="270"/>
      <c r="Y15" s="270"/>
      <c r="Z15" s="270"/>
      <c r="AA15" s="270"/>
      <c r="AB15" s="270"/>
      <c r="AC15" s="270"/>
      <c r="AD15" s="270"/>
      <c r="AE15" s="270"/>
      <c r="AF15" s="270"/>
      <c r="AG15" s="270"/>
      <c r="AH15" s="270"/>
      <c r="AI15" s="270"/>
      <c r="AJ15" s="270"/>
      <c r="AK15" s="270"/>
    </row>
    <row r="16" spans="1:37" s="1" customFormat="1" ht="12.75" x14ac:dyDescent="0.2">
      <c r="A16" s="53">
        <v>1988</v>
      </c>
      <c r="B16" s="265" t="s">
        <v>45</v>
      </c>
      <c r="C16" s="266">
        <f>J16+Q16+X16+AE16</f>
        <v>1086</v>
      </c>
      <c r="D16" s="266">
        <f t="shared" ref="D16" si="4">K16+R16+Y16+AF16</f>
        <v>1354</v>
      </c>
      <c r="E16" s="266">
        <f t="shared" ref="E16" si="5">L16+S16+Z16+AG16</f>
        <v>157</v>
      </c>
      <c r="F16" s="266">
        <f t="shared" ref="F16" si="6">M16+T16+AA16+AH16</f>
        <v>40</v>
      </c>
      <c r="G16" s="266">
        <f>N16+U16+AB16+AI16</f>
        <v>0</v>
      </c>
      <c r="H16" s="266">
        <f>O16+V16+AC16+AJ16</f>
        <v>0</v>
      </c>
      <c r="I16" s="266">
        <f>P16+W16+AD16+AK16</f>
        <v>2637</v>
      </c>
      <c r="J16" s="267">
        <v>1086</v>
      </c>
      <c r="K16" s="267">
        <v>1354</v>
      </c>
      <c r="L16" s="267">
        <v>157</v>
      </c>
      <c r="M16" s="267">
        <v>40</v>
      </c>
      <c r="N16" s="267">
        <v>0</v>
      </c>
      <c r="O16" s="267">
        <v>0</v>
      </c>
      <c r="P16" s="267">
        <v>2637</v>
      </c>
      <c r="Q16" s="268"/>
      <c r="R16" s="268"/>
      <c r="S16" s="268"/>
      <c r="T16" s="268"/>
      <c r="U16" s="268"/>
      <c r="V16" s="268"/>
      <c r="W16" s="268">
        <v>0</v>
      </c>
      <c r="X16" s="268"/>
      <c r="Y16" s="268"/>
      <c r="Z16" s="268"/>
      <c r="AA16" s="268"/>
      <c r="AB16" s="268"/>
      <c r="AC16" s="268"/>
      <c r="AD16" s="268">
        <v>0</v>
      </c>
      <c r="AE16" s="268"/>
      <c r="AF16" s="268"/>
      <c r="AG16" s="268"/>
      <c r="AH16" s="268"/>
      <c r="AI16" s="268"/>
      <c r="AJ16" s="268"/>
      <c r="AK16" s="268">
        <v>0</v>
      </c>
    </row>
    <row r="17" spans="1:37" s="1" customFormat="1" ht="12.75" x14ac:dyDescent="0.2">
      <c r="A17" s="54"/>
      <c r="B17" s="281" t="s">
        <v>44</v>
      </c>
      <c r="C17" s="282">
        <f>C16/SUM($C16:$F16)</f>
        <v>0.41183162684869168</v>
      </c>
      <c r="D17" s="282">
        <f>D16/SUM($C16:$F16)</f>
        <v>0.51346226772847936</v>
      </c>
      <c r="E17" s="282">
        <f>E16/SUM($C16:$F16)</f>
        <v>5.9537353052711413E-2</v>
      </c>
      <c r="F17" s="282">
        <f>F16/SUM($C16:$F16)</f>
        <v>1.5168752370117557E-2</v>
      </c>
      <c r="G17" s="281"/>
      <c r="H17" s="281"/>
      <c r="I17" s="281"/>
      <c r="J17" s="282">
        <f>J16/SUM($J16:$M16)</f>
        <v>0.41183162684869168</v>
      </c>
      <c r="K17" s="282">
        <f>K16/SUM($J16:$M16)</f>
        <v>0.51346226772847936</v>
      </c>
      <c r="L17" s="282">
        <f>L16/SUM($J16:$M16)</f>
        <v>5.9537353052711413E-2</v>
      </c>
      <c r="M17" s="282">
        <f>M16/SUM($J16:$M16)</f>
        <v>1.5168752370117557E-2</v>
      </c>
      <c r="N17" s="283"/>
      <c r="O17" s="283"/>
      <c r="P17" s="283"/>
      <c r="Q17" s="268"/>
      <c r="R17" s="268"/>
      <c r="S17" s="268"/>
      <c r="T17" s="268"/>
      <c r="U17" s="268"/>
      <c r="V17" s="268"/>
      <c r="W17" s="268"/>
      <c r="X17" s="268"/>
      <c r="Y17" s="268"/>
      <c r="Z17" s="268"/>
      <c r="AA17" s="268"/>
      <c r="AB17" s="268"/>
      <c r="AC17" s="268"/>
      <c r="AD17" s="268"/>
      <c r="AE17" s="268"/>
      <c r="AF17" s="268"/>
      <c r="AG17" s="268"/>
      <c r="AH17" s="268"/>
      <c r="AI17" s="268"/>
      <c r="AJ17" s="268"/>
      <c r="AK17" s="268"/>
    </row>
    <row r="18" spans="1:37" s="1" customFormat="1" ht="12.75" x14ac:dyDescent="0.2">
      <c r="A18" s="55"/>
      <c r="B18" s="284" t="s">
        <v>46</v>
      </c>
      <c r="C18" s="285">
        <f>C17*$I16</f>
        <v>1086</v>
      </c>
      <c r="D18" s="285">
        <f>D17*$I16</f>
        <v>1354</v>
      </c>
      <c r="E18" s="285">
        <f>E17*$I16</f>
        <v>157</v>
      </c>
      <c r="F18" s="285">
        <f>F17*$I16</f>
        <v>40</v>
      </c>
      <c r="G18" s="284"/>
      <c r="H18" s="284"/>
      <c r="I18" s="285">
        <f>SUM(C18:H18)</f>
        <v>2637</v>
      </c>
      <c r="J18" s="285">
        <f>J17*$P16</f>
        <v>1086</v>
      </c>
      <c r="K18" s="285">
        <f>K17*$P16</f>
        <v>1354</v>
      </c>
      <c r="L18" s="285">
        <f>L17*$P16</f>
        <v>157</v>
      </c>
      <c r="M18" s="285">
        <f>M17*$P16</f>
        <v>40</v>
      </c>
      <c r="N18" s="285"/>
      <c r="O18" s="285"/>
      <c r="P18" s="285">
        <f>SUM(J18:O18)</f>
        <v>2637</v>
      </c>
      <c r="Q18" s="270"/>
      <c r="R18" s="270"/>
      <c r="S18" s="270"/>
      <c r="T18" s="270"/>
      <c r="U18" s="270"/>
      <c r="V18" s="270"/>
      <c r="W18" s="270"/>
      <c r="X18" s="270"/>
      <c r="Y18" s="270"/>
      <c r="Z18" s="270"/>
      <c r="AA18" s="270"/>
      <c r="AB18" s="270"/>
      <c r="AC18" s="270"/>
      <c r="AD18" s="270"/>
      <c r="AE18" s="270"/>
      <c r="AF18" s="270"/>
      <c r="AG18" s="270"/>
      <c r="AH18" s="270"/>
      <c r="AI18" s="270"/>
      <c r="AJ18" s="270"/>
      <c r="AK18" s="270"/>
    </row>
    <row r="19" spans="1:37" s="1" customFormat="1" ht="12.75" x14ac:dyDescent="0.2">
      <c r="A19" s="53">
        <v>1989</v>
      </c>
      <c r="B19" s="265" t="s">
        <v>45</v>
      </c>
      <c r="C19" s="266">
        <f>J19+Q19+X19+AE19</f>
        <v>1036</v>
      </c>
      <c r="D19" s="266">
        <f t="shared" ref="D19" si="7">K19+R19+Y19+AF19</f>
        <v>5551</v>
      </c>
      <c r="E19" s="266">
        <f t="shared" ref="E19" si="8">L19+S19+Z19+AG19</f>
        <v>210</v>
      </c>
      <c r="F19" s="266">
        <f t="shared" ref="F19" si="9">M19+T19+AA19+AH19</f>
        <v>601</v>
      </c>
      <c r="G19" s="266">
        <f>N19+U19+AB19+AI19</f>
        <v>0</v>
      </c>
      <c r="H19" s="266">
        <f>O19+V19+AC19+AJ19</f>
        <v>27</v>
      </c>
      <c r="I19" s="266">
        <f>P19+W19+AD19+AK19</f>
        <v>7425</v>
      </c>
      <c r="J19" s="267">
        <v>1036</v>
      </c>
      <c r="K19" s="267">
        <v>5551</v>
      </c>
      <c r="L19" s="267">
        <v>210</v>
      </c>
      <c r="M19" s="267">
        <v>601</v>
      </c>
      <c r="N19" s="267">
        <v>0</v>
      </c>
      <c r="O19" s="267">
        <v>27</v>
      </c>
      <c r="P19" s="267">
        <v>7425</v>
      </c>
      <c r="Q19" s="268"/>
      <c r="R19" s="268"/>
      <c r="S19" s="268"/>
      <c r="T19" s="268"/>
      <c r="U19" s="268"/>
      <c r="V19" s="268"/>
      <c r="W19" s="268">
        <v>0</v>
      </c>
      <c r="X19" s="268"/>
      <c r="Y19" s="268"/>
      <c r="Z19" s="268"/>
      <c r="AA19" s="268"/>
      <c r="AB19" s="268"/>
      <c r="AC19" s="268"/>
      <c r="AD19" s="268">
        <v>0</v>
      </c>
      <c r="AE19" s="268"/>
      <c r="AF19" s="268"/>
      <c r="AG19" s="268"/>
      <c r="AH19" s="268"/>
      <c r="AI19" s="268"/>
      <c r="AJ19" s="268"/>
      <c r="AK19" s="268">
        <v>0</v>
      </c>
    </row>
    <row r="20" spans="1:37" s="1" customFormat="1" ht="12.75" x14ac:dyDescent="0.2">
      <c r="A20" s="54"/>
      <c r="B20" s="281" t="s">
        <v>44</v>
      </c>
      <c r="C20" s="282">
        <f>C19/SUM($C19:$F19)</f>
        <v>0.14003784806704514</v>
      </c>
      <c r="D20" s="282">
        <f>D19/SUM($C19:$F19)</f>
        <v>0.75033792917004594</v>
      </c>
      <c r="E20" s="282">
        <f>E19/SUM($C19:$F19)</f>
        <v>2.8386050283860504E-2</v>
      </c>
      <c r="F20" s="282">
        <f>F19/SUM($C19:$F19)</f>
        <v>8.1238172479048396E-2</v>
      </c>
      <c r="G20" s="281"/>
      <c r="H20" s="281"/>
      <c r="I20" s="281"/>
      <c r="J20" s="282">
        <f>J19/SUM($J19:$M19)</f>
        <v>0.14003784806704514</v>
      </c>
      <c r="K20" s="282">
        <f>K19/SUM($J19:$M19)</f>
        <v>0.75033792917004594</v>
      </c>
      <c r="L20" s="282">
        <f>L19/SUM($J19:$M19)</f>
        <v>2.8386050283860504E-2</v>
      </c>
      <c r="M20" s="282">
        <f>M19/SUM($J19:$M19)</f>
        <v>8.1238172479048396E-2</v>
      </c>
      <c r="N20" s="283"/>
      <c r="O20" s="283"/>
      <c r="P20" s="283"/>
      <c r="Q20" s="268"/>
      <c r="R20" s="268"/>
      <c r="S20" s="268"/>
      <c r="T20" s="268"/>
      <c r="U20" s="268"/>
      <c r="V20" s="268"/>
      <c r="W20" s="268"/>
      <c r="X20" s="268"/>
      <c r="Y20" s="268"/>
      <c r="Z20" s="268"/>
      <c r="AA20" s="268"/>
      <c r="AB20" s="268"/>
      <c r="AC20" s="268"/>
      <c r="AD20" s="268"/>
      <c r="AE20" s="268"/>
      <c r="AF20" s="268"/>
      <c r="AG20" s="268"/>
      <c r="AH20" s="268"/>
      <c r="AI20" s="268"/>
      <c r="AJ20" s="268"/>
      <c r="AK20" s="268"/>
    </row>
    <row r="21" spans="1:37" s="1" customFormat="1" ht="12.75" x14ac:dyDescent="0.2">
      <c r="A21" s="55"/>
      <c r="B21" s="284" t="s">
        <v>46</v>
      </c>
      <c r="C21" s="285">
        <f>C20*$I19</f>
        <v>1039.7810218978102</v>
      </c>
      <c r="D21" s="285">
        <f>D20*$I19</f>
        <v>5571.2591240875909</v>
      </c>
      <c r="E21" s="285">
        <f>E20*$I19</f>
        <v>210.76642335766425</v>
      </c>
      <c r="F21" s="285">
        <f>F20*$I19</f>
        <v>603.19343065693431</v>
      </c>
      <c r="G21" s="284"/>
      <c r="H21" s="284"/>
      <c r="I21" s="285">
        <f>SUM(C21:H21)</f>
        <v>7425</v>
      </c>
      <c r="J21" s="285">
        <f>J20*$P19</f>
        <v>1039.7810218978102</v>
      </c>
      <c r="K21" s="285">
        <f>K20*$P19</f>
        <v>5571.2591240875909</v>
      </c>
      <c r="L21" s="285">
        <f>L20*$P19</f>
        <v>210.76642335766425</v>
      </c>
      <c r="M21" s="285">
        <f>M20*$P19</f>
        <v>603.19343065693431</v>
      </c>
      <c r="N21" s="285"/>
      <c r="O21" s="285"/>
      <c r="P21" s="285">
        <f>SUM(J21:O21)</f>
        <v>7425</v>
      </c>
      <c r="Q21" s="270"/>
      <c r="R21" s="270"/>
      <c r="S21" s="270"/>
      <c r="T21" s="270"/>
      <c r="U21" s="270"/>
      <c r="V21" s="270"/>
      <c r="W21" s="270"/>
      <c r="X21" s="270"/>
      <c r="Y21" s="270"/>
      <c r="Z21" s="270"/>
      <c r="AA21" s="270"/>
      <c r="AB21" s="270"/>
      <c r="AC21" s="270"/>
      <c r="AD21" s="270"/>
      <c r="AE21" s="270"/>
      <c r="AF21" s="270"/>
      <c r="AG21" s="270"/>
      <c r="AH21" s="270"/>
      <c r="AI21" s="270"/>
      <c r="AJ21" s="270"/>
      <c r="AK21" s="270"/>
    </row>
    <row r="22" spans="1:37" s="1" customFormat="1" ht="12.75" x14ac:dyDescent="0.2">
      <c r="A22" s="53">
        <v>1990</v>
      </c>
      <c r="B22" s="265" t="s">
        <v>45</v>
      </c>
      <c r="C22" s="266">
        <f>J22+Q22+X22+AE22</f>
        <v>1190</v>
      </c>
      <c r="D22" s="266">
        <f t="shared" ref="D22" si="10">K22+R22+Y22+AF22</f>
        <v>2519</v>
      </c>
      <c r="E22" s="266">
        <f t="shared" ref="E22" si="11">L22+S22+Z22+AG22</f>
        <v>86</v>
      </c>
      <c r="F22" s="266">
        <f t="shared" ref="F22" si="12">M22+T22+AA22+AH22</f>
        <v>265</v>
      </c>
      <c r="G22" s="266">
        <f>N22+U22+AB22+AI22</f>
        <v>0</v>
      </c>
      <c r="H22" s="266">
        <f>O22+V22+AC22+AJ22</f>
        <v>6</v>
      </c>
      <c r="I22" s="266">
        <f>P22+W22+AD22+AK22</f>
        <v>4065</v>
      </c>
      <c r="J22" s="267">
        <v>1190</v>
      </c>
      <c r="K22" s="267">
        <v>2519</v>
      </c>
      <c r="L22" s="267">
        <v>86</v>
      </c>
      <c r="M22" s="267">
        <v>265</v>
      </c>
      <c r="N22" s="267">
        <v>0</v>
      </c>
      <c r="O22" s="267">
        <v>6</v>
      </c>
      <c r="P22" s="267">
        <v>4065</v>
      </c>
      <c r="Q22" s="268"/>
      <c r="R22" s="268"/>
      <c r="S22" s="268"/>
      <c r="T22" s="268"/>
      <c r="U22" s="268"/>
      <c r="V22" s="268"/>
      <c r="W22" s="268">
        <v>0</v>
      </c>
      <c r="X22" s="268"/>
      <c r="Y22" s="268"/>
      <c r="Z22" s="268"/>
      <c r="AA22" s="268"/>
      <c r="AB22" s="268"/>
      <c r="AC22" s="268"/>
      <c r="AD22" s="268">
        <v>0</v>
      </c>
      <c r="AE22" s="268"/>
      <c r="AF22" s="268"/>
      <c r="AG22" s="268"/>
      <c r="AH22" s="268"/>
      <c r="AI22" s="268"/>
      <c r="AJ22" s="268"/>
      <c r="AK22" s="268">
        <v>0</v>
      </c>
    </row>
    <row r="23" spans="1:37" s="1" customFormat="1" ht="12.75" x14ac:dyDescent="0.2">
      <c r="A23" s="54"/>
      <c r="B23" s="281" t="s">
        <v>44</v>
      </c>
      <c r="C23" s="282">
        <f>C22/SUM($C22:$F22)</f>
        <v>0.29310344827586204</v>
      </c>
      <c r="D23" s="282">
        <f>D22/SUM($C22:$F22)</f>
        <v>0.62044334975369453</v>
      </c>
      <c r="E23" s="282">
        <f>E22/SUM($C22:$F22)</f>
        <v>2.1182266009852218E-2</v>
      </c>
      <c r="F23" s="282">
        <f>F22/SUM($C22:$F22)</f>
        <v>6.5270935960591137E-2</v>
      </c>
      <c r="G23" s="281"/>
      <c r="H23" s="281"/>
      <c r="I23" s="281"/>
      <c r="J23" s="282">
        <f>J22/SUM($J22:$M22)</f>
        <v>0.29310344827586204</v>
      </c>
      <c r="K23" s="282">
        <f>K22/SUM($J22:$M22)</f>
        <v>0.62044334975369453</v>
      </c>
      <c r="L23" s="282">
        <f>L22/SUM($J22:$M22)</f>
        <v>2.1182266009852218E-2</v>
      </c>
      <c r="M23" s="282">
        <f>M22/SUM($J22:$M22)</f>
        <v>6.5270935960591137E-2</v>
      </c>
      <c r="N23" s="283"/>
      <c r="O23" s="283"/>
      <c r="P23" s="283"/>
      <c r="Q23" s="268"/>
      <c r="R23" s="268"/>
      <c r="S23" s="268"/>
      <c r="T23" s="268"/>
      <c r="U23" s="268"/>
      <c r="V23" s="268"/>
      <c r="W23" s="268"/>
      <c r="X23" s="268"/>
      <c r="Y23" s="268"/>
      <c r="Z23" s="268"/>
      <c r="AA23" s="268"/>
      <c r="AB23" s="268"/>
      <c r="AC23" s="268"/>
      <c r="AD23" s="268"/>
      <c r="AE23" s="268"/>
      <c r="AF23" s="268"/>
      <c r="AG23" s="268"/>
      <c r="AH23" s="268"/>
      <c r="AI23" s="268"/>
      <c r="AJ23" s="268"/>
      <c r="AK23" s="268"/>
    </row>
    <row r="24" spans="1:37" s="1" customFormat="1" ht="12.75" x14ac:dyDescent="0.2">
      <c r="A24" s="55"/>
      <c r="B24" s="284" t="s">
        <v>46</v>
      </c>
      <c r="C24" s="285">
        <f>C23*$I22</f>
        <v>1191.4655172413793</v>
      </c>
      <c r="D24" s="285">
        <f>D23*$I22</f>
        <v>2522.1022167487681</v>
      </c>
      <c r="E24" s="285">
        <f>E23*$I22</f>
        <v>86.105911330049267</v>
      </c>
      <c r="F24" s="285">
        <f>F23*$I22</f>
        <v>265.32635467980299</v>
      </c>
      <c r="G24" s="284"/>
      <c r="H24" s="284"/>
      <c r="I24" s="285">
        <f>SUM(C24:H24)</f>
        <v>4065</v>
      </c>
      <c r="J24" s="285">
        <f>J23*$P22</f>
        <v>1191.4655172413793</v>
      </c>
      <c r="K24" s="285">
        <f>K23*$P22</f>
        <v>2522.1022167487681</v>
      </c>
      <c r="L24" s="285">
        <f>L23*$P22</f>
        <v>86.105911330049267</v>
      </c>
      <c r="M24" s="285">
        <f>M23*$P22</f>
        <v>265.32635467980299</v>
      </c>
      <c r="N24" s="285"/>
      <c r="O24" s="285"/>
      <c r="P24" s="285">
        <f>SUM(J24:O24)</f>
        <v>4065</v>
      </c>
      <c r="Q24" s="270"/>
      <c r="R24" s="270"/>
      <c r="S24" s="270"/>
      <c r="T24" s="270"/>
      <c r="U24" s="270"/>
      <c r="V24" s="270"/>
      <c r="W24" s="270"/>
      <c r="X24" s="270"/>
      <c r="Y24" s="270"/>
      <c r="Z24" s="270"/>
      <c r="AA24" s="270"/>
      <c r="AB24" s="270"/>
      <c r="AC24" s="270"/>
      <c r="AD24" s="270"/>
      <c r="AE24" s="270"/>
      <c r="AF24" s="270"/>
      <c r="AG24" s="270"/>
      <c r="AH24" s="270"/>
      <c r="AI24" s="270"/>
      <c r="AJ24" s="270"/>
      <c r="AK24" s="270"/>
    </row>
    <row r="25" spans="1:37" s="1" customFormat="1" ht="12.75" x14ac:dyDescent="0.2">
      <c r="A25" s="53">
        <v>1991</v>
      </c>
      <c r="B25" s="265" t="s">
        <v>45</v>
      </c>
      <c r="C25" s="265"/>
      <c r="D25" s="265"/>
      <c r="E25" s="265"/>
      <c r="F25" s="265"/>
      <c r="G25" s="265"/>
      <c r="H25" s="265"/>
      <c r="I25" s="286" t="e">
        <f>P25+W25+AD25+AK25</f>
        <v>#VALUE!</v>
      </c>
      <c r="J25" s="267"/>
      <c r="K25" s="267"/>
      <c r="L25" s="267"/>
      <c r="M25" s="267"/>
      <c r="N25" s="267"/>
      <c r="O25" s="267"/>
      <c r="P25" s="287" t="str">
        <f>'Summary Data'!F20</f>
        <v>ND</v>
      </c>
      <c r="Q25" s="268"/>
      <c r="R25" s="268"/>
      <c r="S25" s="268"/>
      <c r="T25" s="268"/>
      <c r="U25" s="268"/>
      <c r="V25" s="268"/>
      <c r="W25" s="268">
        <v>0</v>
      </c>
      <c r="X25" s="268"/>
      <c r="Y25" s="268"/>
      <c r="Z25" s="268"/>
      <c r="AA25" s="268"/>
      <c r="AB25" s="268"/>
      <c r="AC25" s="268"/>
      <c r="AD25" s="268">
        <v>0</v>
      </c>
      <c r="AE25" s="268"/>
      <c r="AF25" s="268"/>
      <c r="AG25" s="268"/>
      <c r="AH25" s="268"/>
      <c r="AI25" s="268"/>
      <c r="AJ25" s="268"/>
      <c r="AK25" s="268">
        <v>0</v>
      </c>
    </row>
    <row r="26" spans="1:37" s="1" customFormat="1" ht="12.75" x14ac:dyDescent="0.2">
      <c r="A26" s="54"/>
      <c r="B26" s="281" t="s">
        <v>44</v>
      </c>
      <c r="C26" s="281"/>
      <c r="D26" s="281"/>
      <c r="E26" s="281"/>
      <c r="F26" s="281"/>
      <c r="G26" s="281"/>
      <c r="H26" s="281"/>
      <c r="I26" s="281"/>
      <c r="J26" s="288">
        <f>AVERAGE(J11,J14,J17,J20,J23,J29,J32,J35,J38,J41,J44,J47,J50,J53,J56,J59,J62,J65,J68,J71,J74,J77)</f>
        <v>0.2093923546367881</v>
      </c>
      <c r="K26" s="288">
        <f>AVERAGE(K11,K14,K17,K20,K23,K29,K32,K35,K38,K41,K44,K47,K50,K53,K56,K59,K62,K65,K68,K71,K74,K77)</f>
        <v>0.75228007136618302</v>
      </c>
      <c r="L26" s="288">
        <f t="shared" ref="L26:M26" si="13">AVERAGE(L11,L14,L17,L20,L23,L29,L32,L35,L38,L41,L44,L47,L50,L53,L56,L59,L62,L65,L68,L71,L74,L77)</f>
        <v>1.069277219337113E-2</v>
      </c>
      <c r="M26" s="288">
        <f t="shared" si="13"/>
        <v>2.763480180365778E-2</v>
      </c>
      <c r="N26" s="283"/>
      <c r="O26" s="283"/>
      <c r="P26" s="283"/>
      <c r="Q26" s="268"/>
      <c r="R26" s="268"/>
      <c r="S26" s="268"/>
      <c r="T26" s="268"/>
      <c r="U26" s="268"/>
      <c r="V26" s="268"/>
      <c r="W26" s="268"/>
      <c r="X26" s="268"/>
      <c r="Y26" s="268"/>
      <c r="Z26" s="268"/>
      <c r="AA26" s="268"/>
      <c r="AB26" s="268"/>
      <c r="AC26" s="268"/>
      <c r="AD26" s="268"/>
      <c r="AE26" s="268"/>
      <c r="AF26" s="268"/>
      <c r="AG26" s="268"/>
      <c r="AH26" s="268"/>
      <c r="AI26" s="268"/>
      <c r="AJ26" s="268"/>
      <c r="AK26" s="268"/>
    </row>
    <row r="27" spans="1:37" s="1" customFormat="1" ht="12.75" x14ac:dyDescent="0.2">
      <c r="A27" s="55"/>
      <c r="B27" s="284" t="s">
        <v>46</v>
      </c>
      <c r="C27" s="289" t="e">
        <f>J27</f>
        <v>#VALUE!</v>
      </c>
      <c r="D27" s="289" t="e">
        <f t="shared" ref="D27:F27" si="14">K27</f>
        <v>#VALUE!</v>
      </c>
      <c r="E27" s="289" t="e">
        <f t="shared" si="14"/>
        <v>#VALUE!</v>
      </c>
      <c r="F27" s="289" t="e">
        <f t="shared" si="14"/>
        <v>#VALUE!</v>
      </c>
      <c r="G27" s="284"/>
      <c r="H27" s="284"/>
      <c r="I27" s="284"/>
      <c r="J27" s="289" t="e">
        <f>$P25*(AVERAGE(J11,J14,J17,J20,J23,J29,J32,J35,J38,J41,J44,J47,J50,J53,J56,J59,J62,J65,J68,J71,J74,J77))</f>
        <v>#VALUE!</v>
      </c>
      <c r="K27" s="289" t="e">
        <f>$P25*(AVERAGE(K11,K14,K17,K20,K23,K29,K32,K35,K38,K41,K44,K47,K50,K53,K56,K59,K62,K65,K68,K71,K74,K77))</f>
        <v>#VALUE!</v>
      </c>
      <c r="L27" s="289" t="e">
        <f>$P25*(AVERAGE(L11,L14,L17,L20,L23,L29,L32,L35,L38,L41,L44,L47,L50,L53,L56,L59,L62,L65,L68,L71,L74,L77))</f>
        <v>#VALUE!</v>
      </c>
      <c r="M27" s="289" t="e">
        <f>$P25*(AVERAGE(M11,M14,M17,M20,M23,M29,M32,M35,M38,M41,M44,M47,M50,M53,M56,M59,M62,M65,M68,M71,M74,M77))</f>
        <v>#VALUE!</v>
      </c>
      <c r="N27" s="285"/>
      <c r="O27" s="285"/>
      <c r="P27" s="289" t="e">
        <f>SUM(J27:O27)</f>
        <v>#VALUE!</v>
      </c>
      <c r="Q27" s="270"/>
      <c r="R27" s="270"/>
      <c r="S27" s="270"/>
      <c r="T27" s="270"/>
      <c r="U27" s="270"/>
      <c r="V27" s="270"/>
      <c r="W27" s="270"/>
      <c r="X27" s="270"/>
      <c r="Y27" s="270"/>
      <c r="Z27" s="270"/>
      <c r="AA27" s="270"/>
      <c r="AB27" s="270"/>
      <c r="AC27" s="270"/>
      <c r="AD27" s="270"/>
      <c r="AE27" s="270"/>
      <c r="AF27" s="270"/>
      <c r="AG27" s="270"/>
      <c r="AH27" s="270"/>
      <c r="AI27" s="270"/>
      <c r="AJ27" s="270"/>
      <c r="AK27" s="270"/>
    </row>
    <row r="28" spans="1:37" s="1" customFormat="1" ht="12.75" x14ac:dyDescent="0.2">
      <c r="A28" s="227">
        <v>1992</v>
      </c>
      <c r="B28" s="265" t="s">
        <v>45</v>
      </c>
      <c r="C28" s="266">
        <f>J28+Q28+X28+AE28</f>
        <v>2251</v>
      </c>
      <c r="D28" s="266">
        <f t="shared" ref="D28" si="15">K28+R28+Y28+AF28</f>
        <v>7131</v>
      </c>
      <c r="E28" s="266">
        <f t="shared" ref="E28" si="16">L28+S28+Z28+AG28</f>
        <v>191</v>
      </c>
      <c r="F28" s="266">
        <f t="shared" ref="F28" si="17">M28+T28+AA28+AH28</f>
        <v>453</v>
      </c>
      <c r="G28" s="266">
        <f>N28+U28+AB28+AI28</f>
        <v>0</v>
      </c>
      <c r="H28" s="266">
        <f>O28+V28+AC28+AJ28</f>
        <v>3</v>
      </c>
      <c r="I28" s="266">
        <f>P28+W28+AD28+AK28</f>
        <v>10026</v>
      </c>
      <c r="J28" s="267">
        <v>1946</v>
      </c>
      <c r="K28" s="267">
        <v>5128</v>
      </c>
      <c r="L28" s="267">
        <v>144</v>
      </c>
      <c r="M28" s="267">
        <v>344</v>
      </c>
      <c r="N28" s="267">
        <v>0</v>
      </c>
      <c r="O28" s="267">
        <v>2</v>
      </c>
      <c r="P28" s="267">
        <v>7562</v>
      </c>
      <c r="Q28" s="268">
        <v>305</v>
      </c>
      <c r="R28" s="269">
        <v>2003</v>
      </c>
      <c r="S28" s="268">
        <v>47</v>
      </c>
      <c r="T28" s="268">
        <v>109</v>
      </c>
      <c r="U28" s="268">
        <v>0</v>
      </c>
      <c r="V28" s="268">
        <v>1</v>
      </c>
      <c r="W28" s="269">
        <v>2464</v>
      </c>
      <c r="X28" s="268"/>
      <c r="Y28" s="268"/>
      <c r="Z28" s="268"/>
      <c r="AA28" s="268"/>
      <c r="AB28" s="268"/>
      <c r="AC28" s="268"/>
      <c r="AD28" s="268">
        <v>0</v>
      </c>
      <c r="AE28" s="268"/>
      <c r="AF28" s="268"/>
      <c r="AG28" s="268"/>
      <c r="AH28" s="268"/>
      <c r="AI28" s="268"/>
      <c r="AJ28" s="268"/>
      <c r="AK28" s="268">
        <v>0</v>
      </c>
    </row>
    <row r="29" spans="1:37" s="1" customFormat="1" ht="12.75" x14ac:dyDescent="0.2">
      <c r="A29" s="207"/>
      <c r="B29" s="281" t="s">
        <v>44</v>
      </c>
      <c r="C29" s="282">
        <f>C28/SUM($C28:$F28)</f>
        <v>0.22451625772990225</v>
      </c>
      <c r="D29" s="282">
        <f>D28/SUM($C28:$F28)</f>
        <v>0.71125074805505684</v>
      </c>
      <c r="E29" s="282">
        <f>E28/SUM($C28:$F28)</f>
        <v>1.905046878116896E-2</v>
      </c>
      <c r="F29" s="282">
        <f>F28/SUM($C28:$F28)</f>
        <v>4.5182525433871933E-2</v>
      </c>
      <c r="G29" s="281"/>
      <c r="H29" s="281"/>
      <c r="I29" s="281"/>
      <c r="J29" s="282">
        <f>J28/SUM($J28:$M28)</f>
        <v>0.25733932822004763</v>
      </c>
      <c r="K29" s="282">
        <f>K28/SUM($J28:$M28)</f>
        <v>0.67812747950277708</v>
      </c>
      <c r="L29" s="282">
        <f>L28/SUM($J28:$M28)</f>
        <v>1.9042581327691085E-2</v>
      </c>
      <c r="M29" s="282">
        <f>M28/SUM($J28:$M28)</f>
        <v>4.5490610949484263E-2</v>
      </c>
      <c r="N29" s="283"/>
      <c r="O29" s="283"/>
      <c r="P29" s="283"/>
      <c r="Q29" s="268"/>
      <c r="R29" s="268"/>
      <c r="S29" s="268"/>
      <c r="T29" s="268"/>
      <c r="U29" s="268"/>
      <c r="V29" s="268"/>
      <c r="W29" s="268"/>
      <c r="X29" s="268"/>
      <c r="Y29" s="268"/>
      <c r="Z29" s="268"/>
      <c r="AA29" s="268"/>
      <c r="AB29" s="268"/>
      <c r="AC29" s="268"/>
      <c r="AD29" s="268"/>
      <c r="AE29" s="268"/>
      <c r="AF29" s="268"/>
      <c r="AG29" s="268"/>
      <c r="AH29" s="268"/>
      <c r="AI29" s="268"/>
      <c r="AJ29" s="268"/>
      <c r="AK29" s="268"/>
    </row>
    <row r="30" spans="1:37" s="1" customFormat="1" ht="12.75" x14ac:dyDescent="0.2">
      <c r="A30" s="228"/>
      <c r="B30" s="284" t="s">
        <v>46</v>
      </c>
      <c r="C30" s="285">
        <f>C29*$I28</f>
        <v>2251</v>
      </c>
      <c r="D30" s="285">
        <f>D29*$I28</f>
        <v>7131</v>
      </c>
      <c r="E30" s="285">
        <f>E29*$I28</f>
        <v>191</v>
      </c>
      <c r="F30" s="285">
        <f>F29*$I28</f>
        <v>453</v>
      </c>
      <c r="G30" s="284"/>
      <c r="H30" s="284"/>
      <c r="I30" s="285">
        <f>SUM(C30:H30)</f>
        <v>10026</v>
      </c>
      <c r="J30" s="285">
        <f>J29*$P28</f>
        <v>1946.0000000000002</v>
      </c>
      <c r="K30" s="285">
        <f>K29*$P28</f>
        <v>5128</v>
      </c>
      <c r="L30" s="285">
        <f>L29*$P28</f>
        <v>144</v>
      </c>
      <c r="M30" s="285">
        <f>M29*$P28</f>
        <v>344</v>
      </c>
      <c r="N30" s="285"/>
      <c r="O30" s="285"/>
      <c r="P30" s="285">
        <f>SUM(J30:O30)</f>
        <v>7562</v>
      </c>
      <c r="Q30" s="270"/>
      <c r="R30" s="270"/>
      <c r="S30" s="270"/>
      <c r="T30" s="270"/>
      <c r="U30" s="270"/>
      <c r="V30" s="270"/>
      <c r="W30" s="270"/>
      <c r="X30" s="270"/>
      <c r="Y30" s="270"/>
      <c r="Z30" s="270"/>
      <c r="AA30" s="270"/>
      <c r="AB30" s="270"/>
      <c r="AC30" s="270"/>
      <c r="AD30" s="270"/>
      <c r="AE30" s="270"/>
      <c r="AF30" s="270"/>
      <c r="AG30" s="270"/>
      <c r="AH30" s="270"/>
      <c r="AI30" s="270"/>
      <c r="AJ30" s="270"/>
      <c r="AK30" s="270"/>
    </row>
    <row r="31" spans="1:37" s="1" customFormat="1" ht="12.75" x14ac:dyDescent="0.2">
      <c r="A31" s="227">
        <v>1993</v>
      </c>
      <c r="B31" s="265" t="s">
        <v>45</v>
      </c>
      <c r="C31" s="266">
        <f>J31+Q31+X31+AE31</f>
        <v>2335</v>
      </c>
      <c r="D31" s="266">
        <f t="shared" ref="D31" si="18">K31+R31+Y31+AF31</f>
        <v>14775</v>
      </c>
      <c r="E31" s="266">
        <f t="shared" ref="E31" si="19">L31+S31+Z31+AG31</f>
        <v>147</v>
      </c>
      <c r="F31" s="266">
        <f t="shared" ref="F31" si="20">M31+T31+AA31+AH31</f>
        <v>1000</v>
      </c>
      <c r="G31" s="266">
        <f>N31+U31+AB31+AI31</f>
        <v>0</v>
      </c>
      <c r="H31" s="266">
        <f>O31+V31+AC31+AJ31</f>
        <v>144</v>
      </c>
      <c r="I31" s="266">
        <f>P31+W31+AD31+AK31</f>
        <v>18401</v>
      </c>
      <c r="J31" s="267">
        <v>2335</v>
      </c>
      <c r="K31" s="267">
        <v>14773</v>
      </c>
      <c r="L31" s="267">
        <v>147</v>
      </c>
      <c r="M31" s="267">
        <v>1000</v>
      </c>
      <c r="N31" s="267">
        <v>0</v>
      </c>
      <c r="O31" s="267">
        <v>144</v>
      </c>
      <c r="P31" s="267">
        <v>18399</v>
      </c>
      <c r="Q31" s="268"/>
      <c r="R31" s="268">
        <v>2</v>
      </c>
      <c r="S31" s="268"/>
      <c r="T31" s="268"/>
      <c r="U31" s="268"/>
      <c r="V31" s="268"/>
      <c r="W31" s="268">
        <v>2</v>
      </c>
      <c r="X31" s="268"/>
      <c r="Y31" s="268"/>
      <c r="Z31" s="268"/>
      <c r="AA31" s="268"/>
      <c r="AB31" s="268"/>
      <c r="AC31" s="268"/>
      <c r="AD31" s="268">
        <v>0</v>
      </c>
      <c r="AE31" s="268"/>
      <c r="AF31" s="268"/>
      <c r="AG31" s="268"/>
      <c r="AH31" s="268"/>
      <c r="AI31" s="268"/>
      <c r="AJ31" s="268"/>
      <c r="AK31" s="268">
        <v>0</v>
      </c>
    </row>
    <row r="32" spans="1:37" s="1" customFormat="1" ht="12.75" x14ac:dyDescent="0.2">
      <c r="A32" s="207"/>
      <c r="B32" s="281" t="s">
        <v>44</v>
      </c>
      <c r="C32" s="282">
        <f>C31/SUM($C31:$F31)</f>
        <v>0.12789614942213945</v>
      </c>
      <c r="D32" s="282">
        <f>D31/SUM($C31:$F31)</f>
        <v>0.80927863285315227</v>
      </c>
      <c r="E32" s="282">
        <f>E31/SUM($C31:$F31)</f>
        <v>8.0517061948841544E-3</v>
      </c>
      <c r="F32" s="282">
        <f>F31/SUM($C31:$F31)</f>
        <v>5.4773511529824175E-2</v>
      </c>
      <c r="G32" s="281"/>
      <c r="H32" s="281"/>
      <c r="I32" s="281"/>
      <c r="J32" s="282">
        <f>J31/SUM($J31:$M31)</f>
        <v>0.12791016159956176</v>
      </c>
      <c r="K32" s="282">
        <f>K31/SUM($J31:$M31)</f>
        <v>0.80925773760613529</v>
      </c>
      <c r="L32" s="282">
        <f>L31/SUM($J31:$M31)</f>
        <v>8.0525883319638447E-3</v>
      </c>
      <c r="M32" s="282">
        <f>M31/SUM($J31:$M31)</f>
        <v>5.4779512462339086E-2</v>
      </c>
      <c r="N32" s="283"/>
      <c r="O32" s="283"/>
      <c r="P32" s="283"/>
      <c r="Q32" s="268"/>
      <c r="R32" s="268"/>
      <c r="S32" s="268"/>
      <c r="T32" s="268"/>
      <c r="U32" s="268"/>
      <c r="V32" s="268"/>
      <c r="W32" s="268"/>
      <c r="X32" s="268"/>
      <c r="Y32" s="268"/>
      <c r="Z32" s="268"/>
      <c r="AA32" s="268"/>
      <c r="AB32" s="268"/>
      <c r="AC32" s="268"/>
      <c r="AD32" s="268"/>
      <c r="AE32" s="268"/>
      <c r="AF32" s="268"/>
      <c r="AG32" s="268"/>
      <c r="AH32" s="268"/>
      <c r="AI32" s="268"/>
      <c r="AJ32" s="268"/>
      <c r="AK32" s="268"/>
    </row>
    <row r="33" spans="1:37" s="1" customFormat="1" ht="12.75" x14ac:dyDescent="0.2">
      <c r="A33" s="228"/>
      <c r="B33" s="284" t="s">
        <v>46</v>
      </c>
      <c r="C33" s="285">
        <f>C32*$I31</f>
        <v>2353.4170455167882</v>
      </c>
      <c r="D33" s="285">
        <f>D32*$I31</f>
        <v>14891.536123130854</v>
      </c>
      <c r="E33" s="285">
        <f>E32*$I31</f>
        <v>148.15944569206331</v>
      </c>
      <c r="F33" s="285">
        <f>F32*$I31</f>
        <v>1007.8873856602946</v>
      </c>
      <c r="G33" s="284"/>
      <c r="H33" s="284"/>
      <c r="I33" s="285">
        <f>SUM(C33:H33)</f>
        <v>18401.000000000004</v>
      </c>
      <c r="J33" s="285">
        <f>J32*$P31</f>
        <v>2353.4190632703367</v>
      </c>
      <c r="K33" s="285">
        <f>K32*$P31</f>
        <v>14889.533114215283</v>
      </c>
      <c r="L33" s="285">
        <f>L32*$P31</f>
        <v>148.15957271980278</v>
      </c>
      <c r="M33" s="285">
        <f>M32*$P31</f>
        <v>1007.8882497945768</v>
      </c>
      <c r="N33" s="285"/>
      <c r="O33" s="285"/>
      <c r="P33" s="285">
        <f>SUM(J33:O33)</f>
        <v>18399</v>
      </c>
      <c r="Q33" s="270"/>
      <c r="R33" s="270"/>
      <c r="S33" s="270"/>
      <c r="T33" s="270"/>
      <c r="U33" s="270"/>
      <c r="V33" s="270"/>
      <c r="W33" s="270"/>
      <c r="X33" s="270"/>
      <c r="Y33" s="270"/>
      <c r="Z33" s="270"/>
      <c r="AA33" s="270"/>
      <c r="AB33" s="270"/>
      <c r="AC33" s="270"/>
      <c r="AD33" s="270"/>
      <c r="AE33" s="270"/>
      <c r="AF33" s="270"/>
      <c r="AG33" s="270"/>
      <c r="AH33" s="270"/>
      <c r="AI33" s="270"/>
      <c r="AJ33" s="270"/>
      <c r="AK33" s="270"/>
    </row>
    <row r="34" spans="1:37" s="1" customFormat="1" ht="12.75" x14ac:dyDescent="0.2">
      <c r="A34" s="227">
        <v>1994</v>
      </c>
      <c r="B34" s="265" t="s">
        <v>45</v>
      </c>
      <c r="C34" s="266">
        <f>J34+Q34+X34+AE34</f>
        <v>78</v>
      </c>
      <c r="D34" s="266">
        <f t="shared" ref="D34" si="21">K34+R34+Y34+AF34</f>
        <v>1400</v>
      </c>
      <c r="E34" s="266">
        <f t="shared" ref="E34" si="22">L34+S34+Z34+AG34</f>
        <v>17</v>
      </c>
      <c r="F34" s="266">
        <f t="shared" ref="F34" si="23">M34+T34+AA34+AH34</f>
        <v>18</v>
      </c>
      <c r="G34" s="266">
        <f>N34+U34+AB34+AI34</f>
        <v>0</v>
      </c>
      <c r="H34" s="266">
        <f>O34+V34+AC34+AJ34</f>
        <v>3</v>
      </c>
      <c r="I34" s="266">
        <f>P34+W34+AD34+AK34</f>
        <v>1515</v>
      </c>
      <c r="J34" s="267">
        <v>72</v>
      </c>
      <c r="K34" s="267">
        <v>1308</v>
      </c>
      <c r="L34" s="267">
        <v>16</v>
      </c>
      <c r="M34" s="267">
        <v>16</v>
      </c>
      <c r="N34" s="267">
        <v>0</v>
      </c>
      <c r="O34" s="267">
        <v>3</v>
      </c>
      <c r="P34" s="267">
        <v>1414</v>
      </c>
      <c r="Q34" s="268">
        <v>6</v>
      </c>
      <c r="R34" s="268">
        <v>92</v>
      </c>
      <c r="S34" s="268">
        <v>1</v>
      </c>
      <c r="T34" s="268">
        <v>2</v>
      </c>
      <c r="U34" s="268">
        <v>0</v>
      </c>
      <c r="V34" s="268">
        <v>0</v>
      </c>
      <c r="W34" s="268">
        <v>101</v>
      </c>
      <c r="X34" s="268"/>
      <c r="Y34" s="268"/>
      <c r="Z34" s="268"/>
      <c r="AA34" s="268"/>
      <c r="AB34" s="268"/>
      <c r="AC34" s="268"/>
      <c r="AD34" s="268">
        <v>0</v>
      </c>
      <c r="AE34" s="268"/>
      <c r="AF34" s="268"/>
      <c r="AG34" s="268"/>
      <c r="AH34" s="268"/>
      <c r="AI34" s="268"/>
      <c r="AJ34" s="268"/>
      <c r="AK34" s="268">
        <v>0</v>
      </c>
    </row>
    <row r="35" spans="1:37" s="1" customFormat="1" ht="12.75" x14ac:dyDescent="0.2">
      <c r="A35" s="207"/>
      <c r="B35" s="281" t="s">
        <v>44</v>
      </c>
      <c r="C35" s="282">
        <f>C34/SUM($C34:$F34)</f>
        <v>5.1553205551883675E-2</v>
      </c>
      <c r="D35" s="282">
        <f>D34/SUM($C34:$F34)</f>
        <v>0.92531394580304027</v>
      </c>
      <c r="E35" s="282">
        <f>E34/SUM($C34:$F34)</f>
        <v>1.1235955056179775E-2</v>
      </c>
      <c r="F35" s="282">
        <f>F34/SUM($C34:$F34)</f>
        <v>1.1896893588896233E-2</v>
      </c>
      <c r="G35" s="281"/>
      <c r="H35" s="281"/>
      <c r="I35" s="281"/>
      <c r="J35" s="282">
        <f>J34/SUM($J34:$M34)</f>
        <v>5.0991501416430593E-2</v>
      </c>
      <c r="K35" s="282">
        <f>K34/SUM($J34:$M34)</f>
        <v>0.92634560906515584</v>
      </c>
      <c r="L35" s="282">
        <f>L34/SUM($J34:$M34)</f>
        <v>1.1331444759206799E-2</v>
      </c>
      <c r="M35" s="282">
        <f>M34/SUM($J34:$M34)</f>
        <v>1.1331444759206799E-2</v>
      </c>
      <c r="N35" s="283"/>
      <c r="O35" s="283"/>
      <c r="P35" s="283"/>
      <c r="Q35" s="268"/>
      <c r="R35" s="268"/>
      <c r="S35" s="268"/>
      <c r="T35" s="268"/>
      <c r="U35" s="268"/>
      <c r="V35" s="268"/>
      <c r="W35" s="268"/>
      <c r="X35" s="268"/>
      <c r="Y35" s="268"/>
      <c r="Z35" s="268"/>
      <c r="AA35" s="268"/>
      <c r="AB35" s="268"/>
      <c r="AC35" s="268"/>
      <c r="AD35" s="268"/>
      <c r="AE35" s="268"/>
      <c r="AF35" s="268"/>
      <c r="AG35" s="268"/>
      <c r="AH35" s="268"/>
      <c r="AI35" s="268"/>
      <c r="AJ35" s="268"/>
      <c r="AK35" s="268"/>
    </row>
    <row r="36" spans="1:37" s="1" customFormat="1" ht="12.75" x14ac:dyDescent="0.2">
      <c r="A36" s="228"/>
      <c r="B36" s="284" t="s">
        <v>46</v>
      </c>
      <c r="C36" s="285">
        <f>C35*$I34</f>
        <v>78.103106411103767</v>
      </c>
      <c r="D36" s="285">
        <f>D35*$I34</f>
        <v>1401.8506278916061</v>
      </c>
      <c r="E36" s="285">
        <f>E35*$I34</f>
        <v>17.022471910112358</v>
      </c>
      <c r="F36" s="285">
        <f>F35*$I34</f>
        <v>18.023793787177791</v>
      </c>
      <c r="G36" s="284"/>
      <c r="H36" s="284"/>
      <c r="I36" s="285">
        <f>SUM(C36:H36)</f>
        <v>1514.9999999999998</v>
      </c>
      <c r="J36" s="285">
        <f>J35*$P34</f>
        <v>72.101983002832853</v>
      </c>
      <c r="K36" s="285">
        <f>K35*$P34</f>
        <v>1309.8526912181303</v>
      </c>
      <c r="L36" s="285">
        <f>L35*$P34</f>
        <v>16.022662889518415</v>
      </c>
      <c r="M36" s="285">
        <f>M35*$P34</f>
        <v>16.022662889518415</v>
      </c>
      <c r="N36" s="285"/>
      <c r="O36" s="285"/>
      <c r="P36" s="285">
        <f>SUM(J36:O36)</f>
        <v>1414</v>
      </c>
      <c r="Q36" s="270"/>
      <c r="R36" s="270"/>
      <c r="S36" s="270"/>
      <c r="T36" s="270"/>
      <c r="U36" s="270"/>
      <c r="V36" s="270"/>
      <c r="W36" s="270"/>
      <c r="X36" s="270"/>
      <c r="Y36" s="270"/>
      <c r="Z36" s="270"/>
      <c r="AA36" s="270"/>
      <c r="AB36" s="270"/>
      <c r="AC36" s="270"/>
      <c r="AD36" s="270"/>
      <c r="AE36" s="270"/>
      <c r="AF36" s="270"/>
      <c r="AG36" s="270"/>
      <c r="AH36" s="270"/>
      <c r="AI36" s="270"/>
      <c r="AJ36" s="270"/>
      <c r="AK36" s="270"/>
    </row>
    <row r="37" spans="1:37" s="1" customFormat="1" ht="12.75" x14ac:dyDescent="0.2">
      <c r="A37" s="227">
        <v>1995</v>
      </c>
      <c r="B37" s="265" t="s">
        <v>45</v>
      </c>
      <c r="C37" s="266">
        <f>J37+Q37+X37+AE37</f>
        <v>2516</v>
      </c>
      <c r="D37" s="266">
        <f t="shared" ref="D37" si="24">K37+R37+Y37+AF37</f>
        <v>4406</v>
      </c>
      <c r="E37" s="266">
        <f t="shared" ref="E37" si="25">L37+S37+Z37+AG37</f>
        <v>207</v>
      </c>
      <c r="F37" s="266">
        <f t="shared" ref="F37" si="26">M37+T37+AA37+AH37</f>
        <v>901</v>
      </c>
      <c r="G37" s="266">
        <f>N37+U37+AB37+AI37</f>
        <v>0</v>
      </c>
      <c r="H37" s="266">
        <f>O37+V37+AC37+AJ37</f>
        <v>87</v>
      </c>
      <c r="I37" s="266">
        <f>P37+W37+AD37+AK37</f>
        <v>8117</v>
      </c>
      <c r="J37" s="267">
        <v>2516</v>
      </c>
      <c r="K37" s="267">
        <v>4405</v>
      </c>
      <c r="L37" s="267">
        <v>207</v>
      </c>
      <c r="M37" s="267">
        <v>901</v>
      </c>
      <c r="N37" s="267">
        <v>0</v>
      </c>
      <c r="O37" s="267">
        <v>87</v>
      </c>
      <c r="P37" s="267">
        <v>8116</v>
      </c>
      <c r="Q37" s="268"/>
      <c r="R37" s="268">
        <v>1</v>
      </c>
      <c r="S37" s="268"/>
      <c r="T37" s="268"/>
      <c r="U37" s="268"/>
      <c r="V37" s="268"/>
      <c r="W37" s="268">
        <v>1</v>
      </c>
      <c r="X37" s="268"/>
      <c r="Y37" s="268"/>
      <c r="Z37" s="268"/>
      <c r="AA37" s="268"/>
      <c r="AB37" s="268"/>
      <c r="AC37" s="268"/>
      <c r="AD37" s="268">
        <v>0</v>
      </c>
      <c r="AE37" s="268"/>
      <c r="AF37" s="268"/>
      <c r="AG37" s="268"/>
      <c r="AH37" s="268"/>
      <c r="AI37" s="268"/>
      <c r="AJ37" s="268"/>
      <c r="AK37" s="268">
        <v>0</v>
      </c>
    </row>
    <row r="38" spans="1:37" s="1" customFormat="1" ht="12.75" x14ac:dyDescent="0.2">
      <c r="A38" s="207"/>
      <c r="B38" s="281" t="s">
        <v>44</v>
      </c>
      <c r="C38" s="282">
        <f>C37/SUM($C37:$F37)</f>
        <v>0.31332503113325033</v>
      </c>
      <c r="D38" s="282">
        <f>D37/SUM($C37:$F37)</f>
        <v>0.54869240348692405</v>
      </c>
      <c r="E38" s="282">
        <f>E37/SUM($C37:$F37)</f>
        <v>2.5778331257783314E-2</v>
      </c>
      <c r="F38" s="282">
        <f>F37/SUM($C37:$F37)</f>
        <v>0.11220423412204233</v>
      </c>
      <c r="G38" s="281"/>
      <c r="H38" s="281"/>
      <c r="I38" s="281"/>
      <c r="J38" s="282">
        <f>J37/SUM($J37:$M37)</f>
        <v>0.31336405529953915</v>
      </c>
      <c r="K38" s="282">
        <f>K37/SUM($J37:$M37)</f>
        <v>0.54863619379748407</v>
      </c>
      <c r="L38" s="282">
        <f>L37/SUM($J37:$M37)</f>
        <v>2.578154191057417E-2</v>
      </c>
      <c r="M38" s="282">
        <f>M37/SUM($J37:$M37)</f>
        <v>0.11221820899240253</v>
      </c>
      <c r="N38" s="283"/>
      <c r="O38" s="283"/>
      <c r="P38" s="283"/>
      <c r="Q38" s="268"/>
      <c r="R38" s="268"/>
      <c r="S38" s="268"/>
      <c r="T38" s="268"/>
      <c r="U38" s="268"/>
      <c r="V38" s="268"/>
      <c r="W38" s="268"/>
      <c r="X38" s="268"/>
      <c r="Y38" s="268"/>
      <c r="Z38" s="268"/>
      <c r="AA38" s="268"/>
      <c r="AB38" s="268"/>
      <c r="AC38" s="268"/>
      <c r="AD38" s="268"/>
      <c r="AE38" s="268"/>
      <c r="AF38" s="268"/>
      <c r="AG38" s="268"/>
      <c r="AH38" s="268"/>
      <c r="AI38" s="268"/>
      <c r="AJ38" s="268"/>
      <c r="AK38" s="268"/>
    </row>
    <row r="39" spans="1:37" s="1" customFormat="1" ht="12.75" x14ac:dyDescent="0.2">
      <c r="A39" s="228"/>
      <c r="B39" s="284" t="s">
        <v>46</v>
      </c>
      <c r="C39" s="285">
        <f>C38*$I37</f>
        <v>2543.2592777085929</v>
      </c>
      <c r="D39" s="285">
        <f>D38*$I37</f>
        <v>4453.7362391033621</v>
      </c>
      <c r="E39" s="285">
        <f>E38*$I37</f>
        <v>209.24271481942716</v>
      </c>
      <c r="F39" s="285">
        <f>F38*$I37</f>
        <v>910.7617683686176</v>
      </c>
      <c r="G39" s="284"/>
      <c r="H39" s="284"/>
      <c r="I39" s="285">
        <f>SUM(C39:H39)</f>
        <v>8117</v>
      </c>
      <c r="J39" s="285">
        <f>J38*$P37</f>
        <v>2543.2626728110599</v>
      </c>
      <c r="K39" s="285">
        <f>K38*$P37</f>
        <v>4452.7313488603804</v>
      </c>
      <c r="L39" s="285">
        <f>L38*$P37</f>
        <v>209.24299414621996</v>
      </c>
      <c r="M39" s="285">
        <f>M38*$P37</f>
        <v>910.76298418233898</v>
      </c>
      <c r="N39" s="285"/>
      <c r="O39" s="285"/>
      <c r="P39" s="285">
        <f>SUM(J39:O39)</f>
        <v>8115.9999999999991</v>
      </c>
      <c r="Q39" s="270"/>
      <c r="R39" s="270"/>
      <c r="S39" s="270"/>
      <c r="T39" s="270"/>
      <c r="U39" s="270"/>
      <c r="V39" s="270"/>
      <c r="W39" s="270"/>
      <c r="X39" s="270"/>
      <c r="Y39" s="270"/>
      <c r="Z39" s="270"/>
      <c r="AA39" s="270"/>
      <c r="AB39" s="270"/>
      <c r="AC39" s="270"/>
      <c r="AD39" s="270"/>
      <c r="AE39" s="270"/>
      <c r="AF39" s="270"/>
      <c r="AG39" s="270"/>
      <c r="AH39" s="270"/>
      <c r="AI39" s="270"/>
      <c r="AJ39" s="270"/>
      <c r="AK39" s="270"/>
    </row>
    <row r="40" spans="1:37" s="1" customFormat="1" ht="12.75" x14ac:dyDescent="0.2">
      <c r="A40" s="227">
        <v>1996</v>
      </c>
      <c r="B40" s="265" t="s">
        <v>45</v>
      </c>
      <c r="C40" s="266">
        <f>J40+Q40+X40+AE40</f>
        <v>309</v>
      </c>
      <c r="D40" s="266">
        <f t="shared" ref="D40" si="27">K40+R40+Y40+AF40</f>
        <v>6497</v>
      </c>
      <c r="E40" s="266">
        <f t="shared" ref="E40" si="28">L40+S40+Z40+AG40</f>
        <v>0</v>
      </c>
      <c r="F40" s="266">
        <f t="shared" ref="F40" si="29">M40+T40+AA40+AH40</f>
        <v>0</v>
      </c>
      <c r="G40" s="266">
        <f>N40+U40+AB40+AI40</f>
        <v>0</v>
      </c>
      <c r="H40" s="266">
        <f>O40+V40+AC40+AJ40</f>
        <v>135</v>
      </c>
      <c r="I40" s="266">
        <f>P40+W40+AD40+AK40</f>
        <v>6941</v>
      </c>
      <c r="J40" s="267">
        <v>288</v>
      </c>
      <c r="K40" s="267">
        <v>5842</v>
      </c>
      <c r="L40" s="267">
        <v>0</v>
      </c>
      <c r="M40" s="267">
        <v>0</v>
      </c>
      <c r="N40" s="267">
        <v>0</v>
      </c>
      <c r="O40" s="267">
        <v>110</v>
      </c>
      <c r="P40" s="267">
        <v>6239</v>
      </c>
      <c r="Q40" s="268">
        <v>1</v>
      </c>
      <c r="R40" s="268">
        <v>36</v>
      </c>
      <c r="S40" s="268">
        <v>0</v>
      </c>
      <c r="T40" s="268">
        <v>0</v>
      </c>
      <c r="U40" s="268">
        <v>0</v>
      </c>
      <c r="V40" s="268">
        <v>0</v>
      </c>
      <c r="W40" s="268">
        <v>37</v>
      </c>
      <c r="X40" s="268">
        <v>0</v>
      </c>
      <c r="Y40" s="268">
        <v>0</v>
      </c>
      <c r="Z40" s="268">
        <v>0</v>
      </c>
      <c r="AA40" s="268">
        <v>0</v>
      </c>
      <c r="AB40" s="268">
        <v>0</v>
      </c>
      <c r="AC40" s="268">
        <v>0</v>
      </c>
      <c r="AD40" s="268">
        <v>0</v>
      </c>
      <c r="AE40" s="268">
        <v>20</v>
      </c>
      <c r="AF40" s="268">
        <v>619</v>
      </c>
      <c r="AG40" s="268">
        <v>0</v>
      </c>
      <c r="AH40" s="268">
        <v>0</v>
      </c>
      <c r="AI40" s="268">
        <v>0</v>
      </c>
      <c r="AJ40" s="268">
        <v>25</v>
      </c>
      <c r="AK40" s="268">
        <v>665</v>
      </c>
    </row>
    <row r="41" spans="1:37" s="1" customFormat="1" ht="12.75" x14ac:dyDescent="0.2">
      <c r="A41" s="207"/>
      <c r="B41" s="281" t="s">
        <v>44</v>
      </c>
      <c r="C41" s="282">
        <f>C40/SUM($C40:$F40)</f>
        <v>4.5401116661769027E-2</v>
      </c>
      <c r="D41" s="282">
        <f>D40/SUM($C40:$F40)</f>
        <v>0.95459888333823095</v>
      </c>
      <c r="E41" s="282">
        <f>E40/SUM($C40:$F40)</f>
        <v>0</v>
      </c>
      <c r="F41" s="282">
        <f>F40/SUM($C40:$F40)</f>
        <v>0</v>
      </c>
      <c r="G41" s="281"/>
      <c r="H41" s="281"/>
      <c r="I41" s="281"/>
      <c r="J41" s="282">
        <f>J40/SUM($J40:$M40)</f>
        <v>4.6982055464926592E-2</v>
      </c>
      <c r="K41" s="282">
        <f>K40/SUM($J40:$M40)</f>
        <v>0.95301794453507338</v>
      </c>
      <c r="L41" s="282">
        <f>L40/SUM($J40:$M40)</f>
        <v>0</v>
      </c>
      <c r="M41" s="282">
        <f>M40/SUM($J40:$M40)</f>
        <v>0</v>
      </c>
      <c r="N41" s="283"/>
      <c r="O41" s="283"/>
      <c r="P41" s="283"/>
      <c r="Q41" s="268"/>
      <c r="R41" s="268"/>
      <c r="S41" s="268"/>
      <c r="T41" s="268"/>
      <c r="U41" s="268"/>
      <c r="V41" s="268"/>
      <c r="W41" s="268"/>
      <c r="X41" s="268"/>
      <c r="Y41" s="268"/>
      <c r="Z41" s="268"/>
      <c r="AA41" s="268"/>
      <c r="AB41" s="268"/>
      <c r="AC41" s="268"/>
      <c r="AD41" s="268"/>
      <c r="AE41" s="268"/>
      <c r="AF41" s="268"/>
      <c r="AG41" s="268"/>
      <c r="AH41" s="268"/>
      <c r="AI41" s="268"/>
      <c r="AJ41" s="268"/>
      <c r="AK41" s="268"/>
    </row>
    <row r="42" spans="1:37" s="1" customFormat="1" ht="12.75" x14ac:dyDescent="0.2">
      <c r="A42" s="228"/>
      <c r="B42" s="284" t="s">
        <v>46</v>
      </c>
      <c r="C42" s="285">
        <f>C41*$I40</f>
        <v>315.12915074933881</v>
      </c>
      <c r="D42" s="285">
        <f>D41*$I40</f>
        <v>6625.8708492506612</v>
      </c>
      <c r="E42" s="285">
        <f>E41*$I40</f>
        <v>0</v>
      </c>
      <c r="F42" s="285">
        <f>F41*$I40</f>
        <v>0</v>
      </c>
      <c r="G42" s="284"/>
      <c r="H42" s="284"/>
      <c r="I42" s="285">
        <f>SUM(C42:H42)</f>
        <v>6941</v>
      </c>
      <c r="J42" s="285">
        <f>J41*$P40</f>
        <v>293.12104404567702</v>
      </c>
      <c r="K42" s="285">
        <f>K41*$P40</f>
        <v>5945.8789559543229</v>
      </c>
      <c r="L42" s="285">
        <f>L41*$P40</f>
        <v>0</v>
      </c>
      <c r="M42" s="285">
        <f>M41*$P40</f>
        <v>0</v>
      </c>
      <c r="N42" s="285"/>
      <c r="O42" s="285"/>
      <c r="P42" s="285">
        <f>SUM(J42:O42)</f>
        <v>6239</v>
      </c>
      <c r="Q42" s="270"/>
      <c r="R42" s="270"/>
      <c r="S42" s="270"/>
      <c r="T42" s="270"/>
      <c r="U42" s="270"/>
      <c r="V42" s="270"/>
      <c r="W42" s="270"/>
      <c r="X42" s="270"/>
      <c r="Y42" s="270"/>
      <c r="Z42" s="270"/>
      <c r="AA42" s="270"/>
      <c r="AB42" s="270"/>
      <c r="AC42" s="270"/>
      <c r="AD42" s="270"/>
      <c r="AE42" s="270"/>
      <c r="AF42" s="270"/>
      <c r="AG42" s="270"/>
      <c r="AH42" s="270"/>
      <c r="AI42" s="270"/>
      <c r="AJ42" s="270"/>
      <c r="AK42" s="270"/>
    </row>
    <row r="43" spans="1:37" s="1" customFormat="1" ht="12.75" x14ac:dyDescent="0.2">
      <c r="A43" s="227">
        <v>1997</v>
      </c>
      <c r="B43" s="265" t="s">
        <v>45</v>
      </c>
      <c r="C43" s="266">
        <f>J43+Q43+X43+AE43</f>
        <v>336</v>
      </c>
      <c r="D43" s="266">
        <f t="shared" ref="D43" si="30">K43+R43+Y43+AF43</f>
        <v>2763</v>
      </c>
      <c r="E43" s="266">
        <f t="shared" ref="E43" si="31">L43+S43+Z43+AG43</f>
        <v>0</v>
      </c>
      <c r="F43" s="266">
        <f t="shared" ref="F43" si="32">M43+T43+AA43+AH43</f>
        <v>28</v>
      </c>
      <c r="G43" s="266">
        <f>N43+U43+AB43+AI43</f>
        <v>0</v>
      </c>
      <c r="H43" s="266">
        <f>O43+V43+AC43+AJ43</f>
        <v>7</v>
      </c>
      <c r="I43" s="266">
        <f>P43+W43+AD43+AK43</f>
        <v>3134</v>
      </c>
      <c r="J43" s="267">
        <v>189</v>
      </c>
      <c r="K43" s="267">
        <v>2298</v>
      </c>
      <c r="L43" s="267">
        <v>0</v>
      </c>
      <c r="M43" s="267">
        <v>23</v>
      </c>
      <c r="N43" s="267">
        <v>0</v>
      </c>
      <c r="O43" s="267">
        <v>6</v>
      </c>
      <c r="P43" s="267">
        <v>2515</v>
      </c>
      <c r="Q43" s="268">
        <v>10</v>
      </c>
      <c r="R43" s="268">
        <v>24</v>
      </c>
      <c r="S43" s="268">
        <v>0</v>
      </c>
      <c r="T43" s="268">
        <v>0</v>
      </c>
      <c r="U43" s="268">
        <v>0</v>
      </c>
      <c r="V43" s="268">
        <v>0</v>
      </c>
      <c r="W43" s="268">
        <v>34</v>
      </c>
      <c r="X43" s="268">
        <v>0</v>
      </c>
      <c r="Y43" s="268">
        <v>0</v>
      </c>
      <c r="Z43" s="268">
        <v>0</v>
      </c>
      <c r="AA43" s="268">
        <v>0</v>
      </c>
      <c r="AB43" s="268">
        <v>0</v>
      </c>
      <c r="AC43" s="268">
        <v>0</v>
      </c>
      <c r="AD43" s="268">
        <v>0</v>
      </c>
      <c r="AE43" s="268">
        <v>137</v>
      </c>
      <c r="AF43" s="268">
        <v>441</v>
      </c>
      <c r="AG43" s="268">
        <v>0</v>
      </c>
      <c r="AH43" s="268">
        <v>5</v>
      </c>
      <c r="AI43" s="268">
        <v>0</v>
      </c>
      <c r="AJ43" s="268">
        <v>1</v>
      </c>
      <c r="AK43" s="268">
        <v>585</v>
      </c>
    </row>
    <row r="44" spans="1:37" s="1" customFormat="1" ht="12.75" x14ac:dyDescent="0.2">
      <c r="A44" s="207"/>
      <c r="B44" s="281" t="s">
        <v>44</v>
      </c>
      <c r="C44" s="282">
        <f>C43/SUM($C43:$F43)</f>
        <v>0.10745123121202431</v>
      </c>
      <c r="D44" s="282">
        <f>D43/SUM($C43:$F43)</f>
        <v>0.883594499520307</v>
      </c>
      <c r="E44" s="282">
        <f>E43/SUM($C43:$F43)</f>
        <v>0</v>
      </c>
      <c r="F44" s="282">
        <f>F43/SUM($C43:$F43)</f>
        <v>8.9542692676686918E-3</v>
      </c>
      <c r="G44" s="281"/>
      <c r="H44" s="281"/>
      <c r="I44" s="281"/>
      <c r="J44" s="282">
        <f>J43/SUM($J43:$M43)</f>
        <v>7.5298804780876499E-2</v>
      </c>
      <c r="K44" s="282">
        <f>K43/SUM($J43:$M43)</f>
        <v>0.91553784860557774</v>
      </c>
      <c r="L44" s="282">
        <f>L43/SUM($J43:$M43)</f>
        <v>0</v>
      </c>
      <c r="M44" s="282">
        <f>M43/SUM($J43:$M43)</f>
        <v>9.1633466135458159E-3</v>
      </c>
      <c r="N44" s="283"/>
      <c r="O44" s="283"/>
      <c r="P44" s="283"/>
      <c r="Q44" s="268"/>
      <c r="R44" s="268"/>
      <c r="S44" s="268"/>
      <c r="T44" s="268"/>
      <c r="U44" s="268"/>
      <c r="V44" s="268"/>
      <c r="W44" s="268"/>
      <c r="X44" s="268"/>
      <c r="Y44" s="268"/>
      <c r="Z44" s="268"/>
      <c r="AA44" s="268"/>
      <c r="AB44" s="268"/>
      <c r="AC44" s="268"/>
      <c r="AD44" s="268"/>
      <c r="AE44" s="268"/>
      <c r="AF44" s="268"/>
      <c r="AG44" s="268"/>
      <c r="AH44" s="268"/>
      <c r="AI44" s="268"/>
      <c r="AJ44" s="268"/>
      <c r="AK44" s="268"/>
    </row>
    <row r="45" spans="1:37" s="1" customFormat="1" ht="12.75" x14ac:dyDescent="0.2">
      <c r="A45" s="228"/>
      <c r="B45" s="284" t="s">
        <v>46</v>
      </c>
      <c r="C45" s="285">
        <f>C44*$I43</f>
        <v>336.7521586184842</v>
      </c>
      <c r="D45" s="285">
        <f>D44*$I43</f>
        <v>2769.1851614966422</v>
      </c>
      <c r="E45" s="285">
        <f>E44*$I43</f>
        <v>0</v>
      </c>
      <c r="F45" s="285">
        <f>F44*$I43</f>
        <v>28.062679884873681</v>
      </c>
      <c r="G45" s="284"/>
      <c r="H45" s="284"/>
      <c r="I45" s="285">
        <f>SUM(C45:H45)</f>
        <v>3134.0000000000005</v>
      </c>
      <c r="J45" s="285">
        <f>J44*$P43</f>
        <v>189.3764940239044</v>
      </c>
      <c r="K45" s="285">
        <f>K44*$P43</f>
        <v>2302.5776892430281</v>
      </c>
      <c r="L45" s="285">
        <f>L44*$P43</f>
        <v>0</v>
      </c>
      <c r="M45" s="285">
        <f>M44*$P43</f>
        <v>23.045816733067728</v>
      </c>
      <c r="N45" s="285"/>
      <c r="O45" s="285"/>
      <c r="P45" s="285">
        <f>SUM(J45:O45)</f>
        <v>2515</v>
      </c>
      <c r="Q45" s="270"/>
      <c r="R45" s="270"/>
      <c r="S45" s="270"/>
      <c r="T45" s="270"/>
      <c r="U45" s="270"/>
      <c r="V45" s="270"/>
      <c r="W45" s="270"/>
      <c r="X45" s="270"/>
      <c r="Y45" s="270"/>
      <c r="Z45" s="270"/>
      <c r="AA45" s="270"/>
      <c r="AB45" s="270"/>
      <c r="AC45" s="270"/>
      <c r="AD45" s="270"/>
      <c r="AE45" s="270"/>
      <c r="AF45" s="270"/>
      <c r="AG45" s="270"/>
      <c r="AH45" s="270"/>
      <c r="AI45" s="270"/>
      <c r="AJ45" s="270"/>
      <c r="AK45" s="270"/>
    </row>
    <row r="46" spans="1:37" s="1" customFormat="1" ht="12.75" x14ac:dyDescent="0.2">
      <c r="A46" s="227">
        <v>1998</v>
      </c>
      <c r="B46" s="265" t="s">
        <v>45</v>
      </c>
      <c r="C46" s="266">
        <f>J46+Q46+X46+AE46</f>
        <v>785</v>
      </c>
      <c r="D46" s="266">
        <f t="shared" ref="D46" si="33">K46+R46+Y46+AF46</f>
        <v>593</v>
      </c>
      <c r="E46" s="266">
        <f t="shared" ref="E46" si="34">L46+S46+Z46+AG46</f>
        <v>4</v>
      </c>
      <c r="F46" s="266">
        <f t="shared" ref="F46" si="35">M46+T46+AA46+AH46</f>
        <v>14</v>
      </c>
      <c r="G46" s="266">
        <f>N46+U46+AB46+AI46</f>
        <v>0</v>
      </c>
      <c r="H46" s="266">
        <f>O46+V46+AC46+AJ46</f>
        <v>0</v>
      </c>
      <c r="I46" s="266">
        <f>P46+W46+AD46+AK46</f>
        <v>1396</v>
      </c>
      <c r="J46" s="267">
        <v>111</v>
      </c>
      <c r="K46" s="267">
        <v>393</v>
      </c>
      <c r="L46" s="267">
        <v>1</v>
      </c>
      <c r="M46" s="267">
        <v>7</v>
      </c>
      <c r="N46" s="267">
        <v>0</v>
      </c>
      <c r="O46" s="267">
        <v>0</v>
      </c>
      <c r="P46" s="267">
        <v>513</v>
      </c>
      <c r="Q46" s="268">
        <v>35</v>
      </c>
      <c r="R46" s="268">
        <v>0</v>
      </c>
      <c r="S46" s="268">
        <v>0</v>
      </c>
      <c r="T46" s="268">
        <v>0</v>
      </c>
      <c r="U46" s="268">
        <v>0</v>
      </c>
      <c r="V46" s="268">
        <v>0</v>
      </c>
      <c r="W46" s="268">
        <v>36</v>
      </c>
      <c r="X46" s="268">
        <v>0</v>
      </c>
      <c r="Y46" s="268">
        <v>0</v>
      </c>
      <c r="Z46" s="268">
        <v>0</v>
      </c>
      <c r="AA46" s="268">
        <v>0</v>
      </c>
      <c r="AB46" s="268">
        <v>0</v>
      </c>
      <c r="AC46" s="268">
        <v>0</v>
      </c>
      <c r="AD46" s="268">
        <v>0</v>
      </c>
      <c r="AE46" s="268">
        <v>639</v>
      </c>
      <c r="AF46" s="268">
        <v>200</v>
      </c>
      <c r="AG46" s="268">
        <v>3</v>
      </c>
      <c r="AH46" s="268">
        <v>7</v>
      </c>
      <c r="AI46" s="268">
        <v>0</v>
      </c>
      <c r="AJ46" s="268">
        <v>0</v>
      </c>
      <c r="AK46" s="268">
        <v>847</v>
      </c>
    </row>
    <row r="47" spans="1:37" s="1" customFormat="1" ht="12.75" x14ac:dyDescent="0.2">
      <c r="A47" s="207"/>
      <c r="B47" s="281" t="s">
        <v>44</v>
      </c>
      <c r="C47" s="282">
        <f>C46/SUM($C46:$F46)</f>
        <v>0.56232091690544417</v>
      </c>
      <c r="D47" s="282">
        <f>D46/SUM($C46:$F46)</f>
        <v>0.42478510028653294</v>
      </c>
      <c r="E47" s="282">
        <f>E46/SUM($C46:$F46)</f>
        <v>2.8653295128939827E-3</v>
      </c>
      <c r="F47" s="282">
        <f>F46/SUM($C46:$F46)</f>
        <v>1.0028653295128941E-2</v>
      </c>
      <c r="G47" s="281"/>
      <c r="H47" s="281"/>
      <c r="I47" s="281"/>
      <c r="J47" s="282">
        <f>J46/SUM($J46:$M46)</f>
        <v>0.216796875</v>
      </c>
      <c r="K47" s="282">
        <f>K46/SUM($J46:$M46)</f>
        <v>0.767578125</v>
      </c>
      <c r="L47" s="282">
        <f>L46/SUM($J46:$M46)</f>
        <v>1.953125E-3</v>
      </c>
      <c r="M47" s="282">
        <f>M46/SUM($J46:$M46)</f>
        <v>1.3671875E-2</v>
      </c>
      <c r="N47" s="283"/>
      <c r="O47" s="283"/>
      <c r="P47" s="283"/>
      <c r="Q47" s="268"/>
      <c r="R47" s="268"/>
      <c r="S47" s="268"/>
      <c r="T47" s="268"/>
      <c r="U47" s="268"/>
      <c r="V47" s="268"/>
      <c r="W47" s="268"/>
      <c r="X47" s="268"/>
      <c r="Y47" s="268"/>
      <c r="Z47" s="268"/>
      <c r="AA47" s="268"/>
      <c r="AB47" s="268"/>
      <c r="AC47" s="268"/>
      <c r="AD47" s="268"/>
      <c r="AE47" s="268"/>
      <c r="AF47" s="268"/>
      <c r="AG47" s="268"/>
      <c r="AH47" s="268"/>
      <c r="AI47" s="268"/>
      <c r="AJ47" s="268"/>
      <c r="AK47" s="268"/>
    </row>
    <row r="48" spans="1:37" s="1" customFormat="1" ht="12.75" x14ac:dyDescent="0.2">
      <c r="A48" s="228"/>
      <c r="B48" s="284" t="s">
        <v>46</v>
      </c>
      <c r="C48" s="285">
        <f>C47*$I46</f>
        <v>785.00000000000011</v>
      </c>
      <c r="D48" s="285">
        <f>D47*$I46</f>
        <v>593</v>
      </c>
      <c r="E48" s="285">
        <f>E47*$I46</f>
        <v>4</v>
      </c>
      <c r="F48" s="285">
        <f>F47*$I46</f>
        <v>14.000000000000002</v>
      </c>
      <c r="G48" s="284"/>
      <c r="H48" s="284"/>
      <c r="I48" s="285">
        <f>SUM(C48:H48)</f>
        <v>1396</v>
      </c>
      <c r="J48" s="285">
        <f>J47*$P46</f>
        <v>111.216796875</v>
      </c>
      <c r="K48" s="285">
        <f>K47*$P46</f>
        <v>393.767578125</v>
      </c>
      <c r="L48" s="285">
        <f>L47*$P46</f>
        <v>1.001953125</v>
      </c>
      <c r="M48" s="285">
        <f>M47*$P46</f>
        <v>7.013671875</v>
      </c>
      <c r="N48" s="285"/>
      <c r="O48" s="285"/>
      <c r="P48" s="285">
        <f>SUM(J48:O48)</f>
        <v>513</v>
      </c>
      <c r="Q48" s="270"/>
      <c r="R48" s="270"/>
      <c r="S48" s="270"/>
      <c r="T48" s="270"/>
      <c r="U48" s="270"/>
      <c r="V48" s="270"/>
      <c r="W48" s="270"/>
      <c r="X48" s="270"/>
      <c r="Y48" s="270"/>
      <c r="Z48" s="270"/>
      <c r="AA48" s="270"/>
      <c r="AB48" s="270"/>
      <c r="AC48" s="270"/>
      <c r="AD48" s="270"/>
      <c r="AE48" s="270"/>
      <c r="AF48" s="270"/>
      <c r="AG48" s="270"/>
      <c r="AH48" s="270"/>
      <c r="AI48" s="270"/>
      <c r="AJ48" s="270"/>
      <c r="AK48" s="270"/>
    </row>
    <row r="49" spans="1:37" s="1" customFormat="1" ht="12.75" x14ac:dyDescent="0.2">
      <c r="A49" s="227">
        <v>1999</v>
      </c>
      <c r="B49" s="265" t="s">
        <v>45</v>
      </c>
      <c r="C49" s="266">
        <f>J49+Q49+X49+AE49</f>
        <v>543</v>
      </c>
      <c r="D49" s="266">
        <f t="shared" ref="D49" si="36">K49+R49+Y49+AF49</f>
        <v>970</v>
      </c>
      <c r="E49" s="266">
        <f t="shared" ref="E49" si="37">L49+S49+Z49+AG49</f>
        <v>4</v>
      </c>
      <c r="F49" s="266">
        <f t="shared" ref="F49" si="38">M49+T49+AA49+AH49</f>
        <v>18</v>
      </c>
      <c r="G49" s="266">
        <f>N49+U49+AB49+AI49</f>
        <v>0</v>
      </c>
      <c r="H49" s="266">
        <f>O49+V49+AC49+AJ49</f>
        <v>11</v>
      </c>
      <c r="I49" s="266">
        <f>P49+W49+AD49+AK49</f>
        <v>1547</v>
      </c>
      <c r="J49" s="267">
        <v>510</v>
      </c>
      <c r="K49" s="267">
        <v>950</v>
      </c>
      <c r="L49" s="267">
        <v>4</v>
      </c>
      <c r="M49" s="267">
        <v>17</v>
      </c>
      <c r="N49" s="267">
        <v>0</v>
      </c>
      <c r="O49" s="267">
        <v>11</v>
      </c>
      <c r="P49" s="267">
        <v>1492</v>
      </c>
      <c r="Q49" s="268"/>
      <c r="R49" s="268"/>
      <c r="S49" s="268"/>
      <c r="T49" s="268"/>
      <c r="U49" s="268"/>
      <c r="V49" s="268"/>
      <c r="W49" s="268">
        <v>0</v>
      </c>
      <c r="X49" s="268">
        <v>2</v>
      </c>
      <c r="Y49" s="268">
        <v>0</v>
      </c>
      <c r="Z49" s="268">
        <v>0</v>
      </c>
      <c r="AA49" s="268">
        <v>0</v>
      </c>
      <c r="AB49" s="268">
        <v>0</v>
      </c>
      <c r="AC49" s="268">
        <v>0</v>
      </c>
      <c r="AD49" s="268">
        <v>2</v>
      </c>
      <c r="AE49" s="268">
        <v>31</v>
      </c>
      <c r="AF49" s="268">
        <v>20</v>
      </c>
      <c r="AG49" s="268">
        <v>0</v>
      </c>
      <c r="AH49" s="268">
        <v>1</v>
      </c>
      <c r="AI49" s="268">
        <v>0</v>
      </c>
      <c r="AJ49" s="268">
        <v>0</v>
      </c>
      <c r="AK49" s="268">
        <v>53</v>
      </c>
    </row>
    <row r="50" spans="1:37" s="1" customFormat="1" ht="12.75" x14ac:dyDescent="0.2">
      <c r="A50" s="207"/>
      <c r="B50" s="281" t="s">
        <v>44</v>
      </c>
      <c r="C50" s="282">
        <f>C49/SUM($C49:$F49)</f>
        <v>0.35374592833876223</v>
      </c>
      <c r="D50" s="282">
        <f>D49/SUM($C49:$F49)</f>
        <v>0.63192182410423448</v>
      </c>
      <c r="E50" s="282">
        <f>E49/SUM($C49:$F49)</f>
        <v>2.6058631921824105E-3</v>
      </c>
      <c r="F50" s="282">
        <f>F49/SUM($C49:$F49)</f>
        <v>1.1726384364820847E-2</v>
      </c>
      <c r="G50" s="281"/>
      <c r="H50" s="281"/>
      <c r="I50" s="281"/>
      <c r="J50" s="282">
        <f>J49/SUM($J49:$M49)</f>
        <v>0.34436191762322754</v>
      </c>
      <c r="K50" s="282">
        <f>K49/SUM($J49:$M49)</f>
        <v>0.64145847400405132</v>
      </c>
      <c r="L50" s="282">
        <f>L49/SUM($J49:$M49)</f>
        <v>2.7008777852802163E-3</v>
      </c>
      <c r="M50" s="282">
        <f>M49/SUM($J49:$M49)</f>
        <v>1.1478730587440918E-2</v>
      </c>
      <c r="N50" s="283"/>
      <c r="O50" s="283"/>
      <c r="P50" s="283"/>
      <c r="Q50" s="268"/>
      <c r="R50" s="268"/>
      <c r="S50" s="268"/>
      <c r="T50" s="268"/>
      <c r="U50" s="268"/>
      <c r="V50" s="268"/>
      <c r="W50" s="268"/>
      <c r="X50" s="268"/>
      <c r="Y50" s="268"/>
      <c r="Z50" s="268"/>
      <c r="AA50" s="268"/>
      <c r="AB50" s="268"/>
      <c r="AC50" s="268"/>
      <c r="AD50" s="268"/>
      <c r="AE50" s="268"/>
      <c r="AF50" s="268"/>
      <c r="AG50" s="268"/>
      <c r="AH50" s="268"/>
      <c r="AI50" s="268"/>
      <c r="AJ50" s="268"/>
      <c r="AK50" s="268"/>
    </row>
    <row r="51" spans="1:37" s="1" customFormat="1" ht="12.75" x14ac:dyDescent="0.2">
      <c r="A51" s="228"/>
      <c r="B51" s="284" t="s">
        <v>46</v>
      </c>
      <c r="C51" s="285">
        <f>C50*$I49</f>
        <v>547.24495114006515</v>
      </c>
      <c r="D51" s="285">
        <f>D50*$I49</f>
        <v>977.58306188925076</v>
      </c>
      <c r="E51" s="285">
        <f>E50*$I49</f>
        <v>4.0312703583061893</v>
      </c>
      <c r="F51" s="285">
        <f>F50*$I49</f>
        <v>18.140716612377851</v>
      </c>
      <c r="G51" s="284"/>
      <c r="H51" s="284"/>
      <c r="I51" s="285">
        <f>SUM(C51:H51)</f>
        <v>1547.0000000000002</v>
      </c>
      <c r="J51" s="285">
        <f>J50*$P49</f>
        <v>513.78798109385548</v>
      </c>
      <c r="K51" s="285">
        <f>K50*$P49</f>
        <v>957.05604321404451</v>
      </c>
      <c r="L51" s="285">
        <f>L50*$P49</f>
        <v>4.0297096556380829</v>
      </c>
      <c r="M51" s="285">
        <f>M50*$P49</f>
        <v>17.12626603646185</v>
      </c>
      <c r="N51" s="285"/>
      <c r="O51" s="285"/>
      <c r="P51" s="285">
        <f>SUM(J51:O51)</f>
        <v>1491.9999999999998</v>
      </c>
      <c r="Q51" s="270"/>
      <c r="R51" s="270"/>
      <c r="S51" s="270"/>
      <c r="T51" s="270"/>
      <c r="U51" s="270"/>
      <c r="V51" s="270"/>
      <c r="W51" s="270"/>
      <c r="X51" s="270"/>
      <c r="Y51" s="270"/>
      <c r="Z51" s="270"/>
      <c r="AA51" s="270"/>
      <c r="AB51" s="270"/>
      <c r="AC51" s="270"/>
      <c r="AD51" s="270"/>
      <c r="AE51" s="270"/>
      <c r="AF51" s="270"/>
      <c r="AG51" s="270"/>
      <c r="AH51" s="270"/>
      <c r="AI51" s="270"/>
      <c r="AJ51" s="270"/>
      <c r="AK51" s="270"/>
    </row>
    <row r="52" spans="1:37" s="1" customFormat="1" ht="12.75" x14ac:dyDescent="0.2">
      <c r="A52" s="227">
        <v>2000</v>
      </c>
      <c r="B52" s="265" t="s">
        <v>45</v>
      </c>
      <c r="C52" s="266">
        <f>J52+Q52+X52+AE52</f>
        <v>3105</v>
      </c>
      <c r="D52" s="266">
        <f t="shared" ref="D52" si="39">K52+R52+Y52+AF52</f>
        <v>6627</v>
      </c>
      <c r="E52" s="266">
        <f t="shared" ref="E52" si="40">L52+S52+Z52+AG52</f>
        <v>9</v>
      </c>
      <c r="F52" s="266">
        <f t="shared" ref="F52" si="41">M52+T52+AA52+AH52</f>
        <v>0</v>
      </c>
      <c r="G52" s="266">
        <f>N52+U52+AB52+AI52</f>
        <v>0</v>
      </c>
      <c r="H52" s="266">
        <f>O52+V52+AC52+AJ52</f>
        <v>102</v>
      </c>
      <c r="I52" s="266">
        <f>P52+W52+AD52+AK52</f>
        <v>9841</v>
      </c>
      <c r="J52" s="267">
        <v>2738</v>
      </c>
      <c r="K52" s="267">
        <v>6248</v>
      </c>
      <c r="L52" s="267">
        <v>8</v>
      </c>
      <c r="M52" s="267">
        <v>0</v>
      </c>
      <c r="N52" s="267">
        <v>0</v>
      </c>
      <c r="O52" s="267">
        <v>91</v>
      </c>
      <c r="P52" s="267">
        <v>9085</v>
      </c>
      <c r="Q52" s="268">
        <v>28</v>
      </c>
      <c r="R52" s="268">
        <v>35</v>
      </c>
      <c r="S52" s="268">
        <v>0</v>
      </c>
      <c r="T52" s="268">
        <v>0</v>
      </c>
      <c r="U52" s="268">
        <v>0</v>
      </c>
      <c r="V52" s="268">
        <v>0</v>
      </c>
      <c r="W52" s="268">
        <v>63</v>
      </c>
      <c r="X52" s="268">
        <v>77</v>
      </c>
      <c r="Y52" s="268">
        <v>53</v>
      </c>
      <c r="Z52" s="268">
        <v>0</v>
      </c>
      <c r="AA52" s="268">
        <v>0</v>
      </c>
      <c r="AB52" s="268">
        <v>0</v>
      </c>
      <c r="AC52" s="268">
        <v>1</v>
      </c>
      <c r="AD52" s="268">
        <v>130</v>
      </c>
      <c r="AE52" s="268">
        <v>262</v>
      </c>
      <c r="AF52" s="268">
        <v>291</v>
      </c>
      <c r="AG52" s="268">
        <v>1</v>
      </c>
      <c r="AH52" s="268">
        <v>0</v>
      </c>
      <c r="AI52" s="268">
        <v>0</v>
      </c>
      <c r="AJ52" s="268">
        <v>10</v>
      </c>
      <c r="AK52" s="268">
        <v>563</v>
      </c>
    </row>
    <row r="53" spans="1:37" s="1" customFormat="1" ht="12.75" x14ac:dyDescent="0.2">
      <c r="A53" s="207"/>
      <c r="B53" s="281" t="s">
        <v>44</v>
      </c>
      <c r="C53" s="282">
        <f>C52/SUM($C52:$F52)</f>
        <v>0.31875577456113335</v>
      </c>
      <c r="D53" s="282">
        <f>D52/SUM($C52:$F52)</f>
        <v>0.68032029565753005</v>
      </c>
      <c r="E53" s="282">
        <f>E52/SUM($C52:$F52)</f>
        <v>9.2392978133661843E-4</v>
      </c>
      <c r="F53" s="282">
        <f>F52/SUM($C52:$F52)</f>
        <v>0</v>
      </c>
      <c r="G53" s="281"/>
      <c r="H53" s="281"/>
      <c r="I53" s="281"/>
      <c r="J53" s="282">
        <f>J52/SUM($J52:$M52)</f>
        <v>0.30442517233711364</v>
      </c>
      <c r="K53" s="282">
        <f>K52/SUM($J52:$M52)</f>
        <v>0.69468534578607966</v>
      </c>
      <c r="L53" s="282">
        <f>L52/SUM($J52:$M52)</f>
        <v>8.8948187680676003E-4</v>
      </c>
      <c r="M53" s="282">
        <f>M52/SUM($J52:$M52)</f>
        <v>0</v>
      </c>
      <c r="N53" s="283"/>
      <c r="O53" s="283"/>
      <c r="P53" s="283"/>
      <c r="Q53" s="268"/>
      <c r="R53" s="268"/>
      <c r="S53" s="268"/>
      <c r="T53" s="268"/>
      <c r="U53" s="268"/>
      <c r="V53" s="268"/>
      <c r="W53" s="268"/>
      <c r="X53" s="268"/>
      <c r="Y53" s="268"/>
      <c r="Z53" s="268"/>
      <c r="AA53" s="268"/>
      <c r="AB53" s="268"/>
      <c r="AC53" s="268"/>
      <c r="AD53" s="268"/>
      <c r="AE53" s="268"/>
      <c r="AF53" s="268"/>
      <c r="AG53" s="268"/>
      <c r="AH53" s="268"/>
      <c r="AI53" s="268"/>
      <c r="AJ53" s="268"/>
      <c r="AK53" s="268"/>
    </row>
    <row r="54" spans="1:37" s="1" customFormat="1" ht="12.75" x14ac:dyDescent="0.2">
      <c r="A54" s="228"/>
      <c r="B54" s="284" t="s">
        <v>46</v>
      </c>
      <c r="C54" s="285">
        <f>C53*$I52</f>
        <v>3136.8755774561132</v>
      </c>
      <c r="D54" s="285">
        <f>D53*$I52</f>
        <v>6695.032029565753</v>
      </c>
      <c r="E54" s="285">
        <f>E53*$I52</f>
        <v>9.0923929781336614</v>
      </c>
      <c r="F54" s="285">
        <f>F53*$I52</f>
        <v>0</v>
      </c>
      <c r="G54" s="284"/>
      <c r="H54" s="284"/>
      <c r="I54" s="285">
        <f>SUM(C54:H54)</f>
        <v>9840.9999999999982</v>
      </c>
      <c r="J54" s="285">
        <f>J53*$P52</f>
        <v>2765.7026906826773</v>
      </c>
      <c r="K54" s="285">
        <f>K53*$P52</f>
        <v>6311.2163664665341</v>
      </c>
      <c r="L54" s="285">
        <f>L53*$P52</f>
        <v>8.0809428507894143</v>
      </c>
      <c r="M54" s="285">
        <f>M53*$P52</f>
        <v>0</v>
      </c>
      <c r="N54" s="285"/>
      <c r="O54" s="285"/>
      <c r="P54" s="285">
        <f>SUM(J54:O54)</f>
        <v>9085</v>
      </c>
      <c r="Q54" s="270"/>
      <c r="R54" s="270"/>
      <c r="S54" s="270"/>
      <c r="T54" s="270"/>
      <c r="U54" s="270"/>
      <c r="V54" s="270"/>
      <c r="W54" s="270"/>
      <c r="X54" s="270"/>
      <c r="Y54" s="270"/>
      <c r="Z54" s="270"/>
      <c r="AA54" s="270"/>
      <c r="AB54" s="270"/>
      <c r="AC54" s="270"/>
      <c r="AD54" s="270"/>
      <c r="AE54" s="270"/>
      <c r="AF54" s="270"/>
      <c r="AG54" s="270"/>
      <c r="AH54" s="270"/>
      <c r="AI54" s="270"/>
      <c r="AJ54" s="270"/>
      <c r="AK54" s="270"/>
    </row>
    <row r="55" spans="1:37" s="1" customFormat="1" ht="12.75" x14ac:dyDescent="0.2">
      <c r="A55" s="227">
        <v>2001</v>
      </c>
      <c r="B55" s="265" t="s">
        <v>45</v>
      </c>
      <c r="C55" s="266">
        <f>J55+Q55+X55+AE55</f>
        <v>3440</v>
      </c>
      <c r="D55" s="266">
        <f t="shared" ref="D55" si="42">K55+R55+Y55+AF55</f>
        <v>9801</v>
      </c>
      <c r="E55" s="266">
        <f t="shared" ref="E55" si="43">L55+S55+Z55+AG55</f>
        <v>0</v>
      </c>
      <c r="F55" s="266">
        <f t="shared" ref="F55" si="44">M55+T55+AA55+AH55</f>
        <v>28</v>
      </c>
      <c r="G55" s="266">
        <f>N55+U55+AB55+AI55</f>
        <v>0</v>
      </c>
      <c r="H55" s="266">
        <f>O55+V55+AC55+AJ55</f>
        <v>43</v>
      </c>
      <c r="I55" s="266">
        <f>P55+W55+AD55+AK55</f>
        <v>13314</v>
      </c>
      <c r="J55" s="267">
        <v>2078</v>
      </c>
      <c r="K55" s="267">
        <v>7377</v>
      </c>
      <c r="L55" s="267">
        <v>0</v>
      </c>
      <c r="M55" s="267">
        <v>20</v>
      </c>
      <c r="N55" s="267">
        <v>0</v>
      </c>
      <c r="O55" s="267">
        <v>25</v>
      </c>
      <c r="P55" s="267">
        <v>9501</v>
      </c>
      <c r="Q55" s="268">
        <v>0</v>
      </c>
      <c r="R55" s="268">
        <v>404</v>
      </c>
      <c r="S55" s="268">
        <v>0</v>
      </c>
      <c r="T55" s="268">
        <v>1</v>
      </c>
      <c r="U55" s="268">
        <v>0</v>
      </c>
      <c r="V55" s="268">
        <v>2</v>
      </c>
      <c r="W55" s="268">
        <v>407</v>
      </c>
      <c r="X55" s="268">
        <v>0</v>
      </c>
      <c r="Y55" s="268">
        <v>26</v>
      </c>
      <c r="Z55" s="268">
        <v>0</v>
      </c>
      <c r="AA55" s="268">
        <v>0</v>
      </c>
      <c r="AB55" s="268">
        <v>0</v>
      </c>
      <c r="AC55" s="268">
        <v>0</v>
      </c>
      <c r="AD55" s="268">
        <v>26</v>
      </c>
      <c r="AE55" s="268">
        <v>1362</v>
      </c>
      <c r="AF55" s="268">
        <v>1994</v>
      </c>
      <c r="AG55" s="268">
        <v>0</v>
      </c>
      <c r="AH55" s="268">
        <v>7</v>
      </c>
      <c r="AI55" s="268">
        <v>0</v>
      </c>
      <c r="AJ55" s="268">
        <v>16</v>
      </c>
      <c r="AK55" s="268">
        <v>3380</v>
      </c>
    </row>
    <row r="56" spans="1:37" s="1" customFormat="1" ht="12.75" x14ac:dyDescent="0.2">
      <c r="A56" s="207"/>
      <c r="B56" s="281" t="s">
        <v>44</v>
      </c>
      <c r="C56" s="282">
        <f>C55/SUM($C55:$F55)</f>
        <v>0.25925088552264675</v>
      </c>
      <c r="D56" s="282">
        <f>D55/SUM($C55:$F55)</f>
        <v>0.73863893285100612</v>
      </c>
      <c r="E56" s="282">
        <f>E55/SUM($C55:$F55)</f>
        <v>0</v>
      </c>
      <c r="F56" s="282">
        <f>F55/SUM($C55:$F55)</f>
        <v>2.1101816263471248E-3</v>
      </c>
      <c r="G56" s="281"/>
      <c r="H56" s="281"/>
      <c r="I56" s="281"/>
      <c r="J56" s="282">
        <f>J55/SUM($J55:$M55)</f>
        <v>0.21931398416886544</v>
      </c>
      <c r="K56" s="282">
        <f>K55/SUM($J55:$M55)</f>
        <v>0.77857519788918206</v>
      </c>
      <c r="L56" s="282">
        <f>L55/SUM($J55:$M55)</f>
        <v>0</v>
      </c>
      <c r="M56" s="282">
        <f>M55/SUM($J55:$M55)</f>
        <v>2.1108179419525065E-3</v>
      </c>
      <c r="N56" s="283"/>
      <c r="O56" s="283"/>
      <c r="P56" s="283"/>
      <c r="Q56" s="268"/>
      <c r="R56" s="268"/>
      <c r="S56" s="268"/>
      <c r="T56" s="268"/>
      <c r="U56" s="268"/>
      <c r="V56" s="268"/>
      <c r="W56" s="268"/>
      <c r="X56" s="268"/>
      <c r="Y56" s="268"/>
      <c r="Z56" s="268"/>
      <c r="AA56" s="268"/>
      <c r="AB56" s="268"/>
      <c r="AC56" s="268"/>
      <c r="AD56" s="268"/>
      <c r="AE56" s="268"/>
      <c r="AF56" s="268"/>
      <c r="AG56" s="268"/>
      <c r="AH56" s="268"/>
      <c r="AI56" s="268"/>
      <c r="AJ56" s="268"/>
      <c r="AK56" s="268"/>
    </row>
    <row r="57" spans="1:37" s="1" customFormat="1" ht="12.75" x14ac:dyDescent="0.2">
      <c r="A57" s="228"/>
      <c r="B57" s="284" t="s">
        <v>46</v>
      </c>
      <c r="C57" s="285">
        <f>C56*$I55</f>
        <v>3451.6662898485188</v>
      </c>
      <c r="D57" s="285">
        <f>D56*$I55</f>
        <v>9834.2387519782951</v>
      </c>
      <c r="E57" s="285">
        <f>E56*$I55</f>
        <v>0</v>
      </c>
      <c r="F57" s="285">
        <f>F56*$I55</f>
        <v>28.094958173185621</v>
      </c>
      <c r="G57" s="284"/>
      <c r="H57" s="284"/>
      <c r="I57" s="285">
        <f>SUM(C57:H57)</f>
        <v>13314</v>
      </c>
      <c r="J57" s="285">
        <f>J56*$P55</f>
        <v>2083.7021635883907</v>
      </c>
      <c r="K57" s="285">
        <f>K56*$P55</f>
        <v>7397.2429551451187</v>
      </c>
      <c r="L57" s="285">
        <f>L56*$P55</f>
        <v>0</v>
      </c>
      <c r="M57" s="285">
        <f>M56*$P55</f>
        <v>20.054881266490764</v>
      </c>
      <c r="N57" s="285"/>
      <c r="O57" s="285"/>
      <c r="P57" s="285">
        <f>SUM(J57:O57)</f>
        <v>9501</v>
      </c>
      <c r="Q57" s="270"/>
      <c r="R57" s="270"/>
      <c r="S57" s="270"/>
      <c r="T57" s="270"/>
      <c r="U57" s="270"/>
      <c r="V57" s="270"/>
      <c r="W57" s="270"/>
      <c r="X57" s="270"/>
      <c r="Y57" s="270"/>
      <c r="Z57" s="270"/>
      <c r="AA57" s="270"/>
      <c r="AB57" s="270"/>
      <c r="AC57" s="270"/>
      <c r="AD57" s="270"/>
      <c r="AE57" s="270"/>
      <c r="AF57" s="270"/>
      <c r="AG57" s="270"/>
      <c r="AH57" s="270"/>
      <c r="AI57" s="270"/>
      <c r="AJ57" s="270"/>
      <c r="AK57" s="270"/>
    </row>
    <row r="58" spans="1:37" s="1" customFormat="1" ht="12.75" x14ac:dyDescent="0.2">
      <c r="A58" s="227">
        <v>2002</v>
      </c>
      <c r="B58" s="265" t="s">
        <v>45</v>
      </c>
      <c r="C58" s="266">
        <f>J58+Q58+X58+AE58</f>
        <v>3095</v>
      </c>
      <c r="D58" s="266">
        <f t="shared" ref="D58" si="45">K58+R58+Y58+AF58</f>
        <v>3701</v>
      </c>
      <c r="E58" s="266">
        <f t="shared" ref="E58" si="46">L58+S58+Z58+AG58</f>
        <v>24</v>
      </c>
      <c r="F58" s="266">
        <f t="shared" ref="F58" si="47">M58+T58+AA58+AH58</f>
        <v>9</v>
      </c>
      <c r="G58" s="266">
        <f>N58+U58+AB58+AI58</f>
        <v>0</v>
      </c>
      <c r="H58" s="266">
        <f>O58+V58+AC58+AJ58</f>
        <v>10</v>
      </c>
      <c r="I58" s="266">
        <f>P58+W58+AD58+AK58</f>
        <v>6841</v>
      </c>
      <c r="J58" s="267">
        <v>2943</v>
      </c>
      <c r="K58" s="267">
        <v>3088</v>
      </c>
      <c r="L58" s="267">
        <v>21</v>
      </c>
      <c r="M58" s="267">
        <v>8</v>
      </c>
      <c r="N58" s="267">
        <v>0</v>
      </c>
      <c r="O58" s="267">
        <v>10</v>
      </c>
      <c r="P58" s="267">
        <v>6070</v>
      </c>
      <c r="Q58" s="268">
        <v>18</v>
      </c>
      <c r="R58" s="268">
        <v>387</v>
      </c>
      <c r="S58" s="268">
        <v>2</v>
      </c>
      <c r="T58" s="268">
        <v>1</v>
      </c>
      <c r="U58" s="268">
        <v>0</v>
      </c>
      <c r="V58" s="268">
        <v>0</v>
      </c>
      <c r="W58" s="268">
        <v>408</v>
      </c>
      <c r="X58" s="268">
        <v>91</v>
      </c>
      <c r="Y58" s="268">
        <v>172</v>
      </c>
      <c r="Z58" s="268">
        <v>1</v>
      </c>
      <c r="AA58" s="268">
        <v>0</v>
      </c>
      <c r="AB58" s="268">
        <v>0</v>
      </c>
      <c r="AC58" s="268">
        <v>0</v>
      </c>
      <c r="AD58" s="268">
        <v>265</v>
      </c>
      <c r="AE58" s="268">
        <v>43</v>
      </c>
      <c r="AF58" s="268">
        <v>54</v>
      </c>
      <c r="AG58" s="268">
        <v>0</v>
      </c>
      <c r="AH58" s="268">
        <v>0</v>
      </c>
      <c r="AI58" s="268">
        <v>0</v>
      </c>
      <c r="AJ58" s="268">
        <v>0</v>
      </c>
      <c r="AK58" s="268">
        <v>98</v>
      </c>
    </row>
    <row r="59" spans="1:37" s="1" customFormat="1" ht="12.75" x14ac:dyDescent="0.2">
      <c r="A59" s="207"/>
      <c r="B59" s="281" t="s">
        <v>44</v>
      </c>
      <c r="C59" s="282">
        <f>C58/SUM($C58:$F58)</f>
        <v>0.45321423341631278</v>
      </c>
      <c r="D59" s="282">
        <f>D58/SUM($C58:$F58)</f>
        <v>0.54195343388490258</v>
      </c>
      <c r="E59" s="282">
        <f>E58/SUM($C58:$F58)</f>
        <v>3.5144237809342509E-3</v>
      </c>
      <c r="F59" s="282">
        <f>F58/SUM($C58:$F58)</f>
        <v>1.3179089178503441E-3</v>
      </c>
      <c r="G59" s="281"/>
      <c r="H59" s="281"/>
      <c r="I59" s="281"/>
      <c r="J59" s="282">
        <f>J58/SUM($J58:$M58)</f>
        <v>0.48564356435643563</v>
      </c>
      <c r="K59" s="282">
        <f>K58/SUM($J58:$M58)</f>
        <v>0.50957095709570954</v>
      </c>
      <c r="L59" s="282">
        <f>L58/SUM($J58:$M58)</f>
        <v>3.4653465346534654E-3</v>
      </c>
      <c r="M59" s="282">
        <f>M58/SUM($J58:$M58)</f>
        <v>1.3201320132013201E-3</v>
      </c>
      <c r="N59" s="283"/>
      <c r="O59" s="283"/>
      <c r="P59" s="283"/>
      <c r="Q59" s="268"/>
      <c r="R59" s="268"/>
      <c r="S59" s="268"/>
      <c r="T59" s="268"/>
      <c r="U59" s="268"/>
      <c r="V59" s="268"/>
      <c r="W59" s="268"/>
      <c r="X59" s="268"/>
      <c r="Y59" s="268"/>
      <c r="Z59" s="268"/>
      <c r="AA59" s="268"/>
      <c r="AB59" s="268"/>
      <c r="AC59" s="268"/>
      <c r="AD59" s="268"/>
      <c r="AE59" s="268"/>
      <c r="AF59" s="268"/>
      <c r="AG59" s="268"/>
      <c r="AH59" s="268"/>
      <c r="AI59" s="268"/>
      <c r="AJ59" s="268"/>
      <c r="AK59" s="268"/>
    </row>
    <row r="60" spans="1:37" s="1" customFormat="1" ht="12.75" x14ac:dyDescent="0.2">
      <c r="A60" s="228"/>
      <c r="B60" s="284" t="s">
        <v>46</v>
      </c>
      <c r="C60" s="285">
        <f>C59*$I58</f>
        <v>3100.4385708009959</v>
      </c>
      <c r="D60" s="285">
        <f>D59*$I58</f>
        <v>3707.5034412066184</v>
      </c>
      <c r="E60" s="285">
        <f>E59*$I58</f>
        <v>24.042173085371211</v>
      </c>
      <c r="F60" s="285">
        <f>F59*$I58</f>
        <v>9.0158149070142048</v>
      </c>
      <c r="G60" s="284"/>
      <c r="H60" s="284"/>
      <c r="I60" s="285">
        <f>SUM(C60:H60)</f>
        <v>6840.9999999999991</v>
      </c>
      <c r="J60" s="285">
        <f>J59*$P58</f>
        <v>2947.8564356435641</v>
      </c>
      <c r="K60" s="285">
        <f>K59*$P58</f>
        <v>3093.0957095709568</v>
      </c>
      <c r="L60" s="285">
        <f>L59*$P58</f>
        <v>21.034653465346533</v>
      </c>
      <c r="M60" s="285">
        <f>M59*$P58</f>
        <v>8.0132013201320138</v>
      </c>
      <c r="N60" s="285"/>
      <c r="O60" s="285"/>
      <c r="P60" s="285">
        <f>SUM(J60:O60)</f>
        <v>6069.9999999999991</v>
      </c>
      <c r="Q60" s="270"/>
      <c r="R60" s="270"/>
      <c r="S60" s="270"/>
      <c r="T60" s="270"/>
      <c r="U60" s="270"/>
      <c r="V60" s="270"/>
      <c r="W60" s="270"/>
      <c r="X60" s="270"/>
      <c r="Y60" s="270"/>
      <c r="Z60" s="270"/>
      <c r="AA60" s="270"/>
      <c r="AB60" s="270"/>
      <c r="AC60" s="270"/>
      <c r="AD60" s="270"/>
      <c r="AE60" s="270"/>
      <c r="AF60" s="270"/>
      <c r="AG60" s="270"/>
      <c r="AH60" s="270"/>
      <c r="AI60" s="270"/>
      <c r="AJ60" s="270"/>
      <c r="AK60" s="270"/>
    </row>
    <row r="61" spans="1:37" s="1" customFormat="1" ht="12.75" x14ac:dyDescent="0.2">
      <c r="A61" s="264">
        <v>2003</v>
      </c>
      <c r="B61" s="265" t="s">
        <v>45</v>
      </c>
      <c r="C61" s="266">
        <f>J61+Q61+X61+AE61</f>
        <v>703</v>
      </c>
      <c r="D61" s="266">
        <f t="shared" ref="D61" si="48">K61+R61+Y61+AF61</f>
        <v>13868</v>
      </c>
      <c r="E61" s="266">
        <f t="shared" ref="E61" si="49">L61+S61+Z61+AG61</f>
        <v>9</v>
      </c>
      <c r="F61" s="266">
        <f t="shared" ref="F61" si="50">M61+T61+AA61+AH61</f>
        <v>0</v>
      </c>
      <c r="G61" s="266">
        <f>N61+U61+AB61+AI61</f>
        <v>0</v>
      </c>
      <c r="H61" s="266">
        <f>O61+V61+AC61+AJ61</f>
        <v>0</v>
      </c>
      <c r="I61" s="266">
        <f>P61+W61+AD61+AK61</f>
        <v>14579</v>
      </c>
      <c r="J61" s="267">
        <v>399</v>
      </c>
      <c r="K61" s="267">
        <v>5641</v>
      </c>
      <c r="L61" s="267">
        <v>3</v>
      </c>
      <c r="M61" s="267">
        <v>0</v>
      </c>
      <c r="N61" s="267">
        <v>0</v>
      </c>
      <c r="O61" s="267">
        <v>0</v>
      </c>
      <c r="P61" s="267">
        <v>6043</v>
      </c>
      <c r="Q61" s="268">
        <v>235</v>
      </c>
      <c r="R61" s="269">
        <v>6513</v>
      </c>
      <c r="S61" s="268">
        <v>5</v>
      </c>
      <c r="T61" s="268">
        <v>0</v>
      </c>
      <c r="U61" s="268">
        <v>0</v>
      </c>
      <c r="V61" s="268">
        <v>0</v>
      </c>
      <c r="W61" s="269">
        <v>6753</v>
      </c>
      <c r="X61" s="268">
        <v>12</v>
      </c>
      <c r="Y61" s="268">
        <v>286</v>
      </c>
      <c r="Z61" s="268">
        <v>0</v>
      </c>
      <c r="AA61" s="268">
        <v>0</v>
      </c>
      <c r="AB61" s="268">
        <v>0</v>
      </c>
      <c r="AC61" s="268">
        <v>0</v>
      </c>
      <c r="AD61" s="268">
        <v>298</v>
      </c>
      <c r="AE61" s="268">
        <v>57</v>
      </c>
      <c r="AF61" s="268">
        <v>1428</v>
      </c>
      <c r="AG61" s="268">
        <v>1</v>
      </c>
      <c r="AH61" s="268">
        <v>0</v>
      </c>
      <c r="AI61" s="268">
        <v>0</v>
      </c>
      <c r="AJ61" s="268">
        <v>0</v>
      </c>
      <c r="AK61" s="268">
        <v>1485</v>
      </c>
    </row>
    <row r="62" spans="1:37" s="1" customFormat="1" ht="12.75" x14ac:dyDescent="0.2">
      <c r="A62" s="207"/>
      <c r="B62" s="281" t="s">
        <v>44</v>
      </c>
      <c r="C62" s="282">
        <f>C61/SUM($C61:$F61)</f>
        <v>4.8216735253772292E-2</v>
      </c>
      <c r="D62" s="282">
        <f>D61/SUM($C61:$F61)</f>
        <v>0.95116598079561043</v>
      </c>
      <c r="E62" s="282">
        <f>E61/SUM($C61:$F61)</f>
        <v>6.1728395061728394E-4</v>
      </c>
      <c r="F62" s="282">
        <f>F61/SUM($C61:$F61)</f>
        <v>0</v>
      </c>
      <c r="G62" s="281"/>
      <c r="H62" s="281"/>
      <c r="I62" s="281"/>
      <c r="J62" s="282">
        <f>J61/SUM($J61:$M61)</f>
        <v>6.6026807876882337E-2</v>
      </c>
      <c r="K62" s="282">
        <f>K61/SUM($J61:$M61)</f>
        <v>0.93347674995862984</v>
      </c>
      <c r="L62" s="282">
        <f>L61/SUM($J61:$M61)</f>
        <v>4.9644216448783713E-4</v>
      </c>
      <c r="M62" s="282">
        <f>M61/SUM($J61:$M61)</f>
        <v>0</v>
      </c>
      <c r="N62" s="283"/>
      <c r="O62" s="283"/>
      <c r="P62" s="283"/>
      <c r="Q62" s="268"/>
      <c r="R62" s="268"/>
      <c r="S62" s="268"/>
      <c r="T62" s="268"/>
      <c r="U62" s="268"/>
      <c r="V62" s="268"/>
      <c r="W62" s="268"/>
      <c r="X62" s="268"/>
      <c r="Y62" s="268"/>
      <c r="Z62" s="268"/>
      <c r="AA62" s="268"/>
      <c r="AB62" s="268"/>
      <c r="AC62" s="268"/>
      <c r="AD62" s="268"/>
      <c r="AE62" s="268"/>
      <c r="AF62" s="268"/>
      <c r="AG62" s="268"/>
      <c r="AH62" s="268"/>
      <c r="AI62" s="268"/>
      <c r="AJ62" s="268"/>
      <c r="AK62" s="268"/>
    </row>
    <row r="63" spans="1:37" s="1" customFormat="1" ht="12.75" x14ac:dyDescent="0.2">
      <c r="A63" s="228"/>
      <c r="B63" s="284" t="s">
        <v>46</v>
      </c>
      <c r="C63" s="285">
        <f>C62*$I61</f>
        <v>702.95178326474627</v>
      </c>
      <c r="D63" s="285">
        <f>D62*$I61</f>
        <v>13867.048834019204</v>
      </c>
      <c r="E63" s="285">
        <f>E62*$I61</f>
        <v>8.9993827160493822</v>
      </c>
      <c r="F63" s="285">
        <f>F62*$I61</f>
        <v>0</v>
      </c>
      <c r="G63" s="284"/>
      <c r="H63" s="284"/>
      <c r="I63" s="285">
        <f>SUM(C63:H63)</f>
        <v>14579</v>
      </c>
      <c r="J63" s="285">
        <f>J62*$P61</f>
        <v>398.99999999999994</v>
      </c>
      <c r="K63" s="285">
        <f>K62*$P61</f>
        <v>5641</v>
      </c>
      <c r="L63" s="285">
        <f>L62*$P61</f>
        <v>2.9999999999999996</v>
      </c>
      <c r="M63" s="285">
        <f>M62*$P61</f>
        <v>0</v>
      </c>
      <c r="N63" s="285"/>
      <c r="O63" s="285"/>
      <c r="P63" s="285">
        <f>SUM(J63:O63)</f>
        <v>6043</v>
      </c>
      <c r="Q63" s="270"/>
      <c r="R63" s="270"/>
      <c r="S63" s="270"/>
      <c r="T63" s="270"/>
      <c r="U63" s="270"/>
      <c r="V63" s="270"/>
      <c r="W63" s="270"/>
      <c r="X63" s="270"/>
      <c r="Y63" s="270"/>
      <c r="Z63" s="270"/>
      <c r="AA63" s="270"/>
      <c r="AB63" s="270"/>
      <c r="AC63" s="270"/>
      <c r="AD63" s="270"/>
      <c r="AE63" s="270"/>
      <c r="AF63" s="270"/>
      <c r="AG63" s="270"/>
      <c r="AH63" s="270"/>
      <c r="AI63" s="270"/>
      <c r="AJ63" s="270"/>
      <c r="AK63" s="270"/>
    </row>
    <row r="64" spans="1:37" s="1" customFormat="1" ht="12.75" x14ac:dyDescent="0.2">
      <c r="A64" s="227">
        <v>2004</v>
      </c>
      <c r="B64" s="265" t="s">
        <v>45</v>
      </c>
      <c r="C64" s="266">
        <f>J64+Q64+X64+AE64</f>
        <v>1061</v>
      </c>
      <c r="D64" s="266">
        <f t="shared" ref="D64" si="51">K64+R64+Y64+AF64</f>
        <v>10836</v>
      </c>
      <c r="E64" s="266">
        <f t="shared" ref="E64" si="52">L64+S64+Z64+AG64</f>
        <v>18</v>
      </c>
      <c r="F64" s="266">
        <f t="shared" ref="F64" si="53">M64+T64+AA64+AH64</f>
        <v>58</v>
      </c>
      <c r="G64" s="266">
        <f>N64+U64+AB64+AI64</f>
        <v>0</v>
      </c>
      <c r="H64" s="266">
        <f>O64+V64+AC64+AJ64</f>
        <v>9</v>
      </c>
      <c r="I64" s="266">
        <f>P64+W64+AD64+AK64</f>
        <v>11982</v>
      </c>
      <c r="J64" s="267">
        <v>507</v>
      </c>
      <c r="K64" s="267">
        <v>6700</v>
      </c>
      <c r="L64" s="267">
        <v>11</v>
      </c>
      <c r="M64" s="267">
        <v>32</v>
      </c>
      <c r="N64" s="267">
        <v>0</v>
      </c>
      <c r="O64" s="267">
        <v>6</v>
      </c>
      <c r="P64" s="267">
        <v>7256</v>
      </c>
      <c r="Q64" s="268">
        <v>364</v>
      </c>
      <c r="R64" s="269">
        <v>2942</v>
      </c>
      <c r="S64" s="268">
        <v>6</v>
      </c>
      <c r="T64" s="268">
        <v>18</v>
      </c>
      <c r="U64" s="268">
        <v>0</v>
      </c>
      <c r="V64" s="268">
        <v>2</v>
      </c>
      <c r="W64" s="269">
        <v>3332</v>
      </c>
      <c r="X64" s="268">
        <v>0</v>
      </c>
      <c r="Y64" s="268">
        <v>274</v>
      </c>
      <c r="Z64" s="268">
        <v>0</v>
      </c>
      <c r="AA64" s="268">
        <v>3</v>
      </c>
      <c r="AB64" s="268">
        <v>0</v>
      </c>
      <c r="AC64" s="268">
        <v>0</v>
      </c>
      <c r="AD64" s="268">
        <v>277</v>
      </c>
      <c r="AE64" s="268">
        <v>190</v>
      </c>
      <c r="AF64" s="268">
        <v>920</v>
      </c>
      <c r="AG64" s="268">
        <v>1</v>
      </c>
      <c r="AH64" s="268">
        <v>5</v>
      </c>
      <c r="AI64" s="268">
        <v>0</v>
      </c>
      <c r="AJ64" s="268">
        <v>1</v>
      </c>
      <c r="AK64" s="268">
        <v>1117</v>
      </c>
    </row>
    <row r="65" spans="1:37" s="1" customFormat="1" ht="12.75" x14ac:dyDescent="0.2">
      <c r="A65" s="207"/>
      <c r="B65" s="281" t="s">
        <v>44</v>
      </c>
      <c r="C65" s="282">
        <f>C64/SUM($C64:$F64)</f>
        <v>8.8616052785433899E-2</v>
      </c>
      <c r="D65" s="282">
        <f>D64/SUM($C64:$F64)</f>
        <v>0.9050363317464295</v>
      </c>
      <c r="E65" s="282">
        <f>E64/SUM($C64:$F64)</f>
        <v>1.5033826108744675E-3</v>
      </c>
      <c r="F65" s="282">
        <f>F64/SUM($C64:$F64)</f>
        <v>4.8442328572621731E-3</v>
      </c>
      <c r="G65" s="281"/>
      <c r="H65" s="281"/>
      <c r="I65" s="281"/>
      <c r="J65" s="282">
        <f>J64/SUM($J64:$M64)</f>
        <v>6.9931034482758614E-2</v>
      </c>
      <c r="K65" s="282">
        <f>K64/SUM($J64:$M64)</f>
        <v>0.92413793103448272</v>
      </c>
      <c r="L65" s="282">
        <f>L64/SUM($J64:$M64)</f>
        <v>1.5172413793103448E-3</v>
      </c>
      <c r="M65" s="282">
        <f>M64/SUM($J64:$M64)</f>
        <v>4.413793103448276E-3</v>
      </c>
      <c r="N65" s="283"/>
      <c r="O65" s="283"/>
      <c r="P65" s="283"/>
      <c r="Q65" s="268"/>
      <c r="R65" s="268"/>
      <c r="S65" s="268"/>
      <c r="T65" s="268"/>
      <c r="U65" s="268"/>
      <c r="V65" s="268"/>
      <c r="W65" s="268"/>
      <c r="X65" s="268"/>
      <c r="Y65" s="268"/>
      <c r="Z65" s="268"/>
      <c r="AA65" s="268"/>
      <c r="AB65" s="268"/>
      <c r="AC65" s="268"/>
      <c r="AD65" s="268"/>
      <c r="AE65" s="268"/>
      <c r="AF65" s="268"/>
      <c r="AG65" s="268"/>
      <c r="AH65" s="268"/>
      <c r="AI65" s="268"/>
      <c r="AJ65" s="268"/>
      <c r="AK65" s="268"/>
    </row>
    <row r="66" spans="1:37" s="1" customFormat="1" ht="12.75" x14ac:dyDescent="0.2">
      <c r="A66" s="228"/>
      <c r="B66" s="284" t="s">
        <v>46</v>
      </c>
      <c r="C66" s="285">
        <f>C65*$I64</f>
        <v>1061.7975444750689</v>
      </c>
      <c r="D66" s="285">
        <f>D65*$I64</f>
        <v>10844.145326985717</v>
      </c>
      <c r="E66" s="285">
        <f>E65*$I64</f>
        <v>18.013530443497871</v>
      </c>
      <c r="F66" s="285">
        <f>F65*$I64</f>
        <v>58.04359809571536</v>
      </c>
      <c r="G66" s="284"/>
      <c r="H66" s="284"/>
      <c r="I66" s="285">
        <f>SUM(C66:H66)</f>
        <v>11981.999999999998</v>
      </c>
      <c r="J66" s="285">
        <f>J65*$P64</f>
        <v>507.4195862068965</v>
      </c>
      <c r="K66" s="285">
        <f>K65*$P64</f>
        <v>6705.5448275862063</v>
      </c>
      <c r="L66" s="285">
        <f>L65*$P64</f>
        <v>11.009103448275862</v>
      </c>
      <c r="M66" s="285">
        <f>M65*$P64</f>
        <v>32.026482758620688</v>
      </c>
      <c r="N66" s="285"/>
      <c r="O66" s="285"/>
      <c r="P66" s="285">
        <f>SUM(J66:O66)</f>
        <v>7255.9999999999991</v>
      </c>
      <c r="Q66" s="270"/>
      <c r="R66" s="270"/>
      <c r="S66" s="270"/>
      <c r="T66" s="270"/>
      <c r="U66" s="270"/>
      <c r="V66" s="270"/>
      <c r="W66" s="270"/>
      <c r="X66" s="270"/>
      <c r="Y66" s="270"/>
      <c r="Z66" s="270"/>
      <c r="AA66" s="270"/>
      <c r="AB66" s="270"/>
      <c r="AC66" s="270"/>
      <c r="AD66" s="270"/>
      <c r="AE66" s="270"/>
      <c r="AF66" s="270"/>
      <c r="AG66" s="270"/>
      <c r="AH66" s="270"/>
      <c r="AI66" s="270"/>
      <c r="AJ66" s="270"/>
      <c r="AK66" s="270"/>
    </row>
    <row r="67" spans="1:37" s="1" customFormat="1" ht="12.75" x14ac:dyDescent="0.2">
      <c r="A67" s="227">
        <v>2005</v>
      </c>
      <c r="B67" s="265" t="s">
        <v>45</v>
      </c>
      <c r="C67" s="266">
        <f>J67+Q67+X67+AE67</f>
        <v>591</v>
      </c>
      <c r="D67" s="266">
        <f t="shared" ref="D67" si="54">K67+R67+Y67+AF67</f>
        <v>7802</v>
      </c>
      <c r="E67" s="266">
        <f t="shared" ref="E67" si="55">L67+S67+Z67+AG67</f>
        <v>24</v>
      </c>
      <c r="F67" s="266">
        <f t="shared" ref="F67" si="56">M67+T67+AA67+AH67</f>
        <v>224</v>
      </c>
      <c r="G67" s="266">
        <f>N67+U67+AB67+AI67</f>
        <v>0</v>
      </c>
      <c r="H67" s="266">
        <f>O67+V67+AC67+AJ67</f>
        <v>71</v>
      </c>
      <c r="I67" s="266">
        <f>P67+W67+AD67+AK67</f>
        <v>8711</v>
      </c>
      <c r="J67" s="267">
        <v>497</v>
      </c>
      <c r="K67" s="267">
        <v>6081</v>
      </c>
      <c r="L67" s="267">
        <v>21</v>
      </c>
      <c r="M67" s="267">
        <v>180</v>
      </c>
      <c r="N67" s="267">
        <v>0</v>
      </c>
      <c r="O67" s="267">
        <v>31</v>
      </c>
      <c r="P67" s="267">
        <v>6809</v>
      </c>
      <c r="Q67" s="268">
        <v>26</v>
      </c>
      <c r="R67" s="268">
        <v>745</v>
      </c>
      <c r="S67" s="268">
        <v>1</v>
      </c>
      <c r="T67" s="268">
        <v>15</v>
      </c>
      <c r="U67" s="268">
        <v>0</v>
      </c>
      <c r="V67" s="268">
        <v>35</v>
      </c>
      <c r="W67" s="268">
        <v>822</v>
      </c>
      <c r="X67" s="268">
        <v>0</v>
      </c>
      <c r="Y67" s="268">
        <v>62</v>
      </c>
      <c r="Z67" s="268">
        <v>0</v>
      </c>
      <c r="AA67" s="268">
        <v>1</v>
      </c>
      <c r="AB67" s="268">
        <v>0</v>
      </c>
      <c r="AC67" s="268">
        <v>2</v>
      </c>
      <c r="AD67" s="268">
        <v>65</v>
      </c>
      <c r="AE67" s="268">
        <v>68</v>
      </c>
      <c r="AF67" s="268">
        <v>914</v>
      </c>
      <c r="AG67" s="268">
        <v>2</v>
      </c>
      <c r="AH67" s="268">
        <v>28</v>
      </c>
      <c r="AI67" s="268">
        <v>0</v>
      </c>
      <c r="AJ67" s="268">
        <v>3</v>
      </c>
      <c r="AK67" s="268">
        <v>1015</v>
      </c>
    </row>
    <row r="68" spans="1:37" s="1" customFormat="1" ht="12.75" x14ac:dyDescent="0.2">
      <c r="A68" s="207"/>
      <c r="B68" s="281" t="s">
        <v>44</v>
      </c>
      <c r="C68" s="282">
        <f>C67/SUM($C67:$F67)</f>
        <v>6.8394861705821083E-2</v>
      </c>
      <c r="D68" s="282">
        <f>D67/SUM($C67:$F67)</f>
        <v>0.90290475639393586</v>
      </c>
      <c r="E68" s="282">
        <f>E67/SUM($C67:$F67)</f>
        <v>2.7774563129267446E-3</v>
      </c>
      <c r="F68" s="282">
        <f>F67/SUM($C67:$F67)</f>
        <v>2.5922925587316282E-2</v>
      </c>
      <c r="G68" s="281"/>
      <c r="H68" s="281"/>
      <c r="I68" s="281"/>
      <c r="J68" s="282">
        <f>J67/SUM($J67:$M67)</f>
        <v>7.331464817819737E-2</v>
      </c>
      <c r="K68" s="282">
        <f>K67/SUM($J67:$M67)</f>
        <v>0.89703496090868862</v>
      </c>
      <c r="L68" s="282">
        <f>L67/SUM($J67:$M67)</f>
        <v>3.0978020356984804E-3</v>
      </c>
      <c r="M68" s="282">
        <f>M67/SUM($J67:$M67)</f>
        <v>2.6552588877415548E-2</v>
      </c>
      <c r="N68" s="283"/>
      <c r="O68" s="283"/>
      <c r="P68" s="283"/>
      <c r="Q68" s="268"/>
      <c r="R68" s="268"/>
      <c r="S68" s="268"/>
      <c r="T68" s="268"/>
      <c r="U68" s="268"/>
      <c r="V68" s="268"/>
      <c r="W68" s="268"/>
      <c r="X68" s="268"/>
      <c r="Y68" s="268"/>
      <c r="Z68" s="268"/>
      <c r="AA68" s="268"/>
      <c r="AB68" s="268"/>
      <c r="AC68" s="268"/>
      <c r="AD68" s="268"/>
      <c r="AE68" s="268"/>
      <c r="AF68" s="268"/>
      <c r="AG68" s="268"/>
      <c r="AH68" s="268"/>
      <c r="AI68" s="268"/>
      <c r="AJ68" s="268"/>
      <c r="AK68" s="268"/>
    </row>
    <row r="69" spans="1:37" s="1" customFormat="1" ht="12.75" x14ac:dyDescent="0.2">
      <c r="A69" s="228"/>
      <c r="B69" s="284" t="s">
        <v>46</v>
      </c>
      <c r="C69" s="285">
        <f>C68*$I67</f>
        <v>595.7876403194075</v>
      </c>
      <c r="D69" s="285">
        <f>D68*$I67</f>
        <v>7865.2033329475753</v>
      </c>
      <c r="E69" s="285">
        <f>E68*$I67</f>
        <v>24.194421941904871</v>
      </c>
      <c r="F69" s="285">
        <f>F68*$I67</f>
        <v>225.81460479111212</v>
      </c>
      <c r="G69" s="284"/>
      <c r="H69" s="284"/>
      <c r="I69" s="285">
        <f>SUM(C69:H69)</f>
        <v>8711</v>
      </c>
      <c r="J69" s="285">
        <f>J68*$P67</f>
        <v>499.19943944534589</v>
      </c>
      <c r="K69" s="285">
        <f>K68*$P67</f>
        <v>6107.9110488272609</v>
      </c>
      <c r="L69" s="285">
        <f>L68*$P67</f>
        <v>21.092934061070952</v>
      </c>
      <c r="M69" s="285">
        <f>M68*$P67</f>
        <v>180.79657766632246</v>
      </c>
      <c r="N69" s="285"/>
      <c r="O69" s="285"/>
      <c r="P69" s="285">
        <f>SUM(J69:O69)</f>
        <v>6809</v>
      </c>
      <c r="Q69" s="270"/>
      <c r="R69" s="270"/>
      <c r="S69" s="270"/>
      <c r="T69" s="270"/>
      <c r="U69" s="270"/>
      <c r="V69" s="270"/>
      <c r="W69" s="270"/>
      <c r="X69" s="270"/>
      <c r="Y69" s="270"/>
      <c r="Z69" s="270"/>
      <c r="AA69" s="270"/>
      <c r="AB69" s="270"/>
      <c r="AC69" s="270"/>
      <c r="AD69" s="270"/>
      <c r="AE69" s="270"/>
      <c r="AF69" s="270"/>
      <c r="AG69" s="270"/>
      <c r="AH69" s="270"/>
      <c r="AI69" s="270"/>
      <c r="AJ69" s="270"/>
      <c r="AK69" s="270"/>
    </row>
    <row r="70" spans="1:37" s="1" customFormat="1" ht="12.75" x14ac:dyDescent="0.2">
      <c r="A70" s="227">
        <v>2006</v>
      </c>
      <c r="B70" s="265" t="s">
        <v>45</v>
      </c>
      <c r="C70" s="266">
        <f>J70+Q70+X70+AE70</f>
        <v>2345</v>
      </c>
      <c r="D70" s="266">
        <f t="shared" ref="D70" si="57">K70+R70+Y70+AF70</f>
        <v>5186</v>
      </c>
      <c r="E70" s="266">
        <f t="shared" ref="E70" si="58">L70+S70+Z70+AG70</f>
        <v>463</v>
      </c>
      <c r="F70" s="266">
        <f t="shared" ref="F70" si="59">M70+T70+AA70+AH70</f>
        <v>134</v>
      </c>
      <c r="G70" s="266">
        <f>N70+U70+AB70+AI70</f>
        <v>0</v>
      </c>
      <c r="H70" s="266">
        <f>O70+V70+AC70+AJ70</f>
        <v>58</v>
      </c>
      <c r="I70" s="266">
        <f>P70+W70+AD70+AK70</f>
        <v>8185</v>
      </c>
      <c r="J70" s="267">
        <v>1067</v>
      </c>
      <c r="K70" s="267">
        <v>3238</v>
      </c>
      <c r="L70" s="267">
        <v>137</v>
      </c>
      <c r="M70" s="267">
        <v>76</v>
      </c>
      <c r="N70" s="267">
        <v>0</v>
      </c>
      <c r="O70" s="267">
        <v>31</v>
      </c>
      <c r="P70" s="267">
        <v>4550</v>
      </c>
      <c r="Q70" s="268">
        <v>758</v>
      </c>
      <c r="R70" s="269">
        <v>1233</v>
      </c>
      <c r="S70" s="268">
        <v>156</v>
      </c>
      <c r="T70" s="268">
        <v>34</v>
      </c>
      <c r="U70" s="268">
        <v>0</v>
      </c>
      <c r="V70" s="268">
        <v>12</v>
      </c>
      <c r="W70" s="269">
        <v>2192</v>
      </c>
      <c r="X70" s="268">
        <v>377</v>
      </c>
      <c r="Y70" s="268">
        <v>508</v>
      </c>
      <c r="Z70" s="268">
        <v>124</v>
      </c>
      <c r="AA70" s="268">
        <v>17</v>
      </c>
      <c r="AB70" s="268">
        <v>0</v>
      </c>
      <c r="AC70" s="268">
        <v>11</v>
      </c>
      <c r="AD70" s="268">
        <v>1037</v>
      </c>
      <c r="AE70" s="268">
        <v>143</v>
      </c>
      <c r="AF70" s="268">
        <v>207</v>
      </c>
      <c r="AG70" s="268">
        <v>46</v>
      </c>
      <c r="AH70" s="268">
        <v>7</v>
      </c>
      <c r="AI70" s="268">
        <v>0</v>
      </c>
      <c r="AJ70" s="268">
        <v>4</v>
      </c>
      <c r="AK70" s="268">
        <v>406</v>
      </c>
    </row>
    <row r="71" spans="1:37" s="1" customFormat="1" ht="12.75" x14ac:dyDescent="0.2">
      <c r="A71" s="207"/>
      <c r="B71" s="281" t="s">
        <v>44</v>
      </c>
      <c r="C71" s="282">
        <f>C70/SUM($C70:$F70)</f>
        <v>0.28850885826771655</v>
      </c>
      <c r="D71" s="282">
        <f>D70/SUM($C70:$F70)</f>
        <v>0.6380413385826772</v>
      </c>
      <c r="E71" s="282">
        <f>E70/SUM($C70:$F70)</f>
        <v>5.6963582677165357E-2</v>
      </c>
      <c r="F71" s="282">
        <f>F70/SUM($C70:$F70)</f>
        <v>1.6486220472440943E-2</v>
      </c>
      <c r="G71" s="281"/>
      <c r="H71" s="281"/>
      <c r="I71" s="281"/>
      <c r="J71" s="282">
        <f>J70/SUM($J70:$M70)</f>
        <v>0.23616644532979195</v>
      </c>
      <c r="K71" s="282">
        <f>K70/SUM($J70:$M70)</f>
        <v>0.71668880035413896</v>
      </c>
      <c r="L71" s="282">
        <f>L70/SUM($J70:$M70)</f>
        <v>3.0323151837096059E-2</v>
      </c>
      <c r="M71" s="282">
        <f>M70/SUM($J70:$M70)</f>
        <v>1.6821602478972998E-2</v>
      </c>
      <c r="N71" s="283"/>
      <c r="O71" s="283"/>
      <c r="P71" s="283"/>
      <c r="Q71" s="268"/>
      <c r="R71" s="268"/>
      <c r="S71" s="268"/>
      <c r="T71" s="268"/>
      <c r="U71" s="268"/>
      <c r="V71" s="268"/>
      <c r="W71" s="268"/>
      <c r="X71" s="268"/>
      <c r="Y71" s="268"/>
      <c r="Z71" s="268"/>
      <c r="AA71" s="268"/>
      <c r="AB71" s="268"/>
      <c r="AC71" s="268"/>
      <c r="AD71" s="268"/>
      <c r="AE71" s="268"/>
      <c r="AF71" s="268"/>
      <c r="AG71" s="268"/>
      <c r="AH71" s="268"/>
      <c r="AI71" s="268"/>
      <c r="AJ71" s="268"/>
      <c r="AK71" s="268"/>
    </row>
    <row r="72" spans="1:37" s="1" customFormat="1" ht="12.75" x14ac:dyDescent="0.2">
      <c r="A72" s="228"/>
      <c r="B72" s="284" t="s">
        <v>46</v>
      </c>
      <c r="C72" s="285">
        <f>C71*$I70</f>
        <v>2361.4450049212601</v>
      </c>
      <c r="D72" s="285">
        <f>D71*$I70</f>
        <v>5222.3683562992128</v>
      </c>
      <c r="E72" s="285">
        <f>E71*$I70</f>
        <v>466.24692421259846</v>
      </c>
      <c r="F72" s="285">
        <f>F71*$I70</f>
        <v>134.93971456692913</v>
      </c>
      <c r="G72" s="284"/>
      <c r="H72" s="284"/>
      <c r="I72" s="285">
        <f>SUM(C72:H72)</f>
        <v>8185</v>
      </c>
      <c r="J72" s="285">
        <f>J71*$P70</f>
        <v>1074.5573262505534</v>
      </c>
      <c r="K72" s="285">
        <f>K71*$P70</f>
        <v>3260.9340416113323</v>
      </c>
      <c r="L72" s="285">
        <f>L71*$P70</f>
        <v>137.97034085878707</v>
      </c>
      <c r="M72" s="285">
        <f>M71*$P70</f>
        <v>76.53829127932714</v>
      </c>
      <c r="N72" s="285"/>
      <c r="O72" s="285"/>
      <c r="P72" s="285">
        <f>SUM(J72:O72)</f>
        <v>4550.0000000000009</v>
      </c>
      <c r="Q72" s="270"/>
      <c r="R72" s="270"/>
      <c r="S72" s="270"/>
      <c r="T72" s="270"/>
      <c r="U72" s="270"/>
      <c r="V72" s="270"/>
      <c r="W72" s="270"/>
      <c r="X72" s="270"/>
      <c r="Y72" s="270"/>
      <c r="Z72" s="270"/>
      <c r="AA72" s="270"/>
      <c r="AB72" s="270"/>
      <c r="AC72" s="270"/>
      <c r="AD72" s="270"/>
      <c r="AE72" s="270"/>
      <c r="AF72" s="270"/>
      <c r="AG72" s="270"/>
      <c r="AH72" s="270"/>
      <c r="AI72" s="270"/>
      <c r="AJ72" s="270"/>
      <c r="AK72" s="270"/>
    </row>
    <row r="73" spans="1:37" s="1" customFormat="1" ht="12.75" x14ac:dyDescent="0.2">
      <c r="A73" s="227">
        <v>2007</v>
      </c>
      <c r="B73" s="265" t="s">
        <v>45</v>
      </c>
      <c r="C73" s="266">
        <f>J73+Q73+X73+AE73</f>
        <v>874</v>
      </c>
      <c r="D73" s="266">
        <f t="shared" ref="D73" si="60">K73+R73+Y73+AF73</f>
        <v>2213</v>
      </c>
      <c r="E73" s="266">
        <f t="shared" ref="E73" si="61">L73+S73+Z73+AG73</f>
        <v>0</v>
      </c>
      <c r="F73" s="266">
        <f t="shared" ref="F73" si="62">M73+T73+AA73+AH73</f>
        <v>185</v>
      </c>
      <c r="G73" s="266">
        <f>N73+U73+AB73+AI73</f>
        <v>0</v>
      </c>
      <c r="H73" s="266">
        <f>O73+V73+AC73+AJ73</f>
        <v>0</v>
      </c>
      <c r="I73" s="266">
        <f>P73+W73+AD73+AK73</f>
        <v>3271</v>
      </c>
      <c r="J73" s="267">
        <v>694</v>
      </c>
      <c r="K73" s="267">
        <v>1681</v>
      </c>
      <c r="L73" s="267">
        <v>0</v>
      </c>
      <c r="M73" s="267">
        <v>137</v>
      </c>
      <c r="N73" s="267">
        <v>0</v>
      </c>
      <c r="O73" s="267">
        <v>0</v>
      </c>
      <c r="P73" s="267">
        <v>2512</v>
      </c>
      <c r="Q73" s="268">
        <v>51</v>
      </c>
      <c r="R73" s="268">
        <v>135</v>
      </c>
      <c r="S73" s="268">
        <v>0</v>
      </c>
      <c r="T73" s="268">
        <v>11</v>
      </c>
      <c r="U73" s="268">
        <v>0</v>
      </c>
      <c r="V73" s="268">
        <v>0</v>
      </c>
      <c r="W73" s="268">
        <v>197</v>
      </c>
      <c r="X73" s="268">
        <v>0</v>
      </c>
      <c r="Y73" s="268">
        <v>0</v>
      </c>
      <c r="Z73" s="268">
        <v>0</v>
      </c>
      <c r="AA73" s="268">
        <v>0</v>
      </c>
      <c r="AB73" s="268">
        <v>0</v>
      </c>
      <c r="AC73" s="268">
        <v>0</v>
      </c>
      <c r="AD73" s="268">
        <v>0</v>
      </c>
      <c r="AE73" s="268">
        <v>129</v>
      </c>
      <c r="AF73" s="268">
        <v>397</v>
      </c>
      <c r="AG73" s="268">
        <v>0</v>
      </c>
      <c r="AH73" s="268">
        <v>37</v>
      </c>
      <c r="AI73" s="268">
        <v>0</v>
      </c>
      <c r="AJ73" s="268">
        <v>0</v>
      </c>
      <c r="AK73" s="268">
        <v>562</v>
      </c>
    </row>
    <row r="74" spans="1:37" s="1" customFormat="1" ht="12.75" x14ac:dyDescent="0.2">
      <c r="A74" s="207"/>
      <c r="B74" s="281" t="s">
        <v>44</v>
      </c>
      <c r="C74" s="282">
        <f>C73/SUM($C73:$F73)</f>
        <v>0.2671149144254279</v>
      </c>
      <c r="D74" s="282">
        <f>D73/SUM($C73:$F73)</f>
        <v>0.67634474327628358</v>
      </c>
      <c r="E74" s="282">
        <f>E73/SUM($C73:$F73)</f>
        <v>0</v>
      </c>
      <c r="F74" s="282">
        <f>F73/SUM($C73:$F73)</f>
        <v>5.6540342298288505E-2</v>
      </c>
      <c r="G74" s="281"/>
      <c r="H74" s="281"/>
      <c r="I74" s="281"/>
      <c r="J74" s="282">
        <f>J73/SUM($J73:$M73)</f>
        <v>0.27627388535031849</v>
      </c>
      <c r="K74" s="282">
        <f>K73/SUM($J73:$M73)</f>
        <v>0.66918789808917201</v>
      </c>
      <c r="L74" s="282">
        <f>L73/SUM($J73:$M73)</f>
        <v>0</v>
      </c>
      <c r="M74" s="282">
        <f>M73/SUM($J73:$M73)</f>
        <v>5.4538216560509556E-2</v>
      </c>
      <c r="N74" s="283"/>
      <c r="O74" s="283"/>
      <c r="P74" s="283"/>
      <c r="Q74" s="268"/>
      <c r="R74" s="268"/>
      <c r="S74" s="268"/>
      <c r="T74" s="268"/>
      <c r="U74" s="268"/>
      <c r="V74" s="268"/>
      <c r="W74" s="268"/>
      <c r="X74" s="268"/>
      <c r="Y74" s="268"/>
      <c r="Z74" s="268"/>
      <c r="AA74" s="268"/>
      <c r="AB74" s="268"/>
      <c r="AC74" s="268"/>
      <c r="AD74" s="268"/>
      <c r="AE74" s="268"/>
      <c r="AF74" s="268"/>
      <c r="AG74" s="268"/>
      <c r="AH74" s="268"/>
      <c r="AI74" s="268"/>
      <c r="AJ74" s="268"/>
      <c r="AK74" s="268"/>
    </row>
    <row r="75" spans="1:37" s="1" customFormat="1" ht="12.75" x14ac:dyDescent="0.2">
      <c r="A75" s="228"/>
      <c r="B75" s="284" t="s">
        <v>46</v>
      </c>
      <c r="C75" s="285">
        <f>C74*$I73</f>
        <v>873.73288508557459</v>
      </c>
      <c r="D75" s="285">
        <f>D74*$I73</f>
        <v>2212.3236552567237</v>
      </c>
      <c r="E75" s="285">
        <f>E74*$I73</f>
        <v>0</v>
      </c>
      <c r="F75" s="285">
        <f>F74*$I73</f>
        <v>184.94345965770171</v>
      </c>
      <c r="G75" s="284"/>
      <c r="H75" s="284"/>
      <c r="I75" s="285">
        <f>SUM(C75:H75)</f>
        <v>3271</v>
      </c>
      <c r="J75" s="285">
        <f>J74*$P73</f>
        <v>694</v>
      </c>
      <c r="K75" s="285">
        <f>K74*$P73</f>
        <v>1681</v>
      </c>
      <c r="L75" s="285">
        <f>L74*$P73</f>
        <v>0</v>
      </c>
      <c r="M75" s="285">
        <f>M74*$P73</f>
        <v>137</v>
      </c>
      <c r="N75" s="285"/>
      <c r="O75" s="285"/>
      <c r="P75" s="285">
        <f>SUM(J75:O75)</f>
        <v>2512</v>
      </c>
      <c r="Q75" s="270"/>
      <c r="R75" s="270"/>
      <c r="S75" s="270"/>
      <c r="T75" s="270"/>
      <c r="U75" s="270"/>
      <c r="V75" s="270"/>
      <c r="W75" s="270"/>
      <c r="X75" s="270"/>
      <c r="Y75" s="270"/>
      <c r="Z75" s="270"/>
      <c r="AA75" s="270"/>
      <c r="AB75" s="270"/>
      <c r="AC75" s="270"/>
      <c r="AD75" s="270"/>
      <c r="AE75" s="270"/>
      <c r="AF75" s="270"/>
      <c r="AG75" s="270"/>
      <c r="AH75" s="270"/>
      <c r="AI75" s="270"/>
      <c r="AJ75" s="270"/>
      <c r="AK75" s="270"/>
    </row>
    <row r="76" spans="1:37" s="1" customFormat="1" ht="12.75" x14ac:dyDescent="0.2">
      <c r="A76" s="231">
        <v>2008</v>
      </c>
      <c r="B76" s="265" t="s">
        <v>45</v>
      </c>
      <c r="C76" s="266">
        <f>J76+Q76+X76+AE76</f>
        <v>967</v>
      </c>
      <c r="D76" s="266">
        <f t="shared" ref="D76" si="63">K76+R76+Y76+AF76</f>
        <v>4758</v>
      </c>
      <c r="E76" s="266">
        <f t="shared" ref="E76" si="64">L76+S76+Z76+AG76</f>
        <v>0</v>
      </c>
      <c r="F76" s="266">
        <f t="shared" ref="F76" si="65">M76+T76+AA76+AH76</f>
        <v>0</v>
      </c>
      <c r="G76" s="266">
        <f>N76+U76+AB76+AI76</f>
        <v>0</v>
      </c>
      <c r="H76" s="266">
        <f>O76+V76+AC76+AJ76</f>
        <v>7</v>
      </c>
      <c r="I76" s="266">
        <f>P76+W76+AD76+AK76</f>
        <v>5732</v>
      </c>
      <c r="J76" s="268">
        <v>967</v>
      </c>
      <c r="K76" s="269">
        <v>4758</v>
      </c>
      <c r="L76" s="268">
        <v>0</v>
      </c>
      <c r="M76" s="268">
        <v>0</v>
      </c>
      <c r="N76" s="268">
        <v>0</v>
      </c>
      <c r="O76" s="268">
        <v>7</v>
      </c>
      <c r="P76" s="269">
        <v>5732</v>
      </c>
      <c r="Q76" s="268">
        <v>0</v>
      </c>
      <c r="R76" s="268">
        <v>0</v>
      </c>
      <c r="S76" s="268">
        <v>0</v>
      </c>
      <c r="T76" s="268">
        <v>0</v>
      </c>
      <c r="U76" s="268">
        <v>0</v>
      </c>
      <c r="V76" s="268">
        <v>0</v>
      </c>
      <c r="W76" s="268">
        <v>0</v>
      </c>
      <c r="X76" s="268">
        <v>0</v>
      </c>
      <c r="Y76" s="268">
        <v>0</v>
      </c>
      <c r="Z76" s="268">
        <v>0</v>
      </c>
      <c r="AA76" s="268">
        <v>0</v>
      </c>
      <c r="AB76" s="268">
        <v>0</v>
      </c>
      <c r="AC76" s="268">
        <v>0</v>
      </c>
      <c r="AD76" s="268">
        <v>0</v>
      </c>
      <c r="AE76" s="268">
        <v>0</v>
      </c>
      <c r="AF76" s="268">
        <v>0</v>
      </c>
      <c r="AG76" s="268">
        <v>0</v>
      </c>
      <c r="AH76" s="268">
        <v>0</v>
      </c>
      <c r="AI76" s="268">
        <v>0</v>
      </c>
      <c r="AJ76" s="268">
        <v>0</v>
      </c>
      <c r="AK76" s="268">
        <v>0</v>
      </c>
    </row>
    <row r="77" spans="1:37" x14ac:dyDescent="0.25">
      <c r="A77" s="58"/>
      <c r="B77" s="281" t="s">
        <v>44</v>
      </c>
      <c r="C77" s="282">
        <f>C76/SUM($C76:$F76)</f>
        <v>0.16890829694323145</v>
      </c>
      <c r="D77" s="282">
        <f>D76/SUM($C76:$F76)</f>
        <v>0.8310917030567686</v>
      </c>
      <c r="E77" s="282">
        <f>E76/SUM($C76:$F76)</f>
        <v>0</v>
      </c>
      <c r="F77" s="282">
        <f>F76/SUM($C76:$F76)</f>
        <v>0</v>
      </c>
      <c r="G77" s="281"/>
      <c r="H77" s="281"/>
      <c r="I77" s="281"/>
      <c r="J77" s="290">
        <f>J76/SUM($J76:$M76)</f>
        <v>0.16890829694323145</v>
      </c>
      <c r="K77" s="290">
        <f>K76/SUM($J76:$M76)</f>
        <v>0.8310917030567686</v>
      </c>
      <c r="L77" s="290">
        <f>L76/SUM($J76:$M76)</f>
        <v>0</v>
      </c>
      <c r="M77" s="290">
        <f>M76/SUM($J76:$M76)</f>
        <v>0</v>
      </c>
      <c r="N77" s="271"/>
      <c r="O77" s="271"/>
      <c r="P77" s="271"/>
      <c r="Q77" s="271"/>
      <c r="R77" s="271"/>
      <c r="S77" s="271"/>
      <c r="T77" s="271"/>
      <c r="U77" s="271"/>
      <c r="V77" s="271"/>
      <c r="W77" s="271"/>
      <c r="X77" s="271"/>
      <c r="Y77" s="271"/>
      <c r="Z77" s="271"/>
      <c r="AA77" s="271"/>
      <c r="AB77" s="271"/>
      <c r="AC77" s="271"/>
      <c r="AD77" s="271"/>
      <c r="AE77" s="271"/>
      <c r="AF77" s="271"/>
      <c r="AG77" s="271"/>
      <c r="AH77" s="271"/>
      <c r="AI77" s="271"/>
      <c r="AJ77" s="271"/>
      <c r="AK77" s="271"/>
    </row>
    <row r="78" spans="1:37" x14ac:dyDescent="0.25">
      <c r="A78" s="230"/>
      <c r="B78" s="284" t="s">
        <v>46</v>
      </c>
      <c r="C78" s="285">
        <f>C77*$I76</f>
        <v>968.18235807860265</v>
      </c>
      <c r="D78" s="285">
        <f>D77*$I76</f>
        <v>4763.8176419213978</v>
      </c>
      <c r="E78" s="285">
        <f>E77*$I76</f>
        <v>0</v>
      </c>
      <c r="F78" s="285">
        <f>F77*$I76</f>
        <v>0</v>
      </c>
      <c r="G78" s="284"/>
      <c r="H78" s="284"/>
      <c r="I78" s="285">
        <f>SUM(C78:H78)</f>
        <v>5732</v>
      </c>
      <c r="J78" s="285">
        <f>J77*$P76</f>
        <v>968.18235807860265</v>
      </c>
      <c r="K78" s="285">
        <f>K77*$P76</f>
        <v>4763.8176419213978</v>
      </c>
      <c r="L78" s="285">
        <f>L77*$P76</f>
        <v>0</v>
      </c>
      <c r="M78" s="285">
        <f>M77*$P76</f>
        <v>0</v>
      </c>
      <c r="N78" s="272"/>
      <c r="O78" s="272"/>
      <c r="P78" s="285">
        <f>SUM(J78:O78)</f>
        <v>5732</v>
      </c>
      <c r="Q78" s="272"/>
      <c r="R78" s="272"/>
      <c r="S78" s="272"/>
      <c r="T78" s="272"/>
      <c r="U78" s="272"/>
      <c r="V78" s="272"/>
      <c r="W78" s="272"/>
      <c r="X78" s="272"/>
      <c r="Y78" s="272"/>
      <c r="Z78" s="272"/>
      <c r="AA78" s="272"/>
      <c r="AB78" s="272"/>
      <c r="AC78" s="272"/>
      <c r="AD78" s="272"/>
      <c r="AE78" s="272"/>
      <c r="AF78" s="272"/>
      <c r="AG78" s="272"/>
      <c r="AH78" s="272"/>
      <c r="AI78" s="272"/>
      <c r="AJ78" s="272"/>
      <c r="AK78" s="272"/>
    </row>
    <row r="79" spans="1:37" s="1" customFormat="1" ht="12.75" x14ac:dyDescent="0.2">
      <c r="A79" s="231">
        <v>2009</v>
      </c>
      <c r="B79" s="265" t="s">
        <v>45</v>
      </c>
      <c r="C79" s="266">
        <f>J79+Q79+X79+AE79</f>
        <v>352</v>
      </c>
      <c r="D79" s="266">
        <f t="shared" ref="D79" si="66">K79+R79+Y79+AF79</f>
        <v>5121</v>
      </c>
      <c r="E79" s="266">
        <f t="shared" ref="E79" si="67">L79+S79+Z79+AG79</f>
        <v>17</v>
      </c>
      <c r="F79" s="266">
        <f t="shared" ref="F79" si="68">M79+T79+AA79+AH79</f>
        <v>0</v>
      </c>
      <c r="G79" s="266">
        <f>N79+U79+AB79+AI79</f>
        <v>0</v>
      </c>
      <c r="H79" s="266">
        <f>O79+V79+AC79+AJ79</f>
        <v>2</v>
      </c>
      <c r="I79" s="266">
        <f>P79+W79+AD79+AK79</f>
        <v>5492</v>
      </c>
      <c r="J79" s="268">
        <v>352</v>
      </c>
      <c r="K79" s="269">
        <v>5121</v>
      </c>
      <c r="L79" s="268">
        <v>17</v>
      </c>
      <c r="M79" s="268">
        <v>0</v>
      </c>
      <c r="N79" s="268">
        <v>0</v>
      </c>
      <c r="O79" s="268">
        <v>2</v>
      </c>
      <c r="P79" s="269">
        <v>5492</v>
      </c>
      <c r="Q79" s="268">
        <v>0</v>
      </c>
      <c r="R79" s="268">
        <v>0</v>
      </c>
      <c r="S79" s="268">
        <v>0</v>
      </c>
      <c r="T79" s="268">
        <v>0</v>
      </c>
      <c r="U79" s="268">
        <v>0</v>
      </c>
      <c r="V79" s="268">
        <v>0</v>
      </c>
      <c r="W79" s="268">
        <v>0</v>
      </c>
      <c r="X79" s="268">
        <v>0</v>
      </c>
      <c r="Y79" s="268">
        <v>0</v>
      </c>
      <c r="Z79" s="268">
        <v>0</v>
      </c>
      <c r="AA79" s="268">
        <v>0</v>
      </c>
      <c r="AB79" s="268">
        <v>0</v>
      </c>
      <c r="AC79" s="268">
        <v>0</v>
      </c>
      <c r="AD79" s="268">
        <v>0</v>
      </c>
      <c r="AE79" s="268">
        <v>0</v>
      </c>
      <c r="AF79" s="268">
        <v>0</v>
      </c>
      <c r="AG79" s="268">
        <v>0</v>
      </c>
      <c r="AH79" s="268">
        <v>0</v>
      </c>
      <c r="AI79" s="268">
        <v>0</v>
      </c>
      <c r="AJ79" s="268">
        <v>0</v>
      </c>
      <c r="AK79" s="268">
        <v>0</v>
      </c>
    </row>
    <row r="80" spans="1:37" x14ac:dyDescent="0.25">
      <c r="A80" s="58"/>
      <c r="B80" s="281" t="s">
        <v>44</v>
      </c>
      <c r="C80" s="282">
        <f>C79/SUM($C79:$F79)</f>
        <v>6.4116575591985428E-2</v>
      </c>
      <c r="D80" s="282">
        <f>D79/SUM($C79:$F79)</f>
        <v>0.93278688524590159</v>
      </c>
      <c r="E80" s="282">
        <f>E79/SUM($C79:$F79)</f>
        <v>3.0965391621129326E-3</v>
      </c>
      <c r="F80" s="282">
        <f>F79/SUM($C79:$F79)</f>
        <v>0</v>
      </c>
      <c r="G80" s="281"/>
      <c r="H80" s="281"/>
      <c r="I80" s="281"/>
      <c r="J80" s="290">
        <f>J79/SUM($J79:$M79)</f>
        <v>6.4116575591985428E-2</v>
      </c>
      <c r="K80" s="290">
        <f>K79/SUM($J79:$M79)</f>
        <v>0.93278688524590159</v>
      </c>
      <c r="L80" s="290">
        <f>L79/SUM($J79:$M79)</f>
        <v>3.0965391621129326E-3</v>
      </c>
      <c r="M80" s="290">
        <f>M79/SUM($J79:$M79)</f>
        <v>0</v>
      </c>
      <c r="N80" s="271"/>
      <c r="O80" s="271"/>
      <c r="P80" s="271"/>
      <c r="Q80" s="271"/>
      <c r="R80" s="271"/>
      <c r="S80" s="271"/>
      <c r="T80" s="271"/>
      <c r="U80" s="271"/>
      <c r="V80" s="271"/>
      <c r="W80" s="271"/>
      <c r="X80" s="271"/>
      <c r="Y80" s="271"/>
      <c r="Z80" s="271"/>
      <c r="AA80" s="271"/>
      <c r="AB80" s="271"/>
      <c r="AC80" s="271"/>
      <c r="AD80" s="271"/>
      <c r="AE80" s="271"/>
      <c r="AF80" s="271"/>
      <c r="AG80" s="271"/>
      <c r="AH80" s="271"/>
      <c r="AI80" s="271"/>
      <c r="AJ80" s="271"/>
      <c r="AK80" s="271"/>
    </row>
    <row r="81" spans="1:37" x14ac:dyDescent="0.25">
      <c r="A81" s="230"/>
      <c r="B81" s="284" t="s">
        <v>46</v>
      </c>
      <c r="C81" s="285">
        <f>C80*$I79</f>
        <v>352.12823315118396</v>
      </c>
      <c r="D81" s="285">
        <f>D80*$I79</f>
        <v>5122.8655737704912</v>
      </c>
      <c r="E81" s="285">
        <f>E80*$I79</f>
        <v>17.006193078324227</v>
      </c>
      <c r="F81" s="285">
        <f>F80*$I79</f>
        <v>0</v>
      </c>
      <c r="G81" s="284"/>
      <c r="H81" s="284"/>
      <c r="I81" s="285">
        <f>SUM(C81:H81)</f>
        <v>5491.9999999999991</v>
      </c>
      <c r="J81" s="285">
        <f>J80*$P79</f>
        <v>352.12823315118396</v>
      </c>
      <c r="K81" s="285">
        <f>K80*$P79</f>
        <v>5122.8655737704912</v>
      </c>
      <c r="L81" s="285">
        <f>L80*$P79</f>
        <v>17.006193078324227</v>
      </c>
      <c r="M81" s="285">
        <f>M80*$P79</f>
        <v>0</v>
      </c>
      <c r="N81" s="272"/>
      <c r="O81" s="272"/>
      <c r="P81" s="285">
        <f>SUM(J81:O81)</f>
        <v>5491.9999999999991</v>
      </c>
      <c r="Q81" s="272"/>
      <c r="R81" s="272"/>
      <c r="S81" s="272"/>
      <c r="T81" s="272"/>
      <c r="U81" s="272"/>
      <c r="V81" s="272"/>
      <c r="W81" s="272"/>
      <c r="X81" s="272"/>
      <c r="Y81" s="272"/>
      <c r="Z81" s="272"/>
      <c r="AA81" s="272"/>
      <c r="AB81" s="272"/>
      <c r="AC81" s="272"/>
      <c r="AD81" s="272"/>
      <c r="AE81" s="272"/>
      <c r="AF81" s="272"/>
      <c r="AG81" s="272"/>
      <c r="AH81" s="272"/>
      <c r="AI81" s="272"/>
      <c r="AJ81" s="272"/>
      <c r="AK81" s="272"/>
    </row>
    <row r="82" spans="1:37" s="1" customFormat="1" ht="12.75" x14ac:dyDescent="0.2">
      <c r="A82" s="231">
        <v>2010</v>
      </c>
      <c r="B82" s="265" t="s">
        <v>45</v>
      </c>
      <c r="C82" s="266">
        <f>J82+Q82+X82+AE82</f>
        <v>587</v>
      </c>
      <c r="D82" s="266">
        <f t="shared" ref="D82" si="69">K82+R82+Y82+AF82</f>
        <v>6937</v>
      </c>
      <c r="E82" s="266">
        <f t="shared" ref="E82" si="70">L82+S82+Z82+AG82</f>
        <v>68</v>
      </c>
      <c r="F82" s="266">
        <f t="shared" ref="F82" si="71">M82+T82+AA82+AH82</f>
        <v>101</v>
      </c>
      <c r="G82" s="266">
        <f>N82+U82+AB82+AI82</f>
        <v>0</v>
      </c>
      <c r="H82" s="266">
        <f>O82+V82+AC82+AJ82</f>
        <v>0</v>
      </c>
      <c r="I82" s="266">
        <f>P82+W82+AD82+AK82</f>
        <v>7694</v>
      </c>
      <c r="J82" s="268">
        <v>508</v>
      </c>
      <c r="K82" s="269">
        <v>6760</v>
      </c>
      <c r="L82" s="268">
        <v>63</v>
      </c>
      <c r="M82" s="268">
        <v>90</v>
      </c>
      <c r="N82" s="268">
        <v>0</v>
      </c>
      <c r="O82" s="268">
        <v>0</v>
      </c>
      <c r="P82" s="269">
        <v>7422</v>
      </c>
      <c r="Q82" s="268">
        <v>0</v>
      </c>
      <c r="R82" s="268">
        <v>0</v>
      </c>
      <c r="S82" s="268">
        <v>0</v>
      </c>
      <c r="T82" s="268">
        <v>0</v>
      </c>
      <c r="U82" s="268">
        <v>0</v>
      </c>
      <c r="V82" s="268">
        <v>0</v>
      </c>
      <c r="W82" s="268">
        <v>0</v>
      </c>
      <c r="X82" s="268">
        <v>4</v>
      </c>
      <c r="Y82" s="268">
        <v>10</v>
      </c>
      <c r="Z82" s="268">
        <v>0</v>
      </c>
      <c r="AA82" s="268">
        <v>1</v>
      </c>
      <c r="AB82" s="268">
        <v>0</v>
      </c>
      <c r="AC82" s="268">
        <v>0</v>
      </c>
      <c r="AD82" s="268">
        <v>15</v>
      </c>
      <c r="AE82" s="268">
        <v>75</v>
      </c>
      <c r="AF82" s="268">
        <v>167</v>
      </c>
      <c r="AG82" s="268">
        <v>5</v>
      </c>
      <c r="AH82" s="268">
        <v>10</v>
      </c>
      <c r="AI82" s="268">
        <v>0</v>
      </c>
      <c r="AJ82" s="268">
        <v>0</v>
      </c>
      <c r="AK82" s="268">
        <v>257</v>
      </c>
    </row>
    <row r="83" spans="1:37" x14ac:dyDescent="0.25">
      <c r="A83" s="58"/>
      <c r="B83" s="281" t="s">
        <v>44</v>
      </c>
      <c r="C83" s="282">
        <f>C82/SUM($C82:$F82)</f>
        <v>7.6303132718055375E-2</v>
      </c>
      <c r="D83" s="282">
        <f>D82/SUM($C82:$F82)</f>
        <v>0.90172884440400369</v>
      </c>
      <c r="E83" s="282">
        <f>E82/SUM($C82:$F82)</f>
        <v>8.839204471597556E-3</v>
      </c>
      <c r="F83" s="282">
        <f>F82/SUM($C82:$F82)</f>
        <v>1.312881840634343E-2</v>
      </c>
      <c r="G83" s="281"/>
      <c r="H83" s="281"/>
      <c r="I83" s="281"/>
      <c r="J83" s="290">
        <f>J82/SUM($J82:$M82)</f>
        <v>6.8454386201320577E-2</v>
      </c>
      <c r="K83" s="290">
        <f>K82/SUM($J82:$M82)</f>
        <v>0.91092844630103764</v>
      </c>
      <c r="L83" s="290">
        <f>L82/SUM($J82:$M82)</f>
        <v>8.4894219107936944E-3</v>
      </c>
      <c r="M83" s="290">
        <f>M82/SUM($J82:$M82)</f>
        <v>1.2127745586848133E-2</v>
      </c>
      <c r="N83" s="271"/>
      <c r="O83" s="271"/>
      <c r="P83" s="271"/>
      <c r="Q83" s="271"/>
      <c r="R83" s="271"/>
      <c r="S83" s="271"/>
      <c r="T83" s="271"/>
      <c r="U83" s="271"/>
      <c r="V83" s="271"/>
      <c r="W83" s="271"/>
      <c r="X83" s="271"/>
      <c r="Y83" s="271"/>
      <c r="Z83" s="271"/>
      <c r="AA83" s="271"/>
      <c r="AB83" s="271"/>
      <c r="AC83" s="271"/>
      <c r="AD83" s="271"/>
      <c r="AE83" s="271"/>
      <c r="AF83" s="271"/>
      <c r="AG83" s="271"/>
      <c r="AH83" s="271"/>
      <c r="AI83" s="271"/>
      <c r="AJ83" s="271"/>
      <c r="AK83" s="271"/>
    </row>
    <row r="84" spans="1:37" x14ac:dyDescent="0.25">
      <c r="A84" s="230"/>
      <c r="B84" s="284" t="s">
        <v>46</v>
      </c>
      <c r="C84" s="285">
        <f>C83*$I82</f>
        <v>587.07630313271807</v>
      </c>
      <c r="D84" s="285">
        <f>D83*$I82</f>
        <v>6937.9017288444047</v>
      </c>
      <c r="E84" s="285">
        <f>E83*$I82</f>
        <v>68.008839204471599</v>
      </c>
      <c r="F84" s="285">
        <f>F83*$I82</f>
        <v>101.01312881840634</v>
      </c>
      <c r="G84" s="284"/>
      <c r="H84" s="284"/>
      <c r="I84" s="285">
        <f>SUM(C84:H84)</f>
        <v>7694.0000000000009</v>
      </c>
      <c r="J84" s="285">
        <f>J83*$P82</f>
        <v>508.06845438620132</v>
      </c>
      <c r="K84" s="285">
        <f>K83*$P82</f>
        <v>6760.9109284463011</v>
      </c>
      <c r="L84" s="285">
        <f>L83*$P82</f>
        <v>63.008489421910802</v>
      </c>
      <c r="M84" s="285">
        <f>M83*$P82</f>
        <v>90.012127745586838</v>
      </c>
      <c r="N84" s="272"/>
      <c r="O84" s="272"/>
      <c r="P84" s="285">
        <f>SUM(J84:O84)</f>
        <v>7422</v>
      </c>
      <c r="Q84" s="272"/>
      <c r="R84" s="272"/>
      <c r="S84" s="272"/>
      <c r="T84" s="272"/>
      <c r="U84" s="272"/>
      <c r="V84" s="272"/>
      <c r="W84" s="272"/>
      <c r="X84" s="272"/>
      <c r="Y84" s="272"/>
      <c r="Z84" s="272"/>
      <c r="AA84" s="272"/>
      <c r="AB84" s="272"/>
      <c r="AC84" s="272"/>
      <c r="AD84" s="272"/>
      <c r="AE84" s="272"/>
      <c r="AF84" s="272"/>
      <c r="AG84" s="272"/>
      <c r="AH84" s="272"/>
      <c r="AI84" s="272"/>
      <c r="AJ84" s="272"/>
      <c r="AK84" s="272"/>
    </row>
    <row r="85" spans="1:37" s="1" customFormat="1" ht="12.75" x14ac:dyDescent="0.2">
      <c r="A85" s="231">
        <v>2011</v>
      </c>
      <c r="B85" s="265" t="s">
        <v>45</v>
      </c>
      <c r="C85" s="266">
        <f>J85+Q85+X85+AE85</f>
        <v>178</v>
      </c>
      <c r="D85" s="266">
        <f t="shared" ref="D85" si="72">K85+R85+Y85+AF85</f>
        <v>2327</v>
      </c>
      <c r="E85" s="266">
        <f t="shared" ref="E85" si="73">L85+S85+Z85+AG85</f>
        <v>49</v>
      </c>
      <c r="F85" s="266">
        <f t="shared" ref="F85" si="74">M85+T85+AA85+AH85</f>
        <v>131</v>
      </c>
      <c r="G85" s="266">
        <f>N85+U85+AB85+AI85</f>
        <v>0</v>
      </c>
      <c r="H85" s="266">
        <f>O85+V85+AC85+AJ85</f>
        <v>0</v>
      </c>
      <c r="I85" s="266">
        <f>P85+W85+AD85+AK85</f>
        <v>2684</v>
      </c>
      <c r="J85" s="268">
        <v>168</v>
      </c>
      <c r="K85" s="269">
        <v>2260</v>
      </c>
      <c r="L85" s="268">
        <v>45</v>
      </c>
      <c r="M85" s="268">
        <v>127</v>
      </c>
      <c r="N85" s="268">
        <v>0</v>
      </c>
      <c r="O85" s="268">
        <v>0</v>
      </c>
      <c r="P85" s="269">
        <v>2600</v>
      </c>
      <c r="Q85" s="268">
        <v>2</v>
      </c>
      <c r="R85" s="268">
        <v>10</v>
      </c>
      <c r="S85" s="268">
        <v>1</v>
      </c>
      <c r="T85" s="268">
        <v>1</v>
      </c>
      <c r="U85" s="268">
        <v>0</v>
      </c>
      <c r="V85" s="268">
        <v>0</v>
      </c>
      <c r="W85" s="268">
        <v>13</v>
      </c>
      <c r="X85" s="268">
        <v>0</v>
      </c>
      <c r="Y85" s="268">
        <v>2</v>
      </c>
      <c r="Z85" s="268">
        <v>0</v>
      </c>
      <c r="AA85" s="268">
        <v>0</v>
      </c>
      <c r="AB85" s="268">
        <v>0</v>
      </c>
      <c r="AC85" s="268">
        <v>0</v>
      </c>
      <c r="AD85" s="268">
        <v>2</v>
      </c>
      <c r="AE85" s="268">
        <v>8</v>
      </c>
      <c r="AF85" s="268">
        <v>55</v>
      </c>
      <c r="AG85" s="268">
        <v>3</v>
      </c>
      <c r="AH85" s="268">
        <v>3</v>
      </c>
      <c r="AI85" s="268">
        <v>0</v>
      </c>
      <c r="AJ85" s="268">
        <v>0</v>
      </c>
      <c r="AK85" s="268">
        <v>69</v>
      </c>
    </row>
    <row r="86" spans="1:37" x14ac:dyDescent="0.25">
      <c r="A86" s="58"/>
      <c r="B86" s="281" t="s">
        <v>44</v>
      </c>
      <c r="C86" s="282">
        <f>C85/SUM($C85:$F85)</f>
        <v>6.6294227188081936E-2</v>
      </c>
      <c r="D86" s="282">
        <f>D85/SUM($C85:$F85)</f>
        <v>0.8666666666666667</v>
      </c>
      <c r="E86" s="282">
        <f>E85/SUM($C85:$F85)</f>
        <v>1.8249534450651771E-2</v>
      </c>
      <c r="F86" s="282">
        <f>F85/SUM($C85:$F85)</f>
        <v>4.8789571694599625E-2</v>
      </c>
      <c r="G86" s="281"/>
      <c r="H86" s="281"/>
      <c r="I86" s="281"/>
      <c r="J86" s="290">
        <f>J85/SUM($J85:$M85)</f>
        <v>6.4615384615384616E-2</v>
      </c>
      <c r="K86" s="290">
        <f>K85/SUM($J85:$M85)</f>
        <v>0.86923076923076925</v>
      </c>
      <c r="L86" s="290">
        <f>L85/SUM($J85:$M85)</f>
        <v>1.7307692307692309E-2</v>
      </c>
      <c r="M86" s="290">
        <f>M85/SUM($J85:$M85)</f>
        <v>4.8846153846153845E-2</v>
      </c>
      <c r="N86" s="271"/>
      <c r="O86" s="271"/>
      <c r="P86" s="271"/>
      <c r="Q86" s="271"/>
      <c r="R86" s="271"/>
      <c r="S86" s="271"/>
      <c r="T86" s="271"/>
      <c r="U86" s="271"/>
      <c r="V86" s="271"/>
      <c r="W86" s="271"/>
      <c r="X86" s="271"/>
      <c r="Y86" s="271"/>
      <c r="Z86" s="271"/>
      <c r="AA86" s="271"/>
      <c r="AB86" s="271"/>
      <c r="AC86" s="271"/>
      <c r="AD86" s="271"/>
      <c r="AE86" s="271"/>
      <c r="AF86" s="271"/>
      <c r="AG86" s="271"/>
      <c r="AH86" s="271"/>
      <c r="AI86" s="271"/>
      <c r="AJ86" s="271"/>
      <c r="AK86" s="271"/>
    </row>
    <row r="87" spans="1:37" x14ac:dyDescent="0.25">
      <c r="A87" s="230"/>
      <c r="B87" s="284" t="s">
        <v>46</v>
      </c>
      <c r="C87" s="285">
        <f>C86*$I85</f>
        <v>177.93370577281192</v>
      </c>
      <c r="D87" s="285">
        <f>D86*$I85</f>
        <v>2326.1333333333332</v>
      </c>
      <c r="E87" s="285">
        <f>E86*$I85</f>
        <v>48.981750465549354</v>
      </c>
      <c r="F87" s="285">
        <f>F86*$I85</f>
        <v>130.95121042830539</v>
      </c>
      <c r="G87" s="284"/>
      <c r="H87" s="284"/>
      <c r="I87" s="285">
        <f>SUM(C87:H87)</f>
        <v>2684</v>
      </c>
      <c r="J87" s="285">
        <f>J86*$P85</f>
        <v>168</v>
      </c>
      <c r="K87" s="285">
        <f>K86*$P85</f>
        <v>2260</v>
      </c>
      <c r="L87" s="285">
        <f>L86*$P85</f>
        <v>45</v>
      </c>
      <c r="M87" s="285">
        <f>M86*$P85</f>
        <v>127</v>
      </c>
      <c r="N87" s="272"/>
      <c r="O87" s="272"/>
      <c r="P87" s="285">
        <f>SUM(J87:O87)</f>
        <v>2600</v>
      </c>
      <c r="Q87" s="272"/>
      <c r="R87" s="272"/>
      <c r="S87" s="272"/>
      <c r="T87" s="272"/>
      <c r="U87" s="272"/>
      <c r="V87" s="272"/>
      <c r="W87" s="272"/>
      <c r="X87" s="272"/>
      <c r="Y87" s="272"/>
      <c r="Z87" s="272"/>
      <c r="AA87" s="272"/>
      <c r="AB87" s="272"/>
      <c r="AC87" s="272"/>
      <c r="AD87" s="272"/>
      <c r="AE87" s="272"/>
      <c r="AF87" s="272"/>
      <c r="AG87" s="272"/>
      <c r="AH87" s="272"/>
      <c r="AI87" s="272"/>
      <c r="AJ87" s="272"/>
      <c r="AK87" s="272"/>
    </row>
    <row r="89" spans="1:37" x14ac:dyDescent="0.25">
      <c r="A89" s="42"/>
      <c r="B89" s="42"/>
      <c r="C89" s="41"/>
      <c r="D89" s="41"/>
      <c r="E89" s="41"/>
      <c r="F89" s="41"/>
      <c r="G89" s="41"/>
      <c r="H89" s="41"/>
      <c r="I89" s="199"/>
    </row>
    <row r="90" spans="1:37" x14ac:dyDescent="0.25">
      <c r="A90" s="43" t="s">
        <v>10</v>
      </c>
      <c r="B90" s="43"/>
      <c r="C90" s="77" t="s">
        <v>23</v>
      </c>
      <c r="D90" s="77" t="s">
        <v>24</v>
      </c>
      <c r="E90" s="77" t="s">
        <v>25</v>
      </c>
      <c r="F90" s="77" t="s">
        <v>26</v>
      </c>
      <c r="G90" s="77" t="s">
        <v>27</v>
      </c>
      <c r="H90" s="77" t="s">
        <v>28</v>
      </c>
      <c r="I90" s="200" t="s">
        <v>9</v>
      </c>
    </row>
    <row r="91" spans="1:37" x14ac:dyDescent="0.25">
      <c r="A91" s="3">
        <v>1985</v>
      </c>
      <c r="B91" s="3"/>
      <c r="C91" s="47"/>
      <c r="D91" s="47"/>
      <c r="E91" s="47"/>
      <c r="F91" s="47"/>
      <c r="G91" s="47"/>
      <c r="H91" s="47"/>
      <c r="I91" s="199"/>
    </row>
    <row r="92" spans="1:37" x14ac:dyDescent="0.25">
      <c r="A92" s="3">
        <v>1986</v>
      </c>
      <c r="B92" s="3"/>
      <c r="C92" s="48"/>
      <c r="D92" s="48"/>
      <c r="E92" s="40">
        <f>C12</f>
        <v>2226.9132643461903</v>
      </c>
      <c r="F92" s="40">
        <f>D12+E12</f>
        <v>2817.3369708372534</v>
      </c>
      <c r="G92" s="40">
        <f>F12</f>
        <v>301.74976481655693</v>
      </c>
      <c r="H92" s="49"/>
      <c r="I92" s="201">
        <f>SUM(C92:H92)</f>
        <v>5346.0000000000009</v>
      </c>
      <c r="J92">
        <f>E92/$I$92</f>
        <v>0.41655691439322667</v>
      </c>
      <c r="K92" s="480">
        <f t="shared" ref="K92:L92" si="75">F92/$I$92</f>
        <v>0.52699905926622759</v>
      </c>
      <c r="L92" s="480">
        <f t="shared" si="75"/>
        <v>5.6444026340545621E-2</v>
      </c>
    </row>
    <row r="93" spans="1:37" x14ac:dyDescent="0.25">
      <c r="A93" s="3">
        <v>1987</v>
      </c>
      <c r="B93" s="3"/>
      <c r="C93" s="48"/>
      <c r="D93" s="48"/>
      <c r="E93" s="40">
        <f>C15</f>
        <v>111.9040069497231</v>
      </c>
      <c r="F93" s="40">
        <f>D15+E15</f>
        <v>8931.1495276360092</v>
      </c>
      <c r="G93" s="40">
        <f>F15</f>
        <v>240.94646541426866</v>
      </c>
      <c r="H93" s="49"/>
      <c r="I93" s="201">
        <f t="shared" ref="I93:I117" si="76">SUM(C93:H93)</f>
        <v>9284</v>
      </c>
      <c r="J93" s="480">
        <f t="shared" ref="J93:J117" si="77">E93/$I$92</f>
        <v>2.0932287121160322E-2</v>
      </c>
      <c r="K93" s="480">
        <f t="shared" ref="K93:K117" si="78">F93/$I$92</f>
        <v>1.6706228072644982</v>
      </c>
      <c r="L93" s="480">
        <f t="shared" ref="L93:L117" si="79">G93/$I$92</f>
        <v>4.5070420017633485E-2</v>
      </c>
    </row>
    <row r="94" spans="1:37" x14ac:dyDescent="0.25">
      <c r="A94" s="3">
        <v>1988</v>
      </c>
      <c r="B94" s="3"/>
      <c r="C94" s="48"/>
      <c r="D94" s="48"/>
      <c r="E94" s="40">
        <f>C18</f>
        <v>1086</v>
      </c>
      <c r="F94" s="40">
        <f>D18+E18</f>
        <v>1511</v>
      </c>
      <c r="G94" s="40">
        <f>F18</f>
        <v>40</v>
      </c>
      <c r="H94" s="49"/>
      <c r="I94" s="201">
        <f t="shared" si="76"/>
        <v>2637</v>
      </c>
      <c r="J94" s="480">
        <f t="shared" si="77"/>
        <v>0.20314253647586977</v>
      </c>
      <c r="K94" s="480">
        <f t="shared" si="78"/>
        <v>0.28264122708567146</v>
      </c>
      <c r="L94" s="480">
        <f t="shared" si="79"/>
        <v>7.4822297044519256E-3</v>
      </c>
    </row>
    <row r="95" spans="1:37" x14ac:dyDescent="0.25">
      <c r="A95" s="2">
        <v>1989</v>
      </c>
      <c r="B95" s="2"/>
      <c r="C95" s="50"/>
      <c r="D95" s="50"/>
      <c r="E95" s="40">
        <f>C21</f>
        <v>1039.7810218978102</v>
      </c>
      <c r="F95" s="40">
        <f>D21+E21</f>
        <v>5782.0255474452551</v>
      </c>
      <c r="G95" s="40">
        <f>F21</f>
        <v>603.19343065693431</v>
      </c>
      <c r="H95" s="49"/>
      <c r="I95" s="201">
        <f t="shared" si="76"/>
        <v>7425</v>
      </c>
      <c r="J95" s="480">
        <f t="shared" si="77"/>
        <v>0.19449701120422933</v>
      </c>
      <c r="K95" s="480">
        <f t="shared" si="78"/>
        <v>1.0815610825748698</v>
      </c>
      <c r="L95" s="480">
        <f t="shared" si="79"/>
        <v>0.11283079510978941</v>
      </c>
    </row>
    <row r="96" spans="1:37" x14ac:dyDescent="0.25">
      <c r="A96" s="3">
        <v>1990</v>
      </c>
      <c r="B96" s="3"/>
      <c r="C96" s="48"/>
      <c r="D96" s="48"/>
      <c r="E96" s="40">
        <f>C24</f>
        <v>1191.4655172413793</v>
      </c>
      <c r="F96" s="40">
        <f>D24+E24</f>
        <v>2608.2081280788175</v>
      </c>
      <c r="G96" s="40">
        <f>F24</f>
        <v>265.32635467980299</v>
      </c>
      <c r="H96" s="49"/>
      <c r="I96" s="201">
        <f t="shared" si="76"/>
        <v>4064.9999999999995</v>
      </c>
      <c r="J96" s="480">
        <f t="shared" si="77"/>
        <v>0.22287046712334066</v>
      </c>
      <c r="K96" s="480">
        <f t="shared" si="78"/>
        <v>0.48788030828260698</v>
      </c>
      <c r="L96" s="480">
        <f t="shared" si="79"/>
        <v>4.9630818308979224E-2</v>
      </c>
    </row>
    <row r="97" spans="1:12" x14ac:dyDescent="0.25">
      <c r="A97" s="3">
        <v>1991</v>
      </c>
      <c r="B97" s="3"/>
      <c r="C97" s="51"/>
      <c r="D97" s="51"/>
      <c r="E97" s="203" t="e">
        <f>C27</f>
        <v>#VALUE!</v>
      </c>
      <c r="F97" s="203" t="e">
        <f>D27+E27</f>
        <v>#VALUE!</v>
      </c>
      <c r="G97" s="203" t="e">
        <f>F27</f>
        <v>#VALUE!</v>
      </c>
      <c r="H97" s="49"/>
      <c r="I97" s="201" t="e">
        <f t="shared" si="76"/>
        <v>#VALUE!</v>
      </c>
      <c r="J97" s="480" t="e">
        <f t="shared" si="77"/>
        <v>#VALUE!</v>
      </c>
      <c r="K97" s="480" t="e">
        <f t="shared" si="78"/>
        <v>#VALUE!</v>
      </c>
      <c r="L97" s="480" t="e">
        <f t="shared" si="79"/>
        <v>#VALUE!</v>
      </c>
    </row>
    <row r="98" spans="1:12" x14ac:dyDescent="0.25">
      <c r="A98" s="3">
        <v>1992</v>
      </c>
      <c r="B98" s="3"/>
      <c r="C98" s="48"/>
      <c r="D98" s="48"/>
      <c r="E98" s="40">
        <f>C30</f>
        <v>2251</v>
      </c>
      <c r="F98" s="40">
        <f>D30+E30</f>
        <v>7322</v>
      </c>
      <c r="G98" s="40">
        <f>F30</f>
        <v>453</v>
      </c>
      <c r="H98" s="49"/>
      <c r="I98" s="201">
        <f t="shared" si="76"/>
        <v>10026</v>
      </c>
      <c r="J98" s="480">
        <f t="shared" si="77"/>
        <v>0.42106247661803209</v>
      </c>
      <c r="K98" s="480">
        <f t="shared" si="78"/>
        <v>1.369622147399925</v>
      </c>
      <c r="L98" s="480">
        <f t="shared" si="79"/>
        <v>8.4736251402918059E-2</v>
      </c>
    </row>
    <row r="99" spans="1:12" x14ac:dyDescent="0.25">
      <c r="A99" s="3">
        <v>1993</v>
      </c>
      <c r="B99" s="3"/>
      <c r="C99" s="48"/>
      <c r="D99" s="48"/>
      <c r="E99" s="40">
        <f>C33</f>
        <v>2353.4170455167882</v>
      </c>
      <c r="F99" s="40">
        <f>D33+E33</f>
        <v>15039.695568822917</v>
      </c>
      <c r="G99" s="40">
        <f>F33</f>
        <v>1007.8873856602946</v>
      </c>
      <c r="H99" s="49"/>
      <c r="I99" s="201">
        <f t="shared" si="76"/>
        <v>18401</v>
      </c>
      <c r="J99" s="480">
        <f t="shared" si="77"/>
        <v>0.44022017312323003</v>
      </c>
      <c r="K99" s="480">
        <f t="shared" si="78"/>
        <v>2.8132614232740205</v>
      </c>
      <c r="L99" s="480">
        <f t="shared" si="79"/>
        <v>0.18853112339324626</v>
      </c>
    </row>
    <row r="100" spans="1:12" x14ac:dyDescent="0.25">
      <c r="A100" s="3">
        <v>1994</v>
      </c>
      <c r="B100" s="3"/>
      <c r="C100" s="48"/>
      <c r="D100" s="48"/>
      <c r="E100" s="40">
        <f>C36</f>
        <v>78.103106411103767</v>
      </c>
      <c r="F100" s="40">
        <f>D36+E36</f>
        <v>1418.8730998017186</v>
      </c>
      <c r="G100" s="40">
        <f>F36</f>
        <v>18.023793787177791</v>
      </c>
      <c r="H100" s="49"/>
      <c r="I100" s="201">
        <f t="shared" si="76"/>
        <v>1515</v>
      </c>
      <c r="J100" s="480">
        <f t="shared" si="77"/>
        <v>1.4609634569978255E-2</v>
      </c>
      <c r="K100" s="480">
        <f t="shared" si="78"/>
        <v>0.26540836135460499</v>
      </c>
      <c r="L100" s="480">
        <f t="shared" si="79"/>
        <v>3.3714541315334433E-3</v>
      </c>
    </row>
    <row r="101" spans="1:12" x14ac:dyDescent="0.25">
      <c r="A101" s="3">
        <v>1995</v>
      </c>
      <c r="B101" s="3"/>
      <c r="C101" s="48"/>
      <c r="D101" s="48"/>
      <c r="E101" s="40">
        <f>C39</f>
        <v>2543.2592777085929</v>
      </c>
      <c r="F101" s="40">
        <f>D39+E39</f>
        <v>4662.9789539227895</v>
      </c>
      <c r="G101" s="40">
        <f>F39</f>
        <v>910.7617683686176</v>
      </c>
      <c r="H101" s="49"/>
      <c r="I101" s="201">
        <f t="shared" si="76"/>
        <v>8117</v>
      </c>
      <c r="J101" s="480">
        <f t="shared" si="77"/>
        <v>0.47573125284485457</v>
      </c>
      <c r="K101" s="480">
        <f t="shared" si="78"/>
        <v>0.87223699100688157</v>
      </c>
      <c r="L101" s="480">
        <f t="shared" si="79"/>
        <v>0.17036321892417086</v>
      </c>
    </row>
    <row r="102" spans="1:12" x14ac:dyDescent="0.25">
      <c r="A102" s="3">
        <v>1996</v>
      </c>
      <c r="B102" s="3"/>
      <c r="C102" s="48"/>
      <c r="D102" s="48"/>
      <c r="E102" s="40">
        <f>C42</f>
        <v>315.12915074933881</v>
      </c>
      <c r="F102" s="40">
        <f>D42+E42</f>
        <v>6625.8708492506612</v>
      </c>
      <c r="G102" s="40">
        <f>F42</f>
        <v>0</v>
      </c>
      <c r="H102" s="49"/>
      <c r="I102" s="201">
        <f t="shared" si="76"/>
        <v>6941</v>
      </c>
      <c r="J102" s="480">
        <f t="shared" si="77"/>
        <v>5.8946717311885291E-2</v>
      </c>
      <c r="K102" s="480">
        <f t="shared" si="78"/>
        <v>1.2394071921531351</v>
      </c>
      <c r="L102" s="480">
        <f t="shared" si="79"/>
        <v>0</v>
      </c>
    </row>
    <row r="103" spans="1:12" x14ac:dyDescent="0.25">
      <c r="A103" s="3">
        <v>1997</v>
      </c>
      <c r="B103" s="3"/>
      <c r="C103" s="48"/>
      <c r="D103" s="48"/>
      <c r="E103" s="40">
        <f>C45</f>
        <v>336.7521586184842</v>
      </c>
      <c r="F103" s="40">
        <f>D45+E45</f>
        <v>2769.1851614966422</v>
      </c>
      <c r="G103" s="40">
        <f>F45</f>
        <v>28.062679884873681</v>
      </c>
      <c r="H103" s="49"/>
      <c r="I103" s="201">
        <f t="shared" si="76"/>
        <v>3134.0000000000005</v>
      </c>
      <c r="J103" s="480">
        <f t="shared" si="77"/>
        <v>6.299142510633822E-2</v>
      </c>
      <c r="K103" s="480">
        <f t="shared" si="78"/>
        <v>0.51799198681194192</v>
      </c>
      <c r="L103" s="480">
        <f t="shared" si="79"/>
        <v>5.249285425528185E-3</v>
      </c>
    </row>
    <row r="104" spans="1:12" x14ac:dyDescent="0.25">
      <c r="A104" s="3">
        <v>1998</v>
      </c>
      <c r="B104" s="3"/>
      <c r="C104" s="49"/>
      <c r="D104" s="49"/>
      <c r="E104" s="40">
        <f>C48</f>
        <v>785.00000000000011</v>
      </c>
      <c r="F104" s="40">
        <f>D48+E48</f>
        <v>597</v>
      </c>
      <c r="G104" s="40">
        <f>F48</f>
        <v>14.000000000000002</v>
      </c>
      <c r="H104" s="49"/>
      <c r="I104" s="201">
        <f t="shared" si="76"/>
        <v>1396</v>
      </c>
      <c r="J104" s="480">
        <f t="shared" si="77"/>
        <v>0.14683875794986906</v>
      </c>
      <c r="K104" s="480">
        <f t="shared" si="78"/>
        <v>0.11167227833894498</v>
      </c>
      <c r="L104" s="480">
        <f t="shared" si="79"/>
        <v>2.6187803965581741E-3</v>
      </c>
    </row>
    <row r="105" spans="1:12" x14ac:dyDescent="0.25">
      <c r="A105" s="3">
        <v>1999</v>
      </c>
      <c r="B105" s="3"/>
      <c r="C105" s="48"/>
      <c r="D105" s="48"/>
      <c r="E105" s="40">
        <f>C51</f>
        <v>547.24495114006515</v>
      </c>
      <c r="F105" s="40">
        <f>D51+E51</f>
        <v>981.61433224755694</v>
      </c>
      <c r="G105" s="40">
        <f>F51</f>
        <v>18.140716612377851</v>
      </c>
      <c r="H105" s="49"/>
      <c r="I105" s="201">
        <f t="shared" si="76"/>
        <v>1547</v>
      </c>
      <c r="J105" s="480">
        <f t="shared" si="77"/>
        <v>0.10236531072578846</v>
      </c>
      <c r="K105" s="480">
        <f t="shared" si="78"/>
        <v>0.18361659787646031</v>
      </c>
      <c r="L105" s="480">
        <f t="shared" si="79"/>
        <v>3.3933252174294516E-3</v>
      </c>
    </row>
    <row r="106" spans="1:12" x14ac:dyDescent="0.25">
      <c r="A106" s="3">
        <v>2000</v>
      </c>
      <c r="B106" s="3"/>
      <c r="C106" s="48"/>
      <c r="D106" s="48"/>
      <c r="E106" s="40">
        <f>C54</f>
        <v>3136.8755774561132</v>
      </c>
      <c r="F106" s="40">
        <f>D54+E54</f>
        <v>6704.1244225438868</v>
      </c>
      <c r="G106" s="40">
        <f>F54</f>
        <v>0</v>
      </c>
      <c r="H106" s="49"/>
      <c r="I106" s="201">
        <f t="shared" si="76"/>
        <v>9841</v>
      </c>
      <c r="J106" s="480">
        <f t="shared" si="77"/>
        <v>0.5867705906202979</v>
      </c>
      <c r="K106" s="480">
        <f t="shared" si="78"/>
        <v>1.2540449724174871</v>
      </c>
      <c r="L106" s="480">
        <f t="shared" si="79"/>
        <v>0</v>
      </c>
    </row>
    <row r="107" spans="1:12" x14ac:dyDescent="0.25">
      <c r="A107" s="3">
        <v>2001</v>
      </c>
      <c r="B107" s="3"/>
      <c r="C107" s="48"/>
      <c r="D107" s="48"/>
      <c r="E107" s="40">
        <f>C57</f>
        <v>3451.6662898485188</v>
      </c>
      <c r="F107" s="40">
        <f>D57+E57</f>
        <v>9834.2387519782951</v>
      </c>
      <c r="G107" s="40">
        <f>F57</f>
        <v>28.094958173185621</v>
      </c>
      <c r="H107" s="49"/>
      <c r="I107" s="201">
        <f t="shared" si="76"/>
        <v>13314</v>
      </c>
      <c r="J107" s="480">
        <f t="shared" si="77"/>
        <v>0.64565400109399895</v>
      </c>
      <c r="K107" s="480">
        <f t="shared" si="78"/>
        <v>1.8395508327681058</v>
      </c>
      <c r="L107" s="480">
        <f t="shared" si="79"/>
        <v>5.2553232647185961E-3</v>
      </c>
    </row>
    <row r="108" spans="1:12" x14ac:dyDescent="0.25">
      <c r="A108" s="3">
        <v>2002</v>
      </c>
      <c r="B108" s="3"/>
      <c r="C108" s="48"/>
      <c r="D108" s="48"/>
      <c r="E108" s="40">
        <f>C60</f>
        <v>3100.4385708009959</v>
      </c>
      <c r="F108" s="40">
        <f>D60+E60</f>
        <v>3731.5456142919898</v>
      </c>
      <c r="G108" s="40">
        <f>F60</f>
        <v>9.0158149070142048</v>
      </c>
      <c r="H108" s="49"/>
      <c r="I108" s="201">
        <f t="shared" si="76"/>
        <v>6841</v>
      </c>
      <c r="J108" s="480">
        <f t="shared" si="77"/>
        <v>0.57995483928189218</v>
      </c>
      <c r="K108" s="480">
        <f t="shared" si="78"/>
        <v>0.69800703596932079</v>
      </c>
      <c r="L108" s="480">
        <f t="shared" si="79"/>
        <v>1.686459952677554E-3</v>
      </c>
    </row>
    <row r="109" spans="1:12" x14ac:dyDescent="0.25">
      <c r="A109" s="3">
        <v>2003</v>
      </c>
      <c r="B109" s="3"/>
      <c r="C109" s="48"/>
      <c r="D109" s="48"/>
      <c r="E109" s="40">
        <f>C63</f>
        <v>702.95178326474627</v>
      </c>
      <c r="F109" s="40">
        <f>D63+E63</f>
        <v>13876.048216735253</v>
      </c>
      <c r="G109" s="40">
        <f>F63</f>
        <v>0</v>
      </c>
      <c r="H109" s="49"/>
      <c r="I109" s="201">
        <f t="shared" si="76"/>
        <v>14579</v>
      </c>
      <c r="J109" s="480">
        <f t="shared" si="77"/>
        <v>0.13149116783852341</v>
      </c>
      <c r="K109" s="480">
        <f t="shared" si="78"/>
        <v>2.5955945036915922</v>
      </c>
      <c r="L109" s="480">
        <f t="shared" si="79"/>
        <v>0</v>
      </c>
    </row>
    <row r="110" spans="1:12" x14ac:dyDescent="0.25">
      <c r="A110" s="3">
        <v>2004</v>
      </c>
      <c r="B110" s="3"/>
      <c r="C110" s="49"/>
      <c r="D110" s="49"/>
      <c r="E110" s="40">
        <f>C66</f>
        <v>1061.7975444750689</v>
      </c>
      <c r="F110" s="40">
        <f>D66+E66</f>
        <v>10862.158857429215</v>
      </c>
      <c r="G110" s="40">
        <f>F66</f>
        <v>58.04359809571536</v>
      </c>
      <c r="H110" s="49"/>
      <c r="I110" s="201">
        <f t="shared" si="76"/>
        <v>11981.999999999998</v>
      </c>
      <c r="J110" s="480">
        <f t="shared" si="77"/>
        <v>0.19861532818463687</v>
      </c>
      <c r="K110" s="480">
        <f t="shared" si="78"/>
        <v>2.0318291914383115</v>
      </c>
      <c r="L110" s="480">
        <f t="shared" si="79"/>
        <v>1.0857388345625767E-2</v>
      </c>
    </row>
    <row r="111" spans="1:12" x14ac:dyDescent="0.25">
      <c r="A111" s="3">
        <v>2005</v>
      </c>
      <c r="B111" s="3"/>
      <c r="C111" s="49"/>
      <c r="D111" s="49"/>
      <c r="E111" s="40">
        <f>C69</f>
        <v>595.7876403194075</v>
      </c>
      <c r="F111" s="40">
        <f>D69+E69</f>
        <v>7889.39775488948</v>
      </c>
      <c r="G111" s="40">
        <f>F69</f>
        <v>225.81460479111212</v>
      </c>
      <c r="H111" s="49"/>
      <c r="I111" s="201">
        <f t="shared" si="76"/>
        <v>8711</v>
      </c>
      <c r="J111" s="480">
        <f t="shared" si="77"/>
        <v>0.11144549949857976</v>
      </c>
      <c r="K111" s="480">
        <f t="shared" si="78"/>
        <v>1.4757571557967599</v>
      </c>
      <c r="L111" s="480">
        <f t="shared" si="79"/>
        <v>4.2239918591678277E-2</v>
      </c>
    </row>
    <row r="112" spans="1:12" x14ac:dyDescent="0.25">
      <c r="A112" s="3">
        <v>2006</v>
      </c>
      <c r="B112" s="3"/>
      <c r="C112" s="49"/>
      <c r="D112" s="49"/>
      <c r="E112" s="40">
        <f>C72</f>
        <v>2361.4450049212601</v>
      </c>
      <c r="F112" s="40">
        <f>D72+E72</f>
        <v>5688.6152805118109</v>
      </c>
      <c r="G112" s="40">
        <f>F72</f>
        <v>134.93971456692913</v>
      </c>
      <c r="H112" s="49"/>
      <c r="I112" s="201">
        <f t="shared" si="76"/>
        <v>8185</v>
      </c>
      <c r="J112" s="480">
        <f t="shared" si="77"/>
        <v>0.44172184903128686</v>
      </c>
      <c r="K112" s="480">
        <f t="shared" si="78"/>
        <v>1.0640881557261148</v>
      </c>
      <c r="L112" s="480">
        <f t="shared" si="79"/>
        <v>2.5241248516073532E-2</v>
      </c>
    </row>
    <row r="113" spans="1:12" x14ac:dyDescent="0.25">
      <c r="A113" s="3">
        <v>2007</v>
      </c>
      <c r="B113" s="3"/>
      <c r="C113" s="49"/>
      <c r="D113" s="49"/>
      <c r="E113" s="40">
        <f>C75</f>
        <v>873.73288508557459</v>
      </c>
      <c r="F113" s="40">
        <f>D75+E75</f>
        <v>2212.3236552567237</v>
      </c>
      <c r="G113" s="40">
        <f>F75</f>
        <v>184.94345965770171</v>
      </c>
      <c r="H113" s="49"/>
      <c r="I113" s="201">
        <f t="shared" si="76"/>
        <v>3271</v>
      </c>
      <c r="J113" s="480">
        <f t="shared" si="77"/>
        <v>0.16343675366359417</v>
      </c>
      <c r="K113" s="480">
        <f t="shared" si="78"/>
        <v>0.41382784423058799</v>
      </c>
      <c r="L113" s="480">
        <f t="shared" si="79"/>
        <v>3.4594736187374048E-2</v>
      </c>
    </row>
    <row r="114" spans="1:12" x14ac:dyDescent="0.25">
      <c r="A114" s="54">
        <v>2008</v>
      </c>
      <c r="B114" s="54"/>
      <c r="C114" s="208"/>
      <c r="D114" s="208"/>
      <c r="E114" s="40">
        <f>C78</f>
        <v>968.18235807860265</v>
      </c>
      <c r="F114" s="40">
        <f>D78+E78</f>
        <v>4763.8176419213978</v>
      </c>
      <c r="G114" s="40">
        <f>F78</f>
        <v>0</v>
      </c>
      <c r="H114" s="208"/>
      <c r="I114" s="201">
        <f t="shared" si="76"/>
        <v>5732</v>
      </c>
      <c r="J114" s="480">
        <f t="shared" si="77"/>
        <v>0.18110406997355077</v>
      </c>
      <c r="K114" s="480">
        <f t="shared" si="78"/>
        <v>0.89109944667441021</v>
      </c>
      <c r="L114" s="480">
        <f t="shared" si="79"/>
        <v>0</v>
      </c>
    </row>
    <row r="115" spans="1:12" x14ac:dyDescent="0.25">
      <c r="A115" s="3">
        <v>2009</v>
      </c>
      <c r="B115" s="3"/>
      <c r="C115" s="206"/>
      <c r="D115" s="206"/>
      <c r="E115" s="40">
        <f>C81</f>
        <v>352.12823315118396</v>
      </c>
      <c r="F115" s="40">
        <f>D81+E81</f>
        <v>5139.8717668488152</v>
      </c>
      <c r="G115" s="40">
        <f>F81</f>
        <v>0</v>
      </c>
      <c r="H115" s="206"/>
      <c r="I115" s="201">
        <f t="shared" si="76"/>
        <v>5491.9999999999991</v>
      </c>
      <c r="J115" s="480">
        <f t="shared" si="77"/>
        <v>6.5867608146499043E-2</v>
      </c>
      <c r="K115" s="480">
        <f t="shared" si="78"/>
        <v>0.96144253027475013</v>
      </c>
      <c r="L115" s="480">
        <f t="shared" si="79"/>
        <v>0</v>
      </c>
    </row>
    <row r="116" spans="1:12" x14ac:dyDescent="0.25">
      <c r="A116" s="3">
        <v>2010</v>
      </c>
      <c r="B116" s="3"/>
      <c r="C116" s="206"/>
      <c r="D116" s="206"/>
      <c r="E116" s="40">
        <f>C84</f>
        <v>587.07630313271807</v>
      </c>
      <c r="F116" s="40">
        <f>D84+E84</f>
        <v>7005.9105680488765</v>
      </c>
      <c r="G116" s="40">
        <f>F84</f>
        <v>101.01312881840634</v>
      </c>
      <c r="H116" s="206"/>
      <c r="I116" s="201">
        <f t="shared" si="76"/>
        <v>7694.0000000000009</v>
      </c>
      <c r="J116" s="480">
        <f t="shared" si="77"/>
        <v>0.10981599385198615</v>
      </c>
      <c r="K116" s="480">
        <f t="shared" si="78"/>
        <v>1.3104958039747241</v>
      </c>
      <c r="L116" s="480">
        <f t="shared" si="79"/>
        <v>1.889508582461772E-2</v>
      </c>
    </row>
    <row r="117" spans="1:12" x14ac:dyDescent="0.25">
      <c r="A117" s="3">
        <v>2011</v>
      </c>
      <c r="B117" s="3"/>
      <c r="C117" s="206"/>
      <c r="D117" s="206"/>
      <c r="E117" s="40">
        <f>C87</f>
        <v>177.93370577281192</v>
      </c>
      <c r="F117" s="40">
        <f>D87+E87</f>
        <v>2375.1150837988826</v>
      </c>
      <c r="G117" s="40">
        <f>F87</f>
        <v>130.95121042830539</v>
      </c>
      <c r="H117" s="206"/>
      <c r="I117" s="201">
        <f t="shared" si="76"/>
        <v>2684</v>
      </c>
      <c r="J117" s="480">
        <f t="shared" si="77"/>
        <v>3.3283521468913557E-2</v>
      </c>
      <c r="K117" s="480">
        <f t="shared" si="78"/>
        <v>0.44427891578729556</v>
      </c>
      <c r="L117" s="480">
        <f t="shared" si="79"/>
        <v>2.4495175912515033E-2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34998626667073579"/>
  </sheetPr>
  <dimension ref="A1:BF93"/>
  <sheetViews>
    <sheetView showGridLines="0" zoomScaleNormal="100" workbookViewId="0">
      <pane xSplit="1" ySplit="11" topLeftCell="B12" activePane="bottomRight" state="frozen"/>
      <selection activeCell="H5" sqref="H5:M36"/>
      <selection pane="topRight" activeCell="H5" sqref="H5:M36"/>
      <selection pane="bottomLeft" activeCell="H5" sqref="H5:M36"/>
      <selection pane="bottomRight" activeCell="G26" sqref="G26"/>
    </sheetView>
  </sheetViews>
  <sheetFormatPr defaultColWidth="9.140625" defaultRowHeight="12.75" x14ac:dyDescent="0.2"/>
  <cols>
    <col min="1" max="6" width="9.140625" style="582"/>
    <col min="7" max="7" width="11.28515625" style="582" customWidth="1"/>
    <col min="8" max="8" width="13.85546875" style="582" customWidth="1"/>
    <col min="9" max="9" width="11.85546875" style="582" customWidth="1"/>
    <col min="10" max="11" width="21.42578125" style="582" customWidth="1"/>
    <col min="12" max="12" width="10.140625" style="582" customWidth="1"/>
    <col min="13" max="13" width="11.5703125" style="582" customWidth="1"/>
    <col min="14" max="14" width="11.28515625" style="582" customWidth="1"/>
    <col min="15" max="15" width="10.140625" style="582" customWidth="1"/>
    <col min="16" max="16" width="10.42578125" style="582" customWidth="1"/>
    <col min="17" max="17" width="7.28515625" style="145" customWidth="1"/>
    <col min="18" max="18" width="7.28515625" style="6" customWidth="1"/>
    <col min="19" max="19" width="7.28515625" style="7" customWidth="1"/>
    <col min="20" max="20" width="7.28515625" style="6" customWidth="1"/>
    <col min="21" max="21" width="7.28515625" style="7" customWidth="1"/>
    <col min="22" max="22" width="7.28515625" style="6" customWidth="1"/>
    <col min="23" max="23" width="7.28515625" style="7" customWidth="1"/>
    <col min="24" max="28" width="7.28515625" style="6" customWidth="1"/>
    <col min="29" max="29" width="7.85546875" style="7" customWidth="1"/>
    <col min="30" max="30" width="10" style="6" bestFit="1" customWidth="1"/>
    <col min="31" max="31" width="6.7109375" style="7" customWidth="1"/>
    <col min="32" max="32" width="10" style="6" bestFit="1" customWidth="1"/>
    <col min="33" max="33" width="6.7109375" style="7" customWidth="1"/>
    <col min="34" max="34" width="10" style="6" bestFit="1" customWidth="1"/>
    <col min="35" max="35" width="6.7109375" style="7" customWidth="1"/>
    <col min="36" max="36" width="9.85546875" style="6" bestFit="1" customWidth="1"/>
    <col min="37" max="37" width="6.42578125" style="7" customWidth="1"/>
    <col min="38" max="38" width="7.7109375" style="6" bestFit="1" customWidth="1"/>
    <col min="39" max="39" width="6.42578125" style="7" customWidth="1"/>
    <col min="40" max="40" width="6.42578125" style="6" customWidth="1"/>
    <col min="41" max="41" width="6.42578125" style="7" customWidth="1"/>
    <col min="42" max="42" width="6.42578125" style="6" customWidth="1"/>
    <col min="43" max="43" width="6.42578125" style="7" customWidth="1"/>
    <col min="44" max="44" width="6.42578125" style="6" customWidth="1"/>
    <col min="45" max="45" width="10" style="6" customWidth="1"/>
    <col min="46" max="16384" width="9.140625" style="6"/>
  </cols>
  <sheetData>
    <row r="1" spans="1:45" ht="15.75" x14ac:dyDescent="0.25">
      <c r="A1" s="581" t="s">
        <v>131</v>
      </c>
      <c r="B1" s="581"/>
      <c r="C1" s="581"/>
      <c r="D1" s="581"/>
      <c r="E1" s="581"/>
      <c r="F1" s="581"/>
      <c r="G1" s="581"/>
    </row>
    <row r="2" spans="1:45" ht="15.75" x14ac:dyDescent="0.25">
      <c r="A2" s="583" t="s">
        <v>20</v>
      </c>
      <c r="B2" s="581"/>
      <c r="C2" s="581"/>
      <c r="D2" s="581"/>
      <c r="E2" s="581"/>
      <c r="F2" s="581"/>
      <c r="G2" s="581"/>
    </row>
    <row r="3" spans="1:45" ht="15.75" x14ac:dyDescent="0.25">
      <c r="A3" s="584" t="s">
        <v>118</v>
      </c>
      <c r="B3" s="581"/>
      <c r="C3" s="581"/>
      <c r="D3" s="581"/>
      <c r="E3" s="581"/>
      <c r="F3" s="581"/>
      <c r="G3" s="581"/>
    </row>
    <row r="4" spans="1:45" ht="15.75" x14ac:dyDescent="0.25">
      <c r="A4" s="584" t="s">
        <v>127</v>
      </c>
      <c r="B4" s="581"/>
      <c r="C4" s="581"/>
      <c r="D4" s="581"/>
      <c r="E4" s="581"/>
      <c r="F4" s="581"/>
      <c r="G4" s="581"/>
    </row>
    <row r="5" spans="1:45" ht="15.75" x14ac:dyDescent="0.25">
      <c r="A5" s="583" t="s">
        <v>128</v>
      </c>
      <c r="B5" s="581"/>
      <c r="C5" s="581"/>
      <c r="D5" s="581"/>
      <c r="E5" s="581"/>
      <c r="F5" s="581"/>
      <c r="G5" s="581"/>
    </row>
    <row r="6" spans="1:45" ht="15.75" x14ac:dyDescent="0.25">
      <c r="A6" s="583" t="s">
        <v>129</v>
      </c>
      <c r="B6" s="581"/>
      <c r="C6" s="581"/>
      <c r="D6" s="581"/>
      <c r="E6" s="581"/>
      <c r="F6" s="581"/>
      <c r="G6" s="581"/>
    </row>
    <row r="7" spans="1:45" ht="15.75" x14ac:dyDescent="0.25">
      <c r="A7" s="583" t="s">
        <v>130</v>
      </c>
      <c r="B7" s="581"/>
      <c r="C7" s="581"/>
      <c r="D7" s="581"/>
      <c r="E7" s="581"/>
      <c r="F7" s="581"/>
      <c r="G7" s="581"/>
    </row>
    <row r="8" spans="1:45" x14ac:dyDescent="0.2">
      <c r="A8" s="585" t="s">
        <v>171</v>
      </c>
      <c r="B8" s="585"/>
      <c r="C8" s="585"/>
      <c r="D8" s="585"/>
      <c r="E8" s="585"/>
      <c r="F8" s="585"/>
      <c r="G8" s="585"/>
    </row>
    <row r="9" spans="1:45" x14ac:dyDescent="0.2">
      <c r="A9" s="586"/>
      <c r="B9" s="587" t="s">
        <v>90</v>
      </c>
      <c r="C9" s="587" t="s">
        <v>90</v>
      </c>
      <c r="D9" s="587" t="s">
        <v>91</v>
      </c>
      <c r="E9" s="587" t="s">
        <v>121</v>
      </c>
      <c r="F9" s="587"/>
      <c r="G9" s="587"/>
      <c r="H9" s="588"/>
      <c r="I9" s="588"/>
      <c r="J9" s="588"/>
      <c r="K9" s="588"/>
      <c r="L9" s="588"/>
      <c r="M9" s="587" t="s">
        <v>90</v>
      </c>
      <c r="N9" s="588"/>
      <c r="O9" s="588"/>
      <c r="P9" s="588"/>
      <c r="Q9" s="131"/>
      <c r="R9" s="132"/>
      <c r="S9" s="131"/>
      <c r="T9" s="132"/>
      <c r="U9" s="131"/>
      <c r="V9" s="132"/>
      <c r="W9" s="131"/>
      <c r="X9" s="132"/>
      <c r="Y9" s="132"/>
      <c r="Z9" s="132"/>
      <c r="AA9" s="132"/>
      <c r="AB9" s="132"/>
      <c r="AC9" s="139"/>
      <c r="AD9" s="140"/>
      <c r="AE9" s="139"/>
      <c r="AF9" s="140"/>
      <c r="AG9" s="139"/>
      <c r="AH9" s="140"/>
      <c r="AI9" s="139"/>
      <c r="AJ9" s="140"/>
      <c r="AK9" s="141"/>
      <c r="AL9" s="142"/>
      <c r="AM9" s="141"/>
      <c r="AN9" s="142"/>
      <c r="AO9" s="141"/>
      <c r="AP9" s="142"/>
      <c r="AQ9" s="141"/>
      <c r="AR9" s="142"/>
      <c r="AS9" s="221"/>
    </row>
    <row r="10" spans="1:45" x14ac:dyDescent="0.2">
      <c r="A10" s="589"/>
      <c r="B10" s="590" t="s">
        <v>119</v>
      </c>
      <c r="C10" s="590" t="s">
        <v>120</v>
      </c>
      <c r="D10" s="590" t="s">
        <v>120</v>
      </c>
      <c r="E10" s="590" t="s">
        <v>122</v>
      </c>
      <c r="F10" s="590" t="s">
        <v>9</v>
      </c>
      <c r="G10" s="590" t="s">
        <v>9</v>
      </c>
      <c r="H10" s="590" t="s">
        <v>12</v>
      </c>
      <c r="I10" s="590" t="s">
        <v>13</v>
      </c>
      <c r="J10" s="590" t="s">
        <v>9</v>
      </c>
      <c r="K10" s="590" t="s">
        <v>173</v>
      </c>
      <c r="L10" s="590" t="s">
        <v>9</v>
      </c>
      <c r="M10" s="590" t="s">
        <v>119</v>
      </c>
      <c r="N10" s="590" t="s">
        <v>9</v>
      </c>
      <c r="O10" s="590"/>
      <c r="P10" s="590" t="s">
        <v>14</v>
      </c>
      <c r="Q10" s="215" t="s">
        <v>95</v>
      </c>
      <c r="R10" s="215"/>
      <c r="S10" s="216"/>
      <c r="T10" s="216"/>
      <c r="U10" s="216"/>
      <c r="V10" s="216"/>
      <c r="W10" s="216"/>
      <c r="X10" s="216"/>
      <c r="Y10" s="216"/>
      <c r="Z10" s="216"/>
      <c r="AA10" s="182"/>
      <c r="AB10" s="182"/>
      <c r="AC10" s="217" t="s">
        <v>18</v>
      </c>
      <c r="AD10" s="185"/>
      <c r="AE10" s="217"/>
      <c r="AF10" s="185"/>
      <c r="AG10" s="217"/>
      <c r="AH10" s="185"/>
      <c r="AI10" s="217"/>
      <c r="AJ10" s="185"/>
      <c r="AK10" s="186" t="s">
        <v>21</v>
      </c>
      <c r="AL10" s="187"/>
      <c r="AM10" s="186"/>
      <c r="AN10" s="187"/>
      <c r="AO10" s="186"/>
      <c r="AP10" s="187"/>
      <c r="AQ10" s="186"/>
      <c r="AR10" s="187"/>
      <c r="AS10" s="218" t="s">
        <v>74</v>
      </c>
    </row>
    <row r="11" spans="1:45" x14ac:dyDescent="0.2">
      <c r="A11" s="591" t="s">
        <v>10</v>
      </c>
      <c r="B11" s="591" t="s">
        <v>21</v>
      </c>
      <c r="C11" s="591" t="s">
        <v>21</v>
      </c>
      <c r="D11" s="591" t="s">
        <v>21</v>
      </c>
      <c r="E11" s="591" t="s">
        <v>21</v>
      </c>
      <c r="F11" s="591" t="s">
        <v>21</v>
      </c>
      <c r="G11" s="591" t="s">
        <v>174</v>
      </c>
      <c r="H11" s="591" t="s">
        <v>15</v>
      </c>
      <c r="I11" s="591" t="s">
        <v>16</v>
      </c>
      <c r="J11" s="591" t="s">
        <v>18</v>
      </c>
      <c r="K11" s="591" t="s">
        <v>175</v>
      </c>
      <c r="L11" s="591" t="s">
        <v>22</v>
      </c>
      <c r="M11" s="591" t="s">
        <v>92</v>
      </c>
      <c r="N11" s="591" t="s">
        <v>92</v>
      </c>
      <c r="O11" s="591" t="s">
        <v>17</v>
      </c>
      <c r="P11" s="591" t="s">
        <v>18</v>
      </c>
      <c r="Q11" s="133" t="s">
        <v>10</v>
      </c>
      <c r="R11" s="133" t="s">
        <v>24</v>
      </c>
      <c r="S11" s="133"/>
      <c r="T11" s="133" t="s">
        <v>25</v>
      </c>
      <c r="U11" s="133"/>
      <c r="V11" s="133" t="s">
        <v>26</v>
      </c>
      <c r="W11" s="133"/>
      <c r="X11" s="133" t="s">
        <v>27</v>
      </c>
      <c r="Y11" s="133" t="s">
        <v>9</v>
      </c>
      <c r="Z11" s="133"/>
      <c r="AA11" s="133" t="s">
        <v>43</v>
      </c>
      <c r="AB11" s="133" t="s">
        <v>99</v>
      </c>
      <c r="AC11" s="143" t="s">
        <v>10</v>
      </c>
      <c r="AD11" s="143" t="s">
        <v>24</v>
      </c>
      <c r="AE11" s="143"/>
      <c r="AF11" s="143" t="s">
        <v>25</v>
      </c>
      <c r="AG11" s="143"/>
      <c r="AH11" s="143" t="s">
        <v>26</v>
      </c>
      <c r="AI11" s="143"/>
      <c r="AJ11" s="143" t="s">
        <v>27</v>
      </c>
      <c r="AK11" s="144" t="s">
        <v>10</v>
      </c>
      <c r="AL11" s="144" t="s">
        <v>24</v>
      </c>
      <c r="AM11" s="144"/>
      <c r="AN11" s="144" t="s">
        <v>25</v>
      </c>
      <c r="AO11" s="144"/>
      <c r="AP11" s="144" t="s">
        <v>26</v>
      </c>
      <c r="AQ11" s="144"/>
      <c r="AR11" s="144" t="s">
        <v>27</v>
      </c>
      <c r="AS11" s="36" t="s">
        <v>9</v>
      </c>
    </row>
    <row r="12" spans="1:45" x14ac:dyDescent="0.2">
      <c r="A12" s="592">
        <v>1983</v>
      </c>
      <c r="B12" s="593" t="s">
        <v>19</v>
      </c>
      <c r="C12" s="593" t="s">
        <v>19</v>
      </c>
      <c r="D12" s="594" t="s">
        <v>19</v>
      </c>
      <c r="E12" s="594" t="s">
        <v>19</v>
      </c>
      <c r="F12" s="595" t="s">
        <v>19</v>
      </c>
      <c r="G12" s="596">
        <v>0.9</v>
      </c>
      <c r="H12" s="597">
        <f>'Daily Weir Counts'!B$5</f>
        <v>40866</v>
      </c>
      <c r="I12" s="598">
        <f>'Daily Weir Counts'!B$6</f>
        <v>10484</v>
      </c>
      <c r="J12" s="599">
        <f>'Daily Weir Counts'!B6</f>
        <v>10484</v>
      </c>
      <c r="K12" s="600">
        <v>0.05</v>
      </c>
      <c r="L12" s="601" t="s">
        <v>19</v>
      </c>
      <c r="M12" s="601" t="s">
        <v>19</v>
      </c>
      <c r="N12" s="601" t="s">
        <v>19</v>
      </c>
      <c r="O12" s="599">
        <v>0</v>
      </c>
      <c r="P12" s="599">
        <f>J12-O12</f>
        <v>10484</v>
      </c>
      <c r="Q12" s="235">
        <v>1986</v>
      </c>
      <c r="R12" s="236">
        <f>AD12+AL12</f>
        <v>24.210088268618353</v>
      </c>
      <c r="S12" s="235">
        <v>1987</v>
      </c>
      <c r="T12" s="236">
        <f>AF12+AN12</f>
        <v>892.11014577577635</v>
      </c>
      <c r="U12" s="237">
        <v>1988</v>
      </c>
      <c r="V12" s="236">
        <f>AH12+AP12</f>
        <v>2559.6954524929265</v>
      </c>
      <c r="W12" s="147">
        <v>1989</v>
      </c>
      <c r="X12" s="134">
        <f>AJ12+AR12</f>
        <v>1522.0453043056796</v>
      </c>
      <c r="Y12" s="134">
        <f>SUM(R12,T12,V12,X12)</f>
        <v>4998.0609908430006</v>
      </c>
      <c r="Z12" s="500">
        <f>LN(Y12)</f>
        <v>8.5168053143702611</v>
      </c>
      <c r="AA12" s="135">
        <f>Y12/P12</f>
        <v>0.47673225780646705</v>
      </c>
      <c r="AB12" s="135">
        <f>LN(AA12)</f>
        <v>-0.74080025007303585</v>
      </c>
      <c r="AC12" s="233">
        <v>1986</v>
      </c>
      <c r="AD12" s="48">
        <f>'Escapement Age'!B9</f>
        <v>24.210088268618353</v>
      </c>
      <c r="AE12" s="233">
        <v>1987</v>
      </c>
      <c r="AF12" s="48">
        <f>'Escapement Age'!C10</f>
        <v>780.20613882605323</v>
      </c>
      <c r="AG12" s="234">
        <v>1988</v>
      </c>
      <c r="AH12" s="48">
        <f>'Escapement Age'!D11</f>
        <v>1048.6954524929265</v>
      </c>
      <c r="AI12" s="233">
        <v>1989</v>
      </c>
      <c r="AJ12" s="114">
        <f>'Escapement Age'!E12</f>
        <v>918.85187364874514</v>
      </c>
      <c r="AK12" s="126">
        <v>1986</v>
      </c>
      <c r="AL12" s="116">
        <f>'Catch Age'!D92</f>
        <v>0</v>
      </c>
      <c r="AM12" s="126">
        <v>1987</v>
      </c>
      <c r="AN12" s="116">
        <f>'Catch Age'!E93</f>
        <v>111.9040069497231</v>
      </c>
      <c r="AO12" s="126">
        <v>1988</v>
      </c>
      <c r="AP12" s="116">
        <f>'Catch Age'!F94</f>
        <v>1511</v>
      </c>
      <c r="AQ12" s="126">
        <v>1989</v>
      </c>
      <c r="AR12" s="116">
        <f>'Catch Age'!G95</f>
        <v>603.19343065693431</v>
      </c>
      <c r="AS12" s="115">
        <f>SUM(AL12,AN12,AP12,AR12)</f>
        <v>2226.0974376066574</v>
      </c>
    </row>
    <row r="13" spans="1:45" x14ac:dyDescent="0.2">
      <c r="A13" s="592">
        <v>1984</v>
      </c>
      <c r="B13" s="593" t="s">
        <v>19</v>
      </c>
      <c r="C13" s="593" t="s">
        <v>19</v>
      </c>
      <c r="D13" s="594" t="s">
        <v>19</v>
      </c>
      <c r="E13" s="594" t="s">
        <v>19</v>
      </c>
      <c r="F13" s="595" t="s">
        <v>19</v>
      </c>
      <c r="G13" s="596">
        <v>0.9</v>
      </c>
      <c r="H13" s="597">
        <f>'Daily Weir Counts'!C$5</f>
        <v>40794</v>
      </c>
      <c r="I13" s="598">
        <f>'Daily Weir Counts'!C$6</f>
        <v>9764</v>
      </c>
      <c r="J13" s="602">
        <f>'Weir Expansions'!B15</f>
        <v>10619.443567532897</v>
      </c>
      <c r="K13" s="603">
        <f>'Weir Expansions'!B26</f>
        <v>6.5446277927890331E-2</v>
      </c>
      <c r="L13" s="601" t="s">
        <v>19</v>
      </c>
      <c r="M13" s="601" t="s">
        <v>19</v>
      </c>
      <c r="N13" s="601" t="s">
        <v>19</v>
      </c>
      <c r="O13" s="599">
        <v>0</v>
      </c>
      <c r="P13" s="599">
        <f t="shared" ref="P13:P42" si="0">J13-O13</f>
        <v>10619.443567532897</v>
      </c>
      <c r="Q13" s="235">
        <v>1987</v>
      </c>
      <c r="R13" s="236">
        <f>AD13+AL13</f>
        <v>0</v>
      </c>
      <c r="S13" s="237">
        <v>1988</v>
      </c>
      <c r="T13" s="236">
        <f t="shared" ref="T13:T36" si="1">AF13+AN13</f>
        <v>1820.0868167450485</v>
      </c>
      <c r="U13" s="235">
        <v>1989</v>
      </c>
      <c r="V13" s="236">
        <f>AH13+AP13</f>
        <v>14983.131295900497</v>
      </c>
      <c r="W13" s="147">
        <v>1990</v>
      </c>
      <c r="X13" s="134">
        <f t="shared" ref="X13:X34" si="2">AJ13+AR13</f>
        <v>717.63578104926535</v>
      </c>
      <c r="Y13" s="134">
        <f t="shared" ref="Y13:Y35" si="3">SUM(R13,T13,V13,X13)</f>
        <v>17520.853893694813</v>
      </c>
      <c r="Z13" s="500">
        <f t="shared" ref="Z13:Z35" si="4">LN(Y13)</f>
        <v>9.771147101527303</v>
      </c>
      <c r="AA13" s="135">
        <f t="shared" ref="AA13:AA35" si="5">Y13/P13</f>
        <v>1.6498843637402791</v>
      </c>
      <c r="AB13" s="135">
        <f t="shared" ref="AB13:AB35" si="6">LN(AA13)</f>
        <v>0.50070520287494136</v>
      </c>
      <c r="AC13" s="233">
        <v>1987</v>
      </c>
      <c r="AD13" s="48">
        <f>'Escapement Age'!B10</f>
        <v>0</v>
      </c>
      <c r="AE13" s="234">
        <v>1988</v>
      </c>
      <c r="AF13" s="48">
        <f>'Escapement Age'!C11</f>
        <v>734.08681674504862</v>
      </c>
      <c r="AG13" s="233">
        <v>1989</v>
      </c>
      <c r="AH13" s="48">
        <f>'Escapement Age'!D12</f>
        <v>9201.1057484552421</v>
      </c>
      <c r="AI13" s="233">
        <v>1990</v>
      </c>
      <c r="AJ13" s="114">
        <f>'Escapement Age'!E13</f>
        <v>452.30942636946236</v>
      </c>
      <c r="AK13" s="126">
        <v>1987</v>
      </c>
      <c r="AL13" s="116">
        <f>'Catch Age'!D93</f>
        <v>0</v>
      </c>
      <c r="AM13" s="126">
        <v>1988</v>
      </c>
      <c r="AN13" s="116">
        <f>'Catch Age'!E94</f>
        <v>1086</v>
      </c>
      <c r="AO13" s="126">
        <v>1989</v>
      </c>
      <c r="AP13" s="116">
        <f>'Catch Age'!F95</f>
        <v>5782.0255474452551</v>
      </c>
      <c r="AQ13" s="126">
        <v>1990</v>
      </c>
      <c r="AR13" s="116">
        <f>'Catch Age'!G96</f>
        <v>265.32635467980299</v>
      </c>
      <c r="AS13" s="115">
        <f t="shared" ref="AS13:AS34" si="7">SUM(AL13,AN13,AP13,AR13)</f>
        <v>7133.3519021250577</v>
      </c>
    </row>
    <row r="14" spans="1:45" x14ac:dyDescent="0.2">
      <c r="A14" s="592">
        <v>1985</v>
      </c>
      <c r="B14" s="593" t="s">
        <v>19</v>
      </c>
      <c r="C14" s="593" t="s">
        <v>19</v>
      </c>
      <c r="D14" s="594" t="s">
        <v>19</v>
      </c>
      <c r="E14" s="594" t="s">
        <v>19</v>
      </c>
      <c r="F14" s="595" t="s">
        <v>19</v>
      </c>
      <c r="G14" s="596">
        <v>0.9</v>
      </c>
      <c r="H14" s="597">
        <f>'Daily Weir Counts'!D$5</f>
        <v>40784</v>
      </c>
      <c r="I14" s="598">
        <f>'Daily Weir Counts'!D$6</f>
        <v>7073</v>
      </c>
      <c r="J14" s="604">
        <f>'Weir Expansions'!C15</f>
        <v>8157.0449090643469</v>
      </c>
      <c r="K14" s="603">
        <f>'Weir Expansions'!C26</f>
        <v>0.26379212324081497</v>
      </c>
      <c r="L14" s="601" t="s">
        <v>19</v>
      </c>
      <c r="M14" s="601" t="s">
        <v>19</v>
      </c>
      <c r="N14" s="601" t="s">
        <v>19</v>
      </c>
      <c r="O14" s="599">
        <v>0</v>
      </c>
      <c r="P14" s="599">
        <f t="shared" si="0"/>
        <v>8157.0449090643469</v>
      </c>
      <c r="Q14" s="237">
        <v>1988</v>
      </c>
      <c r="R14" s="236">
        <f t="shared" ref="R14:R37" si="8">AD14+AL14</f>
        <v>2.7597248749813859</v>
      </c>
      <c r="S14" s="235">
        <v>1989</v>
      </c>
      <c r="T14" s="236">
        <f t="shared" si="1"/>
        <v>5105.3858874943126</v>
      </c>
      <c r="U14" s="235">
        <v>1990</v>
      </c>
      <c r="V14" s="236">
        <f t="shared" ref="V14:V35" si="9">AH14+AP14</f>
        <v>12057.542013753889</v>
      </c>
      <c r="W14" s="161">
        <v>1991</v>
      </c>
      <c r="X14" s="136" t="e">
        <f t="shared" si="2"/>
        <v>#VALUE!</v>
      </c>
      <c r="Y14" s="134" t="e">
        <f t="shared" si="3"/>
        <v>#VALUE!</v>
      </c>
      <c r="Z14" s="500" t="e">
        <f t="shared" si="4"/>
        <v>#VALUE!</v>
      </c>
      <c r="AA14" s="135" t="e">
        <f t="shared" si="5"/>
        <v>#VALUE!</v>
      </c>
      <c r="AB14" s="135" t="e">
        <f t="shared" si="6"/>
        <v>#VALUE!</v>
      </c>
      <c r="AC14" s="234">
        <v>1988</v>
      </c>
      <c r="AD14" s="48">
        <f>'Escapement Age'!B11</f>
        <v>2.7597248749813859</v>
      </c>
      <c r="AE14" s="233">
        <v>1989</v>
      </c>
      <c r="AF14" s="48">
        <f>'Escapement Age'!C12</f>
        <v>4065.6048655965023</v>
      </c>
      <c r="AG14" s="233">
        <v>1990</v>
      </c>
      <c r="AH14" s="48">
        <f>'Escapement Age'!D13</f>
        <v>9449.3338856750725</v>
      </c>
      <c r="AI14" s="233">
        <v>1991</v>
      </c>
      <c r="AJ14" s="114">
        <f>'Escapement Age'!E14</f>
        <v>62.271102673537015</v>
      </c>
      <c r="AK14" s="126">
        <v>1988</v>
      </c>
      <c r="AL14" s="116">
        <f>'Catch Age'!D94</f>
        <v>0</v>
      </c>
      <c r="AM14" s="126">
        <v>1989</v>
      </c>
      <c r="AN14" s="116">
        <f>'Catch Age'!E95</f>
        <v>1039.7810218978102</v>
      </c>
      <c r="AO14" s="126">
        <v>1990</v>
      </c>
      <c r="AP14" s="116">
        <f>'Catch Age'!F96</f>
        <v>2608.2081280788175</v>
      </c>
      <c r="AQ14" s="164">
        <v>1991</v>
      </c>
      <c r="AR14" s="165" t="e">
        <f>'Catch Age'!G97</f>
        <v>#VALUE!</v>
      </c>
      <c r="AS14" s="115" t="e">
        <f t="shared" si="7"/>
        <v>#VALUE!</v>
      </c>
    </row>
    <row r="15" spans="1:45" x14ac:dyDescent="0.2">
      <c r="A15" s="592">
        <v>1986</v>
      </c>
      <c r="B15" s="605">
        <f>'Catch Age'!P10</f>
        <v>5346</v>
      </c>
      <c r="C15" s="605">
        <f>'Catch Age'!W10</f>
        <v>0</v>
      </c>
      <c r="D15" s="606">
        <f>'Catch Age'!AD10</f>
        <v>0</v>
      </c>
      <c r="E15" s="606">
        <f>'Catch Age'!AK10</f>
        <v>0</v>
      </c>
      <c r="F15" s="607">
        <f>SUM(B15:E15)</f>
        <v>5346</v>
      </c>
      <c r="G15" s="608">
        <v>0.1</v>
      </c>
      <c r="H15" s="597">
        <f>'Daily Weir Counts'!E$5</f>
        <v>40784</v>
      </c>
      <c r="I15" s="598">
        <f>'Daily Weir Counts'!E$6</f>
        <v>5857</v>
      </c>
      <c r="J15" s="604">
        <f>'Weir Expansions'!D15</f>
        <v>7037.0656567450678</v>
      </c>
      <c r="K15" s="603">
        <f>'Weir Expansions'!D26</f>
        <v>0.26379212324081497</v>
      </c>
      <c r="L15" s="599">
        <f>F15+J15</f>
        <v>12383.065656745068</v>
      </c>
      <c r="M15" s="609">
        <f>B15/L15</f>
        <v>0.43171861865143457</v>
      </c>
      <c r="N15" s="609">
        <f>F15/L15</f>
        <v>0.43171861865143457</v>
      </c>
      <c r="O15" s="599">
        <v>0</v>
      </c>
      <c r="P15" s="599">
        <f t="shared" si="0"/>
        <v>7037.0656567450678</v>
      </c>
      <c r="Q15" s="147">
        <v>1989</v>
      </c>
      <c r="R15" s="134">
        <f t="shared" si="8"/>
        <v>12.58701196779103</v>
      </c>
      <c r="S15" s="147">
        <v>1990</v>
      </c>
      <c r="T15" s="134">
        <f t="shared" si="1"/>
        <v>9510.025836992796</v>
      </c>
      <c r="U15" s="161">
        <v>1991</v>
      </c>
      <c r="V15" s="136" t="e">
        <f t="shared" si="9"/>
        <v>#VALUE!</v>
      </c>
      <c r="W15" s="147">
        <v>1992</v>
      </c>
      <c r="X15" s="134">
        <f t="shared" si="2"/>
        <v>620.77996530062865</v>
      </c>
      <c r="Y15" s="134" t="e">
        <f t="shared" si="3"/>
        <v>#VALUE!</v>
      </c>
      <c r="Z15" s="500" t="e">
        <f t="shared" si="4"/>
        <v>#VALUE!</v>
      </c>
      <c r="AA15" s="135" t="e">
        <f t="shared" si="5"/>
        <v>#VALUE!</v>
      </c>
      <c r="AB15" s="135" t="e">
        <f t="shared" si="6"/>
        <v>#VALUE!</v>
      </c>
      <c r="AC15" s="128">
        <v>1989</v>
      </c>
      <c r="AD15" s="114">
        <f>'Escapement Age'!B12</f>
        <v>12.58701196779103</v>
      </c>
      <c r="AE15" s="128">
        <v>1990</v>
      </c>
      <c r="AF15" s="114">
        <f>'Escapement Age'!C13</f>
        <v>8318.5603197514174</v>
      </c>
      <c r="AG15" s="128">
        <v>1991</v>
      </c>
      <c r="AH15" s="114">
        <f>'Escapement Age'!D14</f>
        <v>1382.4184793525219</v>
      </c>
      <c r="AI15" s="128">
        <v>1992</v>
      </c>
      <c r="AJ15" s="114">
        <f>'Escapement Age'!E15</f>
        <v>167.77996530062859</v>
      </c>
      <c r="AK15" s="126">
        <v>1989</v>
      </c>
      <c r="AL15" s="116">
        <f>'Catch Age'!D95</f>
        <v>0</v>
      </c>
      <c r="AM15" s="126">
        <v>1990</v>
      </c>
      <c r="AN15" s="116">
        <f>'Catch Age'!E96</f>
        <v>1191.4655172413793</v>
      </c>
      <c r="AO15" s="164">
        <v>1991</v>
      </c>
      <c r="AP15" s="165" t="e">
        <f>'Catch Age'!F97</f>
        <v>#VALUE!</v>
      </c>
      <c r="AQ15" s="126">
        <v>1992</v>
      </c>
      <c r="AR15" s="116">
        <f>'Catch Age'!G98</f>
        <v>453</v>
      </c>
      <c r="AS15" s="115" t="e">
        <f t="shared" si="7"/>
        <v>#VALUE!</v>
      </c>
    </row>
    <row r="16" spans="1:45" x14ac:dyDescent="0.2">
      <c r="A16" s="592">
        <v>1987</v>
      </c>
      <c r="B16" s="605">
        <f>'Catch Age'!P13</f>
        <v>9284</v>
      </c>
      <c r="C16" s="605">
        <f>'Catch Age'!W13</f>
        <v>0</v>
      </c>
      <c r="D16" s="606">
        <f>'Catch Age'!AD13</f>
        <v>0</v>
      </c>
      <c r="E16" s="606">
        <f>'Catch Age'!AK13</f>
        <v>0</v>
      </c>
      <c r="F16" s="607">
        <f t="shared" ref="F16:F24" si="10">SUM(B16:E16)</f>
        <v>9284</v>
      </c>
      <c r="G16" s="608">
        <v>0.1</v>
      </c>
      <c r="H16" s="597">
        <f>'Daily Weir Counts'!F$5</f>
        <v>40782</v>
      </c>
      <c r="I16" s="598">
        <f>'Daily Weir Counts'!F$6</f>
        <v>9353</v>
      </c>
      <c r="J16" s="604">
        <f>'Weir Expansions'!E15</f>
        <v>10257.416001624877</v>
      </c>
      <c r="K16" s="603">
        <f>'Weir Expansions'!E26</f>
        <v>0.27226943666346037</v>
      </c>
      <c r="L16" s="599">
        <f>F16+J16</f>
        <v>19541.416001624879</v>
      </c>
      <c r="M16" s="609">
        <f>B16/L16</f>
        <v>0.47509351416642637</v>
      </c>
      <c r="N16" s="609">
        <f>F16/L16</f>
        <v>0.47509351416642637</v>
      </c>
      <c r="O16" s="599">
        <v>0</v>
      </c>
      <c r="P16" s="599">
        <f t="shared" si="0"/>
        <v>10257.416001624877</v>
      </c>
      <c r="Q16" s="147">
        <v>1990</v>
      </c>
      <c r="R16" s="134">
        <f t="shared" si="8"/>
        <v>88.495322550546987</v>
      </c>
      <c r="S16" s="161">
        <v>1991</v>
      </c>
      <c r="T16" s="136" t="e">
        <f t="shared" si="1"/>
        <v>#VALUE!</v>
      </c>
      <c r="U16" s="147">
        <v>1992</v>
      </c>
      <c r="V16" s="134">
        <f t="shared" si="9"/>
        <v>11593.936039577544</v>
      </c>
      <c r="W16" s="161">
        <v>1993</v>
      </c>
      <c r="X16" s="136">
        <f t="shared" si="2"/>
        <v>1801.7474606389719</v>
      </c>
      <c r="Y16" s="134" t="e">
        <f t="shared" si="3"/>
        <v>#VALUE!</v>
      </c>
      <c r="Z16" s="500" t="e">
        <f t="shared" si="4"/>
        <v>#VALUE!</v>
      </c>
      <c r="AA16" s="135" t="e">
        <f t="shared" si="5"/>
        <v>#VALUE!</v>
      </c>
      <c r="AB16" s="135" t="e">
        <f t="shared" si="6"/>
        <v>#VALUE!</v>
      </c>
      <c r="AC16" s="128">
        <v>1990</v>
      </c>
      <c r="AD16" s="114">
        <f>'Escapement Age'!B13</f>
        <v>88.495322550546987</v>
      </c>
      <c r="AE16" s="128">
        <v>1991</v>
      </c>
      <c r="AF16" s="114">
        <f>'Escapement Age'!C14</f>
        <v>460.80615978417399</v>
      </c>
      <c r="AG16" s="128">
        <v>1992</v>
      </c>
      <c r="AH16" s="114">
        <f>'Escapement Age'!D15</f>
        <v>4271.9360395775429</v>
      </c>
      <c r="AI16" s="162">
        <v>1993</v>
      </c>
      <c r="AJ16" s="163">
        <f>'Escapement Age'!E16</f>
        <v>793.86007497867729</v>
      </c>
      <c r="AK16" s="126">
        <v>1990</v>
      </c>
      <c r="AL16" s="116">
        <f>'Catch Age'!D96</f>
        <v>0</v>
      </c>
      <c r="AM16" s="164">
        <v>1991</v>
      </c>
      <c r="AN16" s="165" t="e">
        <f>'Catch Age'!E97</f>
        <v>#VALUE!</v>
      </c>
      <c r="AO16" s="126">
        <v>1992</v>
      </c>
      <c r="AP16" s="116">
        <f>'Catch Age'!F98</f>
        <v>7322</v>
      </c>
      <c r="AQ16" s="126">
        <v>1993</v>
      </c>
      <c r="AR16" s="116">
        <f>'Catch Age'!G99</f>
        <v>1007.8873856602946</v>
      </c>
      <c r="AS16" s="115" t="e">
        <f t="shared" si="7"/>
        <v>#VALUE!</v>
      </c>
    </row>
    <row r="17" spans="1:45" x14ac:dyDescent="0.2">
      <c r="A17" s="592">
        <v>1988</v>
      </c>
      <c r="B17" s="605">
        <f>'Catch Age'!P16</f>
        <v>2637</v>
      </c>
      <c r="C17" s="605">
        <f>'Catch Age'!W16</f>
        <v>0</v>
      </c>
      <c r="D17" s="606">
        <f>'Catch Age'!AD16</f>
        <v>0</v>
      </c>
      <c r="E17" s="606">
        <f>'Catch Age'!AK16</f>
        <v>0</v>
      </c>
      <c r="F17" s="607">
        <f t="shared" si="10"/>
        <v>2637</v>
      </c>
      <c r="G17" s="608">
        <v>0.1</v>
      </c>
      <c r="H17" s="597">
        <f>'Daily Weir Counts'!G$5</f>
        <v>40786</v>
      </c>
      <c r="I17" s="598">
        <f>'Daily Weir Counts'!G$6</f>
        <v>969</v>
      </c>
      <c r="J17" s="604">
        <f>'Weir Expansions'!F15</f>
        <v>1818.6586926127331</v>
      </c>
      <c r="K17" s="603">
        <f>'Weir Expansions'!F26</f>
        <v>0.20700924558307968</v>
      </c>
      <c r="L17" s="599">
        <f>F17+J17</f>
        <v>4455.6586926127329</v>
      </c>
      <c r="M17" s="609">
        <f>B17/L17</f>
        <v>0.59183168683275011</v>
      </c>
      <c r="N17" s="609">
        <f>F17/L17</f>
        <v>0.59183168683275011</v>
      </c>
      <c r="O17" s="599">
        <v>259</v>
      </c>
      <c r="P17" s="599">
        <f t="shared" si="0"/>
        <v>1559.6586926127331</v>
      </c>
      <c r="Q17" s="161">
        <v>1991</v>
      </c>
      <c r="R17" s="136">
        <f t="shared" si="8"/>
        <v>12.454220534707405</v>
      </c>
      <c r="S17" s="147">
        <v>1992</v>
      </c>
      <c r="T17" s="134">
        <f t="shared" si="1"/>
        <v>8110.3926343450294</v>
      </c>
      <c r="U17" s="161">
        <v>1993</v>
      </c>
      <c r="V17" s="136">
        <f t="shared" si="9"/>
        <v>30169.734644887121</v>
      </c>
      <c r="W17" s="161">
        <v>1994</v>
      </c>
      <c r="X17" s="136">
        <f t="shared" si="2"/>
        <v>29.669759934593102</v>
      </c>
      <c r="Y17" s="134">
        <f t="shared" si="3"/>
        <v>38322.25125970145</v>
      </c>
      <c r="Z17" s="500">
        <f t="shared" si="4"/>
        <v>10.553785979307513</v>
      </c>
      <c r="AA17" s="135">
        <f t="shared" si="5"/>
        <v>24.570921472251207</v>
      </c>
      <c r="AB17" s="135">
        <f t="shared" si="6"/>
        <v>3.2015636897879598</v>
      </c>
      <c r="AC17" s="128">
        <v>1991</v>
      </c>
      <c r="AD17" s="114">
        <f>'Escapement Age'!B14</f>
        <v>12.454220534707405</v>
      </c>
      <c r="AE17" s="128">
        <v>1992</v>
      </c>
      <c r="AF17" s="114">
        <f>'Escapement Age'!C15</f>
        <v>5859.3926343450294</v>
      </c>
      <c r="AG17" s="162">
        <v>1993</v>
      </c>
      <c r="AH17" s="163">
        <f>'Escapement Age'!D16</f>
        <v>15130.039076064204</v>
      </c>
      <c r="AI17" s="162">
        <v>1994</v>
      </c>
      <c r="AJ17" s="163">
        <f>'Escapement Age'!E17</f>
        <v>11.64596614741531</v>
      </c>
      <c r="AK17" s="164">
        <v>1991</v>
      </c>
      <c r="AL17" s="165">
        <f>'Catch Age'!D97</f>
        <v>0</v>
      </c>
      <c r="AM17" s="126">
        <v>1992</v>
      </c>
      <c r="AN17" s="116">
        <f>'Catch Age'!E98</f>
        <v>2251</v>
      </c>
      <c r="AO17" s="126">
        <v>1993</v>
      </c>
      <c r="AP17" s="116">
        <f>'Catch Age'!F99</f>
        <v>15039.695568822917</v>
      </c>
      <c r="AQ17" s="126">
        <v>1994</v>
      </c>
      <c r="AR17" s="116">
        <f>'Catch Age'!G100</f>
        <v>18.023793787177791</v>
      </c>
      <c r="AS17" s="115">
        <f t="shared" si="7"/>
        <v>17308.719362610096</v>
      </c>
    </row>
    <row r="18" spans="1:45" x14ac:dyDescent="0.2">
      <c r="A18" s="592">
        <v>1989</v>
      </c>
      <c r="B18" s="605">
        <f>'Catch Age'!P19</f>
        <v>7425</v>
      </c>
      <c r="C18" s="605">
        <f>'Catch Age'!W19</f>
        <v>0</v>
      </c>
      <c r="D18" s="606">
        <f>'Catch Age'!AD19</f>
        <v>0</v>
      </c>
      <c r="E18" s="606">
        <f>'Catch Age'!AK19</f>
        <v>0</v>
      </c>
      <c r="F18" s="607">
        <f t="shared" si="10"/>
        <v>7425</v>
      </c>
      <c r="G18" s="608">
        <v>0.1</v>
      </c>
      <c r="H18" s="597">
        <f>'Daily Weir Counts'!H$5</f>
        <v>40791</v>
      </c>
      <c r="I18" s="598">
        <f>'Daily Weir Counts'!H$6</f>
        <v>12854</v>
      </c>
      <c r="J18" s="604">
        <f>'Weir Expansions'!G15</f>
        <v>14198.149499668281</v>
      </c>
      <c r="K18" s="603">
        <f>'Weir Expansions'!G26</f>
        <v>7.045765106554594E-2</v>
      </c>
      <c r="L18" s="599">
        <f>F18+J18</f>
        <v>21623.149499668281</v>
      </c>
      <c r="M18" s="609">
        <f>B18/L18</f>
        <v>0.34338198513190255</v>
      </c>
      <c r="N18" s="609">
        <f>F18/L18</f>
        <v>0.34338198513190255</v>
      </c>
      <c r="O18" s="599">
        <v>2115</v>
      </c>
      <c r="P18" s="599">
        <f t="shared" si="0"/>
        <v>12083.149499668281</v>
      </c>
      <c r="Q18" s="147">
        <v>1992</v>
      </c>
      <c r="R18" s="134">
        <f t="shared" si="8"/>
        <v>0</v>
      </c>
      <c r="S18" s="161">
        <v>1993</v>
      </c>
      <c r="T18" s="136">
        <f t="shared" si="1"/>
        <v>10758.9943099969</v>
      </c>
      <c r="U18" s="161">
        <v>1994</v>
      </c>
      <c r="V18" s="136">
        <f t="shared" si="9"/>
        <v>2892.0878174497552</v>
      </c>
      <c r="W18" s="147">
        <v>1995</v>
      </c>
      <c r="X18" s="134">
        <f t="shared" si="2"/>
        <v>1733.4790273184158</v>
      </c>
      <c r="Y18" s="134">
        <f t="shared" si="3"/>
        <v>15384.561154765071</v>
      </c>
      <c r="Z18" s="500">
        <f t="shared" si="4"/>
        <v>9.6411197631221537</v>
      </c>
      <c r="AA18" s="135">
        <f t="shared" si="5"/>
        <v>1.2732244316920371</v>
      </c>
      <c r="AB18" s="135">
        <f t="shared" si="6"/>
        <v>0.24155260544373017</v>
      </c>
      <c r="AC18" s="128">
        <v>1992</v>
      </c>
      <c r="AD18" s="114">
        <f>'Escapement Age'!B15</f>
        <v>0</v>
      </c>
      <c r="AE18" s="162">
        <v>1993</v>
      </c>
      <c r="AF18" s="163">
        <f>'Escapement Age'!C16</f>
        <v>8405.5772644801127</v>
      </c>
      <c r="AG18" s="162">
        <v>1994</v>
      </c>
      <c r="AH18" s="163">
        <f>'Escapement Age'!D17</f>
        <v>1473.2147176480366</v>
      </c>
      <c r="AI18" s="128">
        <v>1995</v>
      </c>
      <c r="AJ18" s="114">
        <f>'Escapement Age'!E18</f>
        <v>822.71725894979829</v>
      </c>
      <c r="AK18" s="126">
        <v>1992</v>
      </c>
      <c r="AL18" s="116">
        <f>'Catch Age'!D98</f>
        <v>0</v>
      </c>
      <c r="AM18" s="126">
        <v>1993</v>
      </c>
      <c r="AN18" s="116">
        <f>'Catch Age'!E99</f>
        <v>2353.4170455167882</v>
      </c>
      <c r="AO18" s="126">
        <v>1994</v>
      </c>
      <c r="AP18" s="116">
        <f>'Catch Age'!F100</f>
        <v>1418.8730998017186</v>
      </c>
      <c r="AQ18" s="126">
        <v>1995</v>
      </c>
      <c r="AR18" s="116">
        <f>'Catch Age'!G101</f>
        <v>910.7617683686176</v>
      </c>
      <c r="AS18" s="115">
        <f t="shared" si="7"/>
        <v>4683.0519136871244</v>
      </c>
    </row>
    <row r="19" spans="1:45" x14ac:dyDescent="0.2">
      <c r="A19" s="592">
        <v>1990</v>
      </c>
      <c r="B19" s="605">
        <f>'Catch Age'!P22</f>
        <v>4065</v>
      </c>
      <c r="C19" s="605">
        <f>'Catch Age'!W22</f>
        <v>0</v>
      </c>
      <c r="D19" s="606">
        <f>'Catch Age'!AD22</f>
        <v>0</v>
      </c>
      <c r="E19" s="606">
        <f>'Catch Age'!AK22</f>
        <v>0</v>
      </c>
      <c r="F19" s="607">
        <f t="shared" si="10"/>
        <v>4065</v>
      </c>
      <c r="G19" s="608">
        <v>0.1</v>
      </c>
      <c r="H19" s="597">
        <f>'Daily Weir Counts'!I$5</f>
        <v>40784</v>
      </c>
      <c r="I19" s="598">
        <f>'Daily Weir Counts'!I$6</f>
        <v>18095</v>
      </c>
      <c r="J19" s="604">
        <f>'Weir Expansions'!H15</f>
        <v>18308.698954346499</v>
      </c>
      <c r="K19" s="603">
        <f>'Weir Expansions'!H26</f>
        <v>0.26379212324081497</v>
      </c>
      <c r="L19" s="599">
        <f>F19+J19</f>
        <v>22373.698954346499</v>
      </c>
      <c r="M19" s="609">
        <f>B19/L19</f>
        <v>0.18168654223401445</v>
      </c>
      <c r="N19" s="609">
        <f>F19/L19</f>
        <v>0.18168654223401445</v>
      </c>
      <c r="O19" s="599">
        <v>1197</v>
      </c>
      <c r="P19" s="599">
        <f t="shared" si="0"/>
        <v>17111.698954346499</v>
      </c>
      <c r="Q19" s="161">
        <v>1993</v>
      </c>
      <c r="R19" s="136">
        <f>AD19+AL19</f>
        <v>0</v>
      </c>
      <c r="S19" s="161">
        <v>1994</v>
      </c>
      <c r="T19" s="136">
        <f t="shared" si="1"/>
        <v>520.64982001288558</v>
      </c>
      <c r="U19" s="147">
        <v>1995</v>
      </c>
      <c r="V19" s="134">
        <f t="shared" si="9"/>
        <v>7619.6191032736278</v>
      </c>
      <c r="W19" s="147">
        <v>1996</v>
      </c>
      <c r="X19" s="134">
        <f t="shared" si="2"/>
        <v>20.830985292841909</v>
      </c>
      <c r="Y19" s="134">
        <f t="shared" si="3"/>
        <v>8161.0999085793555</v>
      </c>
      <c r="Z19" s="500">
        <f t="shared" si="4"/>
        <v>9.007134231592488</v>
      </c>
      <c r="AA19" s="135">
        <f t="shared" si="5"/>
        <v>0.47693101254018821</v>
      </c>
      <c r="AB19" s="135">
        <f t="shared" si="6"/>
        <v>-0.74038342635175192</v>
      </c>
      <c r="AC19" s="162">
        <v>1993</v>
      </c>
      <c r="AD19" s="163">
        <f>'Escapement Age'!B16</f>
        <v>0</v>
      </c>
      <c r="AE19" s="162">
        <v>1994</v>
      </c>
      <c r="AF19" s="163">
        <f>'Escapement Age'!C17</f>
        <v>442.54671360178179</v>
      </c>
      <c r="AG19" s="128">
        <v>1995</v>
      </c>
      <c r="AH19" s="114">
        <f>'Escapement Age'!D18</f>
        <v>2956.6401493508379</v>
      </c>
      <c r="AI19" s="128">
        <v>1996</v>
      </c>
      <c r="AJ19" s="114">
        <f>'Escapement Age'!E19</f>
        <v>20.830985292841909</v>
      </c>
      <c r="AK19" s="126">
        <v>1993</v>
      </c>
      <c r="AL19" s="116">
        <f>'Catch Age'!D99</f>
        <v>0</v>
      </c>
      <c r="AM19" s="126">
        <v>1994</v>
      </c>
      <c r="AN19" s="116">
        <f>'Catch Age'!E100</f>
        <v>78.103106411103767</v>
      </c>
      <c r="AO19" s="126">
        <v>1995</v>
      </c>
      <c r="AP19" s="116">
        <f>'Catch Age'!F101</f>
        <v>4662.9789539227895</v>
      </c>
      <c r="AQ19" s="126">
        <v>1996</v>
      </c>
      <c r="AR19" s="116">
        <f>'Catch Age'!G102</f>
        <v>0</v>
      </c>
      <c r="AS19" s="115">
        <f t="shared" si="7"/>
        <v>4741.0820603338934</v>
      </c>
    </row>
    <row r="20" spans="1:45" x14ac:dyDescent="0.2">
      <c r="A20" s="610">
        <v>1991</v>
      </c>
      <c r="B20" s="611" t="s">
        <v>19</v>
      </c>
      <c r="C20" s="611">
        <f>'Catch Age'!W25</f>
        <v>0</v>
      </c>
      <c r="D20" s="612">
        <f>'Catch Age'!AD25</f>
        <v>0</v>
      </c>
      <c r="E20" s="612">
        <f>'Catch Age'!AK25</f>
        <v>0</v>
      </c>
      <c r="F20" s="613">
        <f>L20-J20</f>
        <v>1450.5941950559893</v>
      </c>
      <c r="G20" s="608">
        <v>0.9</v>
      </c>
      <c r="H20" s="597">
        <f>'Daily Weir Counts'!J$5</f>
        <v>40784</v>
      </c>
      <c r="I20" s="598">
        <f>'Daily Weir Counts'!J$6</f>
        <v>299</v>
      </c>
      <c r="J20" s="604">
        <f>'Weir Expansions'!I15</f>
        <v>1917.9499623449403</v>
      </c>
      <c r="K20" s="603">
        <f>'Weir Expansions'!I26</f>
        <v>0.26379212324081497</v>
      </c>
      <c r="L20" s="614">
        <f>J20/(1-N20)</f>
        <v>3368.5441574009296</v>
      </c>
      <c r="M20" s="615">
        <f>AVERAGE($N$15:$N$19,$N$21,$N$24)</f>
        <v>0.43062941356102791</v>
      </c>
      <c r="N20" s="615">
        <f>AVERAGE($N$15:$N$19,$N$21,$N$24)</f>
        <v>0.43062941356102791</v>
      </c>
      <c r="O20" s="599">
        <v>0</v>
      </c>
      <c r="P20" s="599">
        <f t="shared" si="0"/>
        <v>1917.9499623449403</v>
      </c>
      <c r="Q20" s="161">
        <v>1994</v>
      </c>
      <c r="R20" s="136">
        <f t="shared" si="8"/>
        <v>75.698779958199509</v>
      </c>
      <c r="S20" s="147">
        <v>1995</v>
      </c>
      <c r="T20" s="134">
        <f t="shared" si="1"/>
        <v>6926.7996730504874</v>
      </c>
      <c r="U20" s="147">
        <v>1996</v>
      </c>
      <c r="V20" s="134">
        <f t="shared" si="9"/>
        <v>16478.926892764885</v>
      </c>
      <c r="W20" s="147">
        <v>1997</v>
      </c>
      <c r="X20" s="134">
        <f t="shared" si="2"/>
        <v>87.030052713591232</v>
      </c>
      <c r="Y20" s="134">
        <f t="shared" si="3"/>
        <v>23568.455398487164</v>
      </c>
      <c r="Z20" s="500">
        <f t="shared" si="4"/>
        <v>10.06766446126213</v>
      </c>
      <c r="AA20" s="135">
        <f t="shared" si="5"/>
        <v>12.288357809747913</v>
      </c>
      <c r="AB20" s="135">
        <f t="shared" si="6"/>
        <v>2.5086522946132059</v>
      </c>
      <c r="AC20" s="162">
        <v>1994</v>
      </c>
      <c r="AD20" s="163">
        <f>'Escapement Age'!B17</f>
        <v>75.698779958199509</v>
      </c>
      <c r="AE20" s="128">
        <v>1995</v>
      </c>
      <c r="AF20" s="114">
        <f>'Escapement Age'!C18</f>
        <v>4383.5403953418945</v>
      </c>
      <c r="AG20" s="128">
        <v>1996</v>
      </c>
      <c r="AH20" s="114">
        <f>'Escapement Age'!D19</f>
        <v>9853.0560435142233</v>
      </c>
      <c r="AI20" s="128">
        <v>1997</v>
      </c>
      <c r="AJ20" s="114">
        <f>'Escapement Age'!E20</f>
        <v>58.967372828717544</v>
      </c>
      <c r="AK20" s="126">
        <v>1994</v>
      </c>
      <c r="AL20" s="116">
        <f>'Catch Age'!D100</f>
        <v>0</v>
      </c>
      <c r="AM20" s="126">
        <v>1995</v>
      </c>
      <c r="AN20" s="116">
        <f>'Catch Age'!E101</f>
        <v>2543.2592777085929</v>
      </c>
      <c r="AO20" s="126">
        <v>1996</v>
      </c>
      <c r="AP20" s="116">
        <f>'Catch Age'!F102</f>
        <v>6625.8708492506612</v>
      </c>
      <c r="AQ20" s="126">
        <v>1997</v>
      </c>
      <c r="AR20" s="116">
        <f>'Catch Age'!G103</f>
        <v>28.062679884873681</v>
      </c>
      <c r="AS20" s="115">
        <f t="shared" si="7"/>
        <v>9197.1928068441284</v>
      </c>
    </row>
    <row r="21" spans="1:45" x14ac:dyDescent="0.2">
      <c r="A21" s="592">
        <v>1992</v>
      </c>
      <c r="B21" s="605">
        <f>'Catch Age'!P28</f>
        <v>7562</v>
      </c>
      <c r="C21" s="605">
        <f>'Catch Age'!W28</f>
        <v>2464</v>
      </c>
      <c r="D21" s="606">
        <f>'Catch Age'!AD28</f>
        <v>0</v>
      </c>
      <c r="E21" s="606">
        <f>'Catch Age'!AK28</f>
        <v>0</v>
      </c>
      <c r="F21" s="607">
        <f t="shared" si="10"/>
        <v>10026</v>
      </c>
      <c r="G21" s="608">
        <v>0.1</v>
      </c>
      <c r="H21" s="597">
        <f>'Daily Weir Counts'!K$5</f>
        <v>40781</v>
      </c>
      <c r="I21" s="598">
        <f>'Daily Weir Counts'!K$6</f>
        <v>9439</v>
      </c>
      <c r="J21" s="604">
        <f>'Weir Expansions'!J15</f>
        <v>10299.108639223201</v>
      </c>
      <c r="K21" s="603">
        <f>'Weir Expansions'!J26</f>
        <v>0.27962877151243604</v>
      </c>
      <c r="L21" s="599">
        <f t="shared" ref="L21:L40" si="11">F21+J21</f>
        <v>20325.108639223203</v>
      </c>
      <c r="M21" s="609">
        <f>B21/L21</f>
        <v>0.37205213188415259</v>
      </c>
      <c r="N21" s="609">
        <f>F21/L21</f>
        <v>0.49328149620080847</v>
      </c>
      <c r="O21" s="599">
        <v>1517</v>
      </c>
      <c r="P21" s="599">
        <f>J21-O21</f>
        <v>8782.108639223201</v>
      </c>
      <c r="Q21" s="147">
        <v>1995</v>
      </c>
      <c r="R21" s="134">
        <f t="shared" si="8"/>
        <v>38.564871513271804</v>
      </c>
      <c r="S21" s="147">
        <v>1996</v>
      </c>
      <c r="T21" s="134">
        <f t="shared" si="1"/>
        <v>2314.9037388621618</v>
      </c>
      <c r="U21" s="147">
        <v>1997</v>
      </c>
      <c r="V21" s="134">
        <f t="shared" si="9"/>
        <v>4390.7879142863749</v>
      </c>
      <c r="W21" s="147">
        <v>1998</v>
      </c>
      <c r="X21" s="134">
        <f t="shared" si="2"/>
        <v>75.592423150689271</v>
      </c>
      <c r="Y21" s="134">
        <f t="shared" si="3"/>
        <v>6819.8489478124984</v>
      </c>
      <c r="Z21" s="500">
        <f t="shared" si="4"/>
        <v>8.8275926021776385</v>
      </c>
      <c r="AA21" s="135">
        <f t="shared" si="5"/>
        <v>0.77656166963743356</v>
      </c>
      <c r="AB21" s="135">
        <f t="shared" si="6"/>
        <v>-0.25287921953742409</v>
      </c>
      <c r="AC21" s="128">
        <v>1995</v>
      </c>
      <c r="AD21" s="114">
        <f>'Escapement Age'!B18</f>
        <v>38.564871513271804</v>
      </c>
      <c r="AE21" s="128">
        <v>1996</v>
      </c>
      <c r="AF21" s="114">
        <f>'Escapement Age'!C19</f>
        <v>1999.7745881128233</v>
      </c>
      <c r="AG21" s="128">
        <v>1997</v>
      </c>
      <c r="AH21" s="114">
        <f>'Escapement Age'!D20</f>
        <v>1621.6027527897324</v>
      </c>
      <c r="AI21" s="128">
        <v>1998</v>
      </c>
      <c r="AJ21" s="114">
        <f>'Escapement Age'!E21</f>
        <v>61.592423150689264</v>
      </c>
      <c r="AK21" s="126">
        <v>1995</v>
      </c>
      <c r="AL21" s="116">
        <f>'Catch Age'!D101</f>
        <v>0</v>
      </c>
      <c r="AM21" s="126">
        <v>1996</v>
      </c>
      <c r="AN21" s="116">
        <f>'Catch Age'!E102</f>
        <v>315.12915074933881</v>
      </c>
      <c r="AO21" s="126">
        <v>1997</v>
      </c>
      <c r="AP21" s="116">
        <f>'Catch Age'!F103</f>
        <v>2769.1851614966422</v>
      </c>
      <c r="AQ21" s="126">
        <v>1998</v>
      </c>
      <c r="AR21" s="116">
        <f>'Catch Age'!G104</f>
        <v>14.000000000000002</v>
      </c>
      <c r="AS21" s="115">
        <f t="shared" si="7"/>
        <v>3098.314312245981</v>
      </c>
    </row>
    <row r="22" spans="1:45" x14ac:dyDescent="0.2">
      <c r="A22" s="610">
        <v>1993</v>
      </c>
      <c r="B22" s="605">
        <f>'Catch Age'!P31</f>
        <v>18399</v>
      </c>
      <c r="C22" s="605">
        <f>'Catch Age'!W31</f>
        <v>2</v>
      </c>
      <c r="D22" s="606">
        <f>'Catch Age'!AD31</f>
        <v>0</v>
      </c>
      <c r="E22" s="606">
        <f>'Catch Age'!AK31</f>
        <v>0</v>
      </c>
      <c r="F22" s="607">
        <f t="shared" si="10"/>
        <v>18401</v>
      </c>
      <c r="G22" s="608">
        <v>0.1</v>
      </c>
      <c r="H22" s="597" t="s">
        <v>19</v>
      </c>
      <c r="I22" s="616" t="s">
        <v>19</v>
      </c>
      <c r="J22" s="617">
        <f>(F22/N22)-F22</f>
        <v>24329.476415522993</v>
      </c>
      <c r="K22" s="618">
        <v>0.9</v>
      </c>
      <c r="L22" s="614">
        <f>F22+J22</f>
        <v>42730.476415522993</v>
      </c>
      <c r="M22" s="615">
        <f t="shared" ref="M22:N23" si="12">AVERAGE($N$15:$N$19,$N$21,$N$24)</f>
        <v>0.43062941356102791</v>
      </c>
      <c r="N22" s="615">
        <f>AVERAGE($N$15:$N$19,$N$21,$N$24)</f>
        <v>0.43062941356102791</v>
      </c>
      <c r="O22" s="619">
        <v>1042</v>
      </c>
      <c r="P22" s="614">
        <f>J22-O22</f>
        <v>23287.476415522993</v>
      </c>
      <c r="Q22" s="147">
        <v>1996</v>
      </c>
      <c r="R22" s="134">
        <f>AD22+AL22</f>
        <v>208.3098529284191</v>
      </c>
      <c r="S22" s="147">
        <v>1997</v>
      </c>
      <c r="T22" s="134">
        <f t="shared" si="1"/>
        <v>4390.7590405928149</v>
      </c>
      <c r="U22" s="147">
        <v>1998</v>
      </c>
      <c r="V22" s="134">
        <f t="shared" si="9"/>
        <v>7279.7779118497856</v>
      </c>
      <c r="W22" s="147">
        <v>1999</v>
      </c>
      <c r="X22" s="134">
        <f t="shared" si="2"/>
        <v>133.71286150749285</v>
      </c>
      <c r="Y22" s="134">
        <f t="shared" si="3"/>
        <v>12012.559666878513</v>
      </c>
      <c r="Z22" s="500">
        <f t="shared" si="4"/>
        <v>9.3937080203320615</v>
      </c>
      <c r="AA22" s="135">
        <f t="shared" si="5"/>
        <v>0.51583775985581537</v>
      </c>
      <c r="AB22" s="135">
        <f t="shared" si="6"/>
        <v>-0.66196298182463387</v>
      </c>
      <c r="AC22" s="128">
        <v>1996</v>
      </c>
      <c r="AD22" s="114">
        <f>'Escapement Age'!B19</f>
        <v>208.3098529284191</v>
      </c>
      <c r="AE22" s="128">
        <v>1997</v>
      </c>
      <c r="AF22" s="114">
        <f>'Escapement Age'!C20</f>
        <v>4054.0068819743306</v>
      </c>
      <c r="AG22" s="128">
        <v>1998</v>
      </c>
      <c r="AH22" s="114">
        <f>'Escapement Age'!D21</f>
        <v>6682.7779118497856</v>
      </c>
      <c r="AI22" s="128">
        <v>1999</v>
      </c>
      <c r="AJ22" s="114">
        <f>'Escapement Age'!E22</f>
        <v>115.572144895115</v>
      </c>
      <c r="AK22" s="126">
        <v>1996</v>
      </c>
      <c r="AL22" s="116">
        <f>'Catch Age'!D102</f>
        <v>0</v>
      </c>
      <c r="AM22" s="126">
        <v>1997</v>
      </c>
      <c r="AN22" s="116">
        <f>'Catch Age'!E103</f>
        <v>336.7521586184842</v>
      </c>
      <c r="AO22" s="126">
        <v>1998</v>
      </c>
      <c r="AP22" s="116">
        <f>'Catch Age'!F104</f>
        <v>597</v>
      </c>
      <c r="AQ22" s="126">
        <v>1999</v>
      </c>
      <c r="AR22" s="116">
        <f>'Catch Age'!G105</f>
        <v>18.140716612377851</v>
      </c>
      <c r="AS22" s="115">
        <f t="shared" si="7"/>
        <v>951.89287523086205</v>
      </c>
    </row>
    <row r="23" spans="1:45" x14ac:dyDescent="0.2">
      <c r="A23" s="610">
        <v>1994</v>
      </c>
      <c r="B23" s="605">
        <f>'Catch Age'!P34</f>
        <v>1414</v>
      </c>
      <c r="C23" s="605">
        <f>'Catch Age'!W34</f>
        <v>101</v>
      </c>
      <c r="D23" s="606">
        <f>'Catch Age'!AD34</f>
        <v>0</v>
      </c>
      <c r="E23" s="606">
        <f>'Catch Age'!AK34</f>
        <v>0</v>
      </c>
      <c r="F23" s="607">
        <f t="shared" si="10"/>
        <v>1515</v>
      </c>
      <c r="G23" s="608">
        <v>0.1</v>
      </c>
      <c r="H23" s="597" t="s">
        <v>19</v>
      </c>
      <c r="I23" s="616" t="s">
        <v>19</v>
      </c>
      <c r="J23" s="617">
        <f>(F23/N23)-F23</f>
        <v>2003.1061773554334</v>
      </c>
      <c r="K23" s="618">
        <v>0.9</v>
      </c>
      <c r="L23" s="614">
        <f>F23+J23</f>
        <v>3518.1061773554334</v>
      </c>
      <c r="M23" s="615">
        <f>AVERAGE($N$15:$N$19,$N$21,$N$24)</f>
        <v>0.43062941356102791</v>
      </c>
      <c r="N23" s="615">
        <f t="shared" si="12"/>
        <v>0.43062941356102791</v>
      </c>
      <c r="O23" s="619">
        <v>628</v>
      </c>
      <c r="P23" s="614">
        <f>J23-O23</f>
        <v>1375.1061773554334</v>
      </c>
      <c r="Q23" s="147">
        <v>1997</v>
      </c>
      <c r="R23" s="134">
        <f t="shared" si="8"/>
        <v>103.19290245025569</v>
      </c>
      <c r="S23" s="147">
        <v>1998</v>
      </c>
      <c r="T23" s="134">
        <f t="shared" si="1"/>
        <v>7452.3798060621129</v>
      </c>
      <c r="U23" s="147">
        <v>1999</v>
      </c>
      <c r="V23" s="134">
        <f t="shared" si="9"/>
        <v>7580.7838057586232</v>
      </c>
      <c r="W23" s="148">
        <v>2000</v>
      </c>
      <c r="X23" s="134">
        <f t="shared" si="2"/>
        <v>16.150528705876379</v>
      </c>
      <c r="Y23" s="134">
        <f t="shared" si="3"/>
        <v>15152.507042976869</v>
      </c>
      <c r="Z23" s="500">
        <f t="shared" si="4"/>
        <v>9.6259212786315924</v>
      </c>
      <c r="AA23" s="135">
        <f t="shared" si="5"/>
        <v>11.019154224234347</v>
      </c>
      <c r="AB23" s="135">
        <f t="shared" si="6"/>
        <v>2.3996350516173632</v>
      </c>
      <c r="AC23" s="128">
        <v>1997</v>
      </c>
      <c r="AD23" s="114">
        <f>'Escapement Age'!B20</f>
        <v>103.19290245025569</v>
      </c>
      <c r="AE23" s="128">
        <v>1998</v>
      </c>
      <c r="AF23" s="114">
        <f>'Escapement Age'!C21</f>
        <v>6667.3798060621129</v>
      </c>
      <c r="AG23" s="128">
        <v>1999</v>
      </c>
      <c r="AH23" s="114">
        <f>'Escapement Age'!D22</f>
        <v>6599.1694735110659</v>
      </c>
      <c r="AI23" s="129">
        <v>2000</v>
      </c>
      <c r="AJ23" s="114">
        <f>'Escapement Age'!E23</f>
        <v>16.150528705876379</v>
      </c>
      <c r="AK23" s="126">
        <v>1997</v>
      </c>
      <c r="AL23" s="116">
        <f>'Catch Age'!D103</f>
        <v>0</v>
      </c>
      <c r="AM23" s="126">
        <v>1998</v>
      </c>
      <c r="AN23" s="116">
        <f>'Catch Age'!E104</f>
        <v>785.00000000000011</v>
      </c>
      <c r="AO23" s="126">
        <v>1999</v>
      </c>
      <c r="AP23" s="116">
        <f>'Catch Age'!F105</f>
        <v>981.61433224755694</v>
      </c>
      <c r="AQ23" s="127">
        <v>2000</v>
      </c>
      <c r="AR23" s="116">
        <f>'Catch Age'!G106</f>
        <v>0</v>
      </c>
      <c r="AS23" s="115">
        <f t="shared" si="7"/>
        <v>1766.6143322475571</v>
      </c>
    </row>
    <row r="24" spans="1:45" x14ac:dyDescent="0.2">
      <c r="A24" s="592">
        <v>1995</v>
      </c>
      <c r="B24" s="605">
        <f>'Catch Age'!P37</f>
        <v>8116</v>
      </c>
      <c r="C24" s="605">
        <f>'Catch Age'!W37</f>
        <v>1</v>
      </c>
      <c r="D24" s="606">
        <f>'Catch Age'!AD37</f>
        <v>0</v>
      </c>
      <c r="E24" s="606">
        <f>'Catch Age'!AK37</f>
        <v>0</v>
      </c>
      <c r="F24" s="607">
        <f t="shared" si="10"/>
        <v>8117</v>
      </c>
      <c r="G24" s="608">
        <v>0.1</v>
      </c>
      <c r="H24" s="597">
        <f>'Daily Weir Counts'!N$5</f>
        <v>40798</v>
      </c>
      <c r="I24" s="598">
        <f>'Daily Weir Counts'!N4</f>
        <v>7668</v>
      </c>
      <c r="J24" s="604">
        <f>'Weir Expansions'!K15</f>
        <v>8201.4626751558026</v>
      </c>
      <c r="K24" s="620">
        <f>'Weir Expansions'!K26</f>
        <v>8.4925220256171746E-2</v>
      </c>
      <c r="L24" s="599">
        <f>F24+J24</f>
        <v>16318.462675155803</v>
      </c>
      <c r="M24" s="609">
        <f t="shared" ref="M24:M40" si="13">B24/L24</f>
        <v>0.49735077142752426</v>
      </c>
      <c r="N24" s="609">
        <f t="shared" ref="N24:N40" si="14">F24/L24</f>
        <v>0.49741205170985886</v>
      </c>
      <c r="O24" s="619">
        <v>1703</v>
      </c>
      <c r="P24" s="599">
        <f t="shared" si="0"/>
        <v>6498.4626751558026</v>
      </c>
      <c r="Q24" s="147">
        <v>1998</v>
      </c>
      <c r="R24" s="134">
        <f t="shared" si="8"/>
        <v>446.54506784249719</v>
      </c>
      <c r="S24" s="147">
        <v>1999</v>
      </c>
      <c r="T24" s="134">
        <f t="shared" si="1"/>
        <v>4557.5983790005557</v>
      </c>
      <c r="U24" s="148">
        <v>2000</v>
      </c>
      <c r="V24" s="134">
        <f t="shared" si="9"/>
        <v>9465.8648312487476</v>
      </c>
      <c r="W24" s="148">
        <v>2001</v>
      </c>
      <c r="X24" s="134">
        <f t="shared" si="2"/>
        <v>58.515819090048041</v>
      </c>
      <c r="Y24" s="134">
        <f t="shared" si="3"/>
        <v>14528.524097181848</v>
      </c>
      <c r="Z24" s="500">
        <f t="shared" si="4"/>
        <v>9.5838691751616061</v>
      </c>
      <c r="AA24" s="135">
        <f t="shared" si="5"/>
        <v>2.2356863189698202</v>
      </c>
      <c r="AB24" s="135">
        <f t="shared" si="6"/>
        <v>0.8045482587656283</v>
      </c>
      <c r="AC24" s="128">
        <v>1998</v>
      </c>
      <c r="AD24" s="114">
        <f>'Escapement Age'!B21</f>
        <v>446.54506784249719</v>
      </c>
      <c r="AE24" s="128">
        <v>1999</v>
      </c>
      <c r="AF24" s="114">
        <f>'Escapement Age'!C22</f>
        <v>4010.3534278604902</v>
      </c>
      <c r="AG24" s="129">
        <v>2000</v>
      </c>
      <c r="AH24" s="114">
        <f>'Escapement Age'!D23</f>
        <v>2761.7404087048608</v>
      </c>
      <c r="AI24" s="129">
        <v>2001</v>
      </c>
      <c r="AJ24" s="114">
        <f>'Escapement Age'!E24</f>
        <v>30.420860916862416</v>
      </c>
      <c r="AK24" s="126">
        <v>1998</v>
      </c>
      <c r="AL24" s="116">
        <f>'Catch Age'!D104</f>
        <v>0</v>
      </c>
      <c r="AM24" s="126">
        <v>1999</v>
      </c>
      <c r="AN24" s="116">
        <f>'Catch Age'!E105</f>
        <v>547.24495114006515</v>
      </c>
      <c r="AO24" s="127">
        <v>2000</v>
      </c>
      <c r="AP24" s="116">
        <f>'Catch Age'!F106</f>
        <v>6704.1244225438868</v>
      </c>
      <c r="AQ24" s="127">
        <v>2001</v>
      </c>
      <c r="AR24" s="116">
        <f>'Catch Age'!G107</f>
        <v>28.094958173185621</v>
      </c>
      <c r="AS24" s="115">
        <f t="shared" si="7"/>
        <v>7279.4643318571379</v>
      </c>
    </row>
    <row r="25" spans="1:45" x14ac:dyDescent="0.2">
      <c r="A25" s="592">
        <v>1996</v>
      </c>
      <c r="B25" s="605">
        <f>'Catch Age'!P40</f>
        <v>6239</v>
      </c>
      <c r="C25" s="605">
        <f>'Catch Age'!W40</f>
        <v>37</v>
      </c>
      <c r="D25" s="606">
        <f>'Catch Age'!AD40</f>
        <v>0</v>
      </c>
      <c r="E25" s="606">
        <f>'Catch Age'!AK40</f>
        <v>665</v>
      </c>
      <c r="F25" s="607">
        <f>SUM(B25:E25)</f>
        <v>6941</v>
      </c>
      <c r="G25" s="608">
        <v>0.1</v>
      </c>
      <c r="H25" s="597">
        <f>'Daily Weir Counts'!O$5</f>
        <v>40787</v>
      </c>
      <c r="I25" s="598">
        <f>'Daily Weir Counts'!O$6</f>
        <v>10442</v>
      </c>
      <c r="J25" s="604">
        <f>'Weir Expansions'!L15</f>
        <v>12081.971469848308</v>
      </c>
      <c r="K25" s="603">
        <f>'Weir Expansions'!L26</f>
        <v>0.12433214311477039</v>
      </c>
      <c r="L25" s="599">
        <f t="shared" si="11"/>
        <v>19022.971469848308</v>
      </c>
      <c r="M25" s="609">
        <f t="shared" si="13"/>
        <v>0.32797189492130119</v>
      </c>
      <c r="N25" s="609">
        <f t="shared" si="14"/>
        <v>0.3648746470025247</v>
      </c>
      <c r="O25" s="619">
        <v>1927</v>
      </c>
      <c r="P25" s="599">
        <f t="shared" si="0"/>
        <v>10154.971469848308</v>
      </c>
      <c r="Q25" s="147">
        <v>1999</v>
      </c>
      <c r="R25" s="134">
        <f t="shared" si="8"/>
        <v>335.15922019583348</v>
      </c>
      <c r="S25" s="148">
        <v>2000</v>
      </c>
      <c r="T25" s="134">
        <f t="shared" si="1"/>
        <v>7982.0341892190272</v>
      </c>
      <c r="U25" s="148">
        <v>2001</v>
      </c>
      <c r="V25" s="134">
        <f t="shared" si="9"/>
        <v>13474.601775029498</v>
      </c>
      <c r="W25" s="147">
        <v>2002</v>
      </c>
      <c r="X25" s="134">
        <f t="shared" si="2"/>
        <v>28.594965486164782</v>
      </c>
      <c r="Y25" s="134">
        <f t="shared" si="3"/>
        <v>21820.390149930525</v>
      </c>
      <c r="Z25" s="500">
        <f t="shared" si="4"/>
        <v>9.9906001396089934</v>
      </c>
      <c r="AA25" s="135">
        <f t="shared" si="5"/>
        <v>2.1487396803347663</v>
      </c>
      <c r="AB25" s="135">
        <f t="shared" si="6"/>
        <v>0.76488147506686399</v>
      </c>
      <c r="AC25" s="128">
        <v>1999</v>
      </c>
      <c r="AD25" s="114">
        <f>'Escapement Age'!B22</f>
        <v>335.15922019583348</v>
      </c>
      <c r="AE25" s="129">
        <v>2000</v>
      </c>
      <c r="AF25" s="114">
        <f>'Escapement Age'!C23</f>
        <v>4845.158611762914</v>
      </c>
      <c r="AG25" s="129">
        <v>2001</v>
      </c>
      <c r="AH25" s="114">
        <f>'Escapement Age'!D24</f>
        <v>3640.3630230512031</v>
      </c>
      <c r="AI25" s="128">
        <v>2002</v>
      </c>
      <c r="AJ25" s="114">
        <f>'Escapement Age'!E25</f>
        <v>19.579150579150578</v>
      </c>
      <c r="AK25" s="126">
        <v>1999</v>
      </c>
      <c r="AL25" s="116">
        <f>'Catch Age'!D105</f>
        <v>0</v>
      </c>
      <c r="AM25" s="127">
        <v>2000</v>
      </c>
      <c r="AN25" s="116">
        <f>'Catch Age'!E106</f>
        <v>3136.8755774561132</v>
      </c>
      <c r="AO25" s="127">
        <v>2001</v>
      </c>
      <c r="AP25" s="116">
        <f>'Catch Age'!F107</f>
        <v>9834.2387519782951</v>
      </c>
      <c r="AQ25" s="126">
        <v>2002</v>
      </c>
      <c r="AR25" s="116">
        <f>'Catch Age'!G108</f>
        <v>9.0158149070142048</v>
      </c>
      <c r="AS25" s="115">
        <f t="shared" si="7"/>
        <v>12980.130144341421</v>
      </c>
    </row>
    <row r="26" spans="1:45" x14ac:dyDescent="0.2">
      <c r="A26" s="592">
        <v>1997</v>
      </c>
      <c r="B26" s="605">
        <f>'Catch Age'!P43</f>
        <v>2515</v>
      </c>
      <c r="C26" s="605">
        <f>'Catch Age'!W43</f>
        <v>34</v>
      </c>
      <c r="D26" s="606">
        <f>'Catch Age'!AD43</f>
        <v>0</v>
      </c>
      <c r="E26" s="606">
        <f>'Catch Age'!AK43</f>
        <v>585</v>
      </c>
      <c r="F26" s="607">
        <f t="shared" ref="F26:F39" si="15">SUM(B26:E26)</f>
        <v>3134</v>
      </c>
      <c r="G26" s="608">
        <v>0.1</v>
      </c>
      <c r="H26" s="597">
        <f>'Daily Weir Counts'!P$5</f>
        <v>40787</v>
      </c>
      <c r="I26" s="598">
        <f>'Daily Weir Counts'!P$6</f>
        <v>4999</v>
      </c>
      <c r="J26" s="604">
        <f>'Weir Expansions'!M15</f>
        <v>5837.7699100430364</v>
      </c>
      <c r="K26" s="603">
        <f>'Weir Expansions'!M26</f>
        <v>0.12433214311477039</v>
      </c>
      <c r="L26" s="599">
        <f t="shared" si="11"/>
        <v>8971.7699100430364</v>
      </c>
      <c r="M26" s="609">
        <f t="shared" si="13"/>
        <v>0.28032372934405048</v>
      </c>
      <c r="N26" s="609">
        <f t="shared" si="14"/>
        <v>0.3493179195881726</v>
      </c>
      <c r="O26" s="619">
        <v>0</v>
      </c>
      <c r="P26" s="599">
        <f t="shared" si="0"/>
        <v>5837.7699100430364</v>
      </c>
      <c r="Q26" s="148">
        <v>2000</v>
      </c>
      <c r="R26" s="134">
        <f t="shared" si="8"/>
        <v>387.61268894103307</v>
      </c>
      <c r="S26" s="148">
        <v>2001</v>
      </c>
      <c r="T26" s="134">
        <f t="shared" si="1"/>
        <v>8349.4248974633683</v>
      </c>
      <c r="U26" s="147">
        <v>2002</v>
      </c>
      <c r="V26" s="134">
        <f t="shared" si="9"/>
        <v>4847.557197303573</v>
      </c>
      <c r="W26" s="148">
        <v>2003</v>
      </c>
      <c r="X26" s="134">
        <f t="shared" si="2"/>
        <v>6.2680965147453085</v>
      </c>
      <c r="Y26" s="134">
        <f t="shared" si="3"/>
        <v>13590.862880222719</v>
      </c>
      <c r="Z26" s="500">
        <f t="shared" si="4"/>
        <v>9.5171529988913353</v>
      </c>
      <c r="AA26" s="135">
        <f t="shared" si="5"/>
        <v>2.328091564013445</v>
      </c>
      <c r="AB26" s="135">
        <f t="shared" si="6"/>
        <v>0.84504886071661911</v>
      </c>
      <c r="AC26" s="129">
        <v>2000</v>
      </c>
      <c r="AD26" s="114">
        <f>'Escapement Age'!B23</f>
        <v>387.61268894103307</v>
      </c>
      <c r="AE26" s="129">
        <v>2001</v>
      </c>
      <c r="AF26" s="114">
        <f>'Escapement Age'!C24</f>
        <v>4897.75860761485</v>
      </c>
      <c r="AG26" s="128">
        <v>2002</v>
      </c>
      <c r="AH26" s="114">
        <f>'Escapement Age'!D25</f>
        <v>1116.0115830115831</v>
      </c>
      <c r="AI26" s="129">
        <v>2003</v>
      </c>
      <c r="AJ26" s="114">
        <f>'Escapement Age'!E26</f>
        <v>6.2680965147453085</v>
      </c>
      <c r="AK26" s="127">
        <v>2000</v>
      </c>
      <c r="AL26" s="116">
        <f>'Catch Age'!D106</f>
        <v>0</v>
      </c>
      <c r="AM26" s="127">
        <v>2001</v>
      </c>
      <c r="AN26" s="116">
        <f>'Catch Age'!E107</f>
        <v>3451.6662898485188</v>
      </c>
      <c r="AO26" s="126">
        <v>2002</v>
      </c>
      <c r="AP26" s="116">
        <f>'Catch Age'!F108</f>
        <v>3731.5456142919898</v>
      </c>
      <c r="AQ26" s="127">
        <v>2003</v>
      </c>
      <c r="AR26" s="116">
        <f>'Catch Age'!G109</f>
        <v>0</v>
      </c>
      <c r="AS26" s="115">
        <f t="shared" si="7"/>
        <v>7183.2119041405085</v>
      </c>
    </row>
    <row r="27" spans="1:45" x14ac:dyDescent="0.2">
      <c r="A27" s="592">
        <v>1998</v>
      </c>
      <c r="B27" s="605">
        <f>'Catch Age'!P46</f>
        <v>513</v>
      </c>
      <c r="C27" s="605">
        <f>'Catch Age'!W46</f>
        <v>36</v>
      </c>
      <c r="D27" s="606">
        <f>'Catch Age'!AD46</f>
        <v>0</v>
      </c>
      <c r="E27" s="606">
        <f>'Catch Age'!AK46</f>
        <v>847</v>
      </c>
      <c r="F27" s="607">
        <f t="shared" si="15"/>
        <v>1396</v>
      </c>
      <c r="G27" s="608">
        <v>0.1</v>
      </c>
      <c r="H27" s="597">
        <f>'Daily Weir Counts'!Q$5</f>
        <v>40782</v>
      </c>
      <c r="I27" s="598">
        <f>'Daily Weir Counts'!Q$6</f>
        <v>13358</v>
      </c>
      <c r="J27" s="621">
        <f>'Weir Expansions'!N15</f>
        <v>13858.295208905085</v>
      </c>
      <c r="K27" s="622">
        <f>'Weir Expansions'!N26</f>
        <v>0.27226943666346037</v>
      </c>
      <c r="L27" s="599">
        <f t="shared" si="11"/>
        <v>15254.295208905085</v>
      </c>
      <c r="M27" s="609">
        <f t="shared" si="13"/>
        <v>3.3629872306425744E-2</v>
      </c>
      <c r="N27" s="609">
        <f t="shared" si="14"/>
        <v>9.1515208069727752E-2</v>
      </c>
      <c r="O27" s="623">
        <v>0</v>
      </c>
      <c r="P27" s="599">
        <f t="shared" si="0"/>
        <v>13858.295208905085</v>
      </c>
      <c r="Q27" s="148">
        <v>2001</v>
      </c>
      <c r="R27" s="134">
        <f t="shared" si="8"/>
        <v>780.80209686613546</v>
      </c>
      <c r="S27" s="147">
        <v>2002</v>
      </c>
      <c r="T27" s="134">
        <f t="shared" si="1"/>
        <v>6967.3208101832352</v>
      </c>
      <c r="U27" s="148">
        <v>2003</v>
      </c>
      <c r="V27" s="134">
        <f t="shared" si="9"/>
        <v>18107.013364188337</v>
      </c>
      <c r="W27" s="147">
        <v>2004</v>
      </c>
      <c r="X27" s="134">
        <f t="shared" si="2"/>
        <v>76.369634061313491</v>
      </c>
      <c r="Y27" s="134">
        <f t="shared" si="3"/>
        <v>25931.505905299022</v>
      </c>
      <c r="Z27" s="500">
        <f t="shared" si="4"/>
        <v>10.163213952638857</v>
      </c>
      <c r="AA27" s="135">
        <f t="shared" si="5"/>
        <v>1.871190179917362</v>
      </c>
      <c r="AB27" s="135">
        <f t="shared" si="6"/>
        <v>0.62657468826068063</v>
      </c>
      <c r="AC27" s="129">
        <v>2001</v>
      </c>
      <c r="AD27" s="114">
        <f>'Escapement Age'!B24</f>
        <v>780.80209686613546</v>
      </c>
      <c r="AE27" s="128">
        <v>2002</v>
      </c>
      <c r="AF27" s="114">
        <f>'Escapement Age'!C25</f>
        <v>3866.8822393822397</v>
      </c>
      <c r="AG27" s="129">
        <v>2003</v>
      </c>
      <c r="AH27" s="114">
        <f>'Escapement Age'!D26</f>
        <v>4230.9651474530829</v>
      </c>
      <c r="AI27" s="128">
        <v>2004</v>
      </c>
      <c r="AJ27" s="114">
        <f>'Escapement Age'!E27</f>
        <v>18.326035965598123</v>
      </c>
      <c r="AK27" s="127">
        <v>2001</v>
      </c>
      <c r="AL27" s="116">
        <f>'Catch Age'!D107</f>
        <v>0</v>
      </c>
      <c r="AM27" s="126">
        <v>2002</v>
      </c>
      <c r="AN27" s="116">
        <f>'Catch Age'!E108</f>
        <v>3100.4385708009959</v>
      </c>
      <c r="AO27" s="127">
        <v>2003</v>
      </c>
      <c r="AP27" s="116">
        <f>'Catch Age'!F109</f>
        <v>13876.048216735253</v>
      </c>
      <c r="AQ27" s="126">
        <v>2004</v>
      </c>
      <c r="AR27" s="116">
        <f>'Catch Age'!G110</f>
        <v>58.04359809571536</v>
      </c>
      <c r="AS27" s="115">
        <f t="shared" si="7"/>
        <v>17034.530385631962</v>
      </c>
    </row>
    <row r="28" spans="1:45" x14ac:dyDescent="0.2">
      <c r="A28" s="592">
        <v>1999</v>
      </c>
      <c r="B28" s="605">
        <f>'Catch Age'!P49</f>
        <v>1492</v>
      </c>
      <c r="C28" s="605">
        <f>'Catch Age'!W49</f>
        <v>0</v>
      </c>
      <c r="D28" s="606">
        <f>'Catch Age'!AD49</f>
        <v>2</v>
      </c>
      <c r="E28" s="606">
        <f>'Catch Age'!AK49</f>
        <v>53</v>
      </c>
      <c r="F28" s="607">
        <f t="shared" si="15"/>
        <v>1547</v>
      </c>
      <c r="G28" s="608">
        <v>0.1</v>
      </c>
      <c r="H28" s="597">
        <f>'Daily Weir Counts'!R$5</f>
        <v>40785</v>
      </c>
      <c r="I28" s="598">
        <f>'Daily Weir Counts'!R$6</f>
        <v>10277</v>
      </c>
      <c r="J28" s="621">
        <f>'Weir Expansions'!O15</f>
        <v>11060.254266462505</v>
      </c>
      <c r="K28" s="622">
        <f>'Weir Expansions'!O26</f>
        <v>0.26218420653428165</v>
      </c>
      <c r="L28" s="599">
        <f t="shared" si="11"/>
        <v>12607.254266462505</v>
      </c>
      <c r="M28" s="609">
        <f t="shared" si="13"/>
        <v>0.11834456325426704</v>
      </c>
      <c r="N28" s="609">
        <f t="shared" si="14"/>
        <v>0.12270713093455168</v>
      </c>
      <c r="O28" s="623">
        <v>0</v>
      </c>
      <c r="P28" s="599">
        <f t="shared" si="0"/>
        <v>11060.254266462505</v>
      </c>
      <c r="Q28" s="147">
        <v>2002</v>
      </c>
      <c r="R28" s="134">
        <f t="shared" si="8"/>
        <v>68.527027027027032</v>
      </c>
      <c r="S28" s="148">
        <v>2003</v>
      </c>
      <c r="T28" s="134">
        <f t="shared" si="1"/>
        <v>3423.3056706642101</v>
      </c>
      <c r="U28" s="147">
        <v>2004</v>
      </c>
      <c r="V28" s="134">
        <f t="shared" si="9"/>
        <v>14307.453618961663</v>
      </c>
      <c r="W28" s="147">
        <v>2005</v>
      </c>
      <c r="X28" s="134">
        <f t="shared" si="2"/>
        <v>274.12820479111213</v>
      </c>
      <c r="Y28" s="134">
        <f t="shared" si="3"/>
        <v>18073.41452144401</v>
      </c>
      <c r="Z28" s="500">
        <f t="shared" si="4"/>
        <v>9.8021973265237019</v>
      </c>
      <c r="AA28" s="135">
        <f t="shared" si="5"/>
        <v>1.6340867113920867</v>
      </c>
      <c r="AB28" s="135">
        <f t="shared" si="6"/>
        <v>0.49108406197723198</v>
      </c>
      <c r="AC28" s="128">
        <v>2002</v>
      </c>
      <c r="AD28" s="114">
        <f>'Escapement Age'!B25</f>
        <v>68.527027027027032</v>
      </c>
      <c r="AE28" s="129">
        <v>2003</v>
      </c>
      <c r="AF28" s="114">
        <f>'Escapement Age'!C26</f>
        <v>2720.3538873994639</v>
      </c>
      <c r="AG28" s="128">
        <v>2004</v>
      </c>
      <c r="AH28" s="114">
        <f>'Escapement Age'!D27</f>
        <v>3445.2947615324474</v>
      </c>
      <c r="AI28" s="128">
        <v>2005</v>
      </c>
      <c r="AJ28" s="114">
        <f>'Escapement Age'!E28</f>
        <v>48.313600000000001</v>
      </c>
      <c r="AK28" s="126">
        <v>2002</v>
      </c>
      <c r="AL28" s="116">
        <f>'Catch Age'!D108</f>
        <v>0</v>
      </c>
      <c r="AM28" s="127">
        <v>2003</v>
      </c>
      <c r="AN28" s="116">
        <f>'Catch Age'!E109</f>
        <v>702.95178326474627</v>
      </c>
      <c r="AO28" s="126">
        <v>2004</v>
      </c>
      <c r="AP28" s="116">
        <f>'Catch Age'!F110</f>
        <v>10862.158857429215</v>
      </c>
      <c r="AQ28" s="126">
        <v>2005</v>
      </c>
      <c r="AR28" s="116">
        <f>'Catch Age'!G111</f>
        <v>225.81460479111212</v>
      </c>
      <c r="AS28" s="115">
        <f t="shared" si="7"/>
        <v>11790.925245485074</v>
      </c>
    </row>
    <row r="29" spans="1:45" x14ac:dyDescent="0.2">
      <c r="A29" s="624">
        <v>2000</v>
      </c>
      <c r="B29" s="605">
        <f>'Catch Age'!P52</f>
        <v>9085</v>
      </c>
      <c r="C29" s="605">
        <f>'Catch Age'!W52</f>
        <v>63</v>
      </c>
      <c r="D29" s="606">
        <f>'Catch Age'!AD52</f>
        <v>130</v>
      </c>
      <c r="E29" s="606">
        <f>'Catch Age'!AK52</f>
        <v>563</v>
      </c>
      <c r="F29" s="607">
        <f t="shared" si="15"/>
        <v>9841</v>
      </c>
      <c r="G29" s="608">
        <v>0.1</v>
      </c>
      <c r="H29" s="597">
        <f>'Daily Weir Counts'!S$5</f>
        <v>40786</v>
      </c>
      <c r="I29" s="598">
        <f>'Daily Weir Counts'!S$6</f>
        <v>6763</v>
      </c>
      <c r="J29" s="604">
        <f>'Weir Expansions'!P15</f>
        <v>8010.6622381146835</v>
      </c>
      <c r="K29" s="603">
        <f>'Weir Expansions'!P26</f>
        <v>0.20700924558307968</v>
      </c>
      <c r="L29" s="599">
        <f t="shared" si="11"/>
        <v>17851.662238114684</v>
      </c>
      <c r="M29" s="609">
        <f t="shared" si="13"/>
        <v>0.50891619384344056</v>
      </c>
      <c r="N29" s="609">
        <f t="shared" si="14"/>
        <v>0.55126519137185448</v>
      </c>
      <c r="O29" s="619">
        <v>0</v>
      </c>
      <c r="P29" s="599">
        <f t="shared" si="0"/>
        <v>8010.6622381146835</v>
      </c>
      <c r="Q29" s="148">
        <v>2003</v>
      </c>
      <c r="R29" s="134">
        <f t="shared" si="8"/>
        <v>56.412868632707777</v>
      </c>
      <c r="S29" s="147">
        <v>2004</v>
      </c>
      <c r="T29" s="134">
        <f t="shared" si="1"/>
        <v>5398.9593896666247</v>
      </c>
      <c r="U29" s="147">
        <v>2005</v>
      </c>
      <c r="V29" s="134">
        <f t="shared" si="9"/>
        <v>11192.84015488948</v>
      </c>
      <c r="W29" s="147">
        <v>2006</v>
      </c>
      <c r="X29" s="134">
        <f t="shared" si="2"/>
        <v>147.83445140903439</v>
      </c>
      <c r="Y29" s="134">
        <f t="shared" si="3"/>
        <v>16796.046864597847</v>
      </c>
      <c r="Z29" s="500">
        <f t="shared" si="4"/>
        <v>9.7288988320239262</v>
      </c>
      <c r="AA29" s="135">
        <f t="shared" si="5"/>
        <v>2.0967114035444356</v>
      </c>
      <c r="AB29" s="135">
        <f t="shared" si="6"/>
        <v>0.74037011896021587</v>
      </c>
      <c r="AC29" s="129">
        <v>2003</v>
      </c>
      <c r="AD29" s="114">
        <f>'Escapement Age'!B26</f>
        <v>56.412868632707777</v>
      </c>
      <c r="AE29" s="128">
        <v>2004</v>
      </c>
      <c r="AF29" s="114">
        <f>'Escapement Age'!C27</f>
        <v>4337.1618451915556</v>
      </c>
      <c r="AG29" s="128">
        <v>2005</v>
      </c>
      <c r="AH29" s="114">
        <f>'Escapement Age'!D28</f>
        <v>3303.4423999999999</v>
      </c>
      <c r="AI29" s="128">
        <v>2006</v>
      </c>
      <c r="AJ29" s="114">
        <f>'Escapement Age'!E29</f>
        <v>12.894736842105264</v>
      </c>
      <c r="AK29" s="127">
        <v>2003</v>
      </c>
      <c r="AL29" s="116">
        <f>'Catch Age'!D109</f>
        <v>0</v>
      </c>
      <c r="AM29" s="126">
        <v>2004</v>
      </c>
      <c r="AN29" s="116">
        <f>'Catch Age'!E110</f>
        <v>1061.7975444750689</v>
      </c>
      <c r="AO29" s="126">
        <v>2005</v>
      </c>
      <c r="AP29" s="116">
        <f>'Catch Age'!F111</f>
        <v>7889.39775488948</v>
      </c>
      <c r="AQ29" s="126">
        <v>2006</v>
      </c>
      <c r="AR29" s="116">
        <f>'Catch Age'!G112</f>
        <v>134.93971456692913</v>
      </c>
      <c r="AS29" s="115">
        <f t="shared" si="7"/>
        <v>9086.1350139314782</v>
      </c>
    </row>
    <row r="30" spans="1:45" x14ac:dyDescent="0.2">
      <c r="A30" s="624">
        <v>2001</v>
      </c>
      <c r="B30" s="605">
        <f>'Catch Age'!P55</f>
        <v>9501</v>
      </c>
      <c r="C30" s="605">
        <f>'Catch Age'!W55</f>
        <v>407</v>
      </c>
      <c r="D30" s="606">
        <f>'Catch Age'!AD55</f>
        <v>26</v>
      </c>
      <c r="E30" s="606">
        <f>'Catch Age'!AK55</f>
        <v>3380</v>
      </c>
      <c r="F30" s="607">
        <f t="shared" si="15"/>
        <v>13314</v>
      </c>
      <c r="G30" s="608">
        <v>0.1</v>
      </c>
      <c r="H30" s="597">
        <f>'Daily Weir Counts'!T$5</f>
        <v>40787</v>
      </c>
      <c r="I30" s="598">
        <f>'Daily Weir Counts'!T$6</f>
        <v>8060</v>
      </c>
      <c r="J30" s="604">
        <f>'Weir Expansions'!Q15</f>
        <v>9349.3445884490502</v>
      </c>
      <c r="K30" s="603">
        <f>'Weir Expansions'!Q26</f>
        <v>0.12433214311477039</v>
      </c>
      <c r="L30" s="599">
        <f t="shared" si="11"/>
        <v>22663.34458844905</v>
      </c>
      <c r="M30" s="609">
        <f t="shared" si="13"/>
        <v>0.41922320701254423</v>
      </c>
      <c r="N30" s="609">
        <f t="shared" si="14"/>
        <v>0.58746845365382738</v>
      </c>
      <c r="O30" s="619">
        <v>0</v>
      </c>
      <c r="P30" s="599">
        <f t="shared" si="0"/>
        <v>9349.3445884490502</v>
      </c>
      <c r="Q30" s="147">
        <v>2004</v>
      </c>
      <c r="R30" s="134">
        <f t="shared" si="8"/>
        <v>12.217357310398748</v>
      </c>
      <c r="S30" s="147">
        <v>2005</v>
      </c>
      <c r="T30" s="134">
        <f t="shared" si="1"/>
        <v>3561.0348403194075</v>
      </c>
      <c r="U30" s="147">
        <v>2006</v>
      </c>
      <c r="V30" s="134">
        <f t="shared" si="9"/>
        <v>7119.931069985495</v>
      </c>
      <c r="W30" s="147">
        <v>2007</v>
      </c>
      <c r="X30" s="134">
        <f t="shared" si="2"/>
        <v>237.66746721913839</v>
      </c>
      <c r="Y30" s="134">
        <f t="shared" si="3"/>
        <v>10930.850734834439</v>
      </c>
      <c r="Z30" s="500">
        <f t="shared" si="4"/>
        <v>9.2993444129846505</v>
      </c>
      <c r="AA30" s="135">
        <f t="shared" si="5"/>
        <v>1.1691568998686082</v>
      </c>
      <c r="AB30" s="135">
        <f t="shared" si="6"/>
        <v>0.1562828906509427</v>
      </c>
      <c r="AC30" s="128">
        <v>2004</v>
      </c>
      <c r="AD30" s="114">
        <f>'Escapement Age'!B27</f>
        <v>12.217357310398748</v>
      </c>
      <c r="AE30" s="128">
        <v>2005</v>
      </c>
      <c r="AF30" s="114">
        <f>'Escapement Age'!C28</f>
        <v>2965.2471999999998</v>
      </c>
      <c r="AG30" s="128">
        <v>2006</v>
      </c>
      <c r="AH30" s="114">
        <f>'Escapement Age'!D29</f>
        <v>1431.3157894736844</v>
      </c>
      <c r="AI30" s="128">
        <v>2007</v>
      </c>
      <c r="AJ30" s="114">
        <f>'Escapement Age'!E30</f>
        <v>52.724007561436672</v>
      </c>
      <c r="AK30" s="126">
        <v>2004</v>
      </c>
      <c r="AL30" s="116">
        <f>'Catch Age'!D110</f>
        <v>0</v>
      </c>
      <c r="AM30" s="126">
        <v>2005</v>
      </c>
      <c r="AN30" s="116">
        <f>'Catch Age'!E111</f>
        <v>595.7876403194075</v>
      </c>
      <c r="AO30" s="126">
        <v>2006</v>
      </c>
      <c r="AP30" s="116">
        <f>'Catch Age'!F112</f>
        <v>5688.6152805118109</v>
      </c>
      <c r="AQ30" s="126">
        <v>2007</v>
      </c>
      <c r="AR30" s="116">
        <f>'Catch Age'!G113</f>
        <v>184.94345965770171</v>
      </c>
      <c r="AS30" s="115">
        <f t="shared" si="7"/>
        <v>6469.3463804889207</v>
      </c>
    </row>
    <row r="31" spans="1:45" x14ac:dyDescent="0.2">
      <c r="A31" s="592">
        <v>2002</v>
      </c>
      <c r="B31" s="605">
        <f>'Catch Age'!P58</f>
        <v>6070</v>
      </c>
      <c r="C31" s="605">
        <f>'Catch Age'!W58</f>
        <v>408</v>
      </c>
      <c r="D31" s="606">
        <f>'Catch Age'!AD58</f>
        <v>265</v>
      </c>
      <c r="E31" s="606">
        <f>'Catch Age'!AK58</f>
        <v>98</v>
      </c>
      <c r="F31" s="607">
        <f t="shared" si="15"/>
        <v>6841</v>
      </c>
      <c r="G31" s="608">
        <v>0.1</v>
      </c>
      <c r="H31" s="597">
        <f>'Daily Weir Counts'!U$5</f>
        <v>40806</v>
      </c>
      <c r="I31" s="598">
        <f>'Daily Weir Counts'!U$6</f>
        <v>5071</v>
      </c>
      <c r="J31" s="625">
        <f>'Daily Weir Counts'!U$6</f>
        <v>5071</v>
      </c>
      <c r="K31" s="626">
        <v>0.05</v>
      </c>
      <c r="L31" s="599">
        <f t="shared" si="11"/>
        <v>11912</v>
      </c>
      <c r="M31" s="609">
        <f t="shared" si="13"/>
        <v>0.50957018132975151</v>
      </c>
      <c r="N31" s="609">
        <f t="shared" si="14"/>
        <v>0.57429482874412352</v>
      </c>
      <c r="O31" s="623">
        <v>0</v>
      </c>
      <c r="P31" s="599">
        <f t="shared" si="0"/>
        <v>5071</v>
      </c>
      <c r="Q31" s="147">
        <v>2005</v>
      </c>
      <c r="R31" s="134">
        <f t="shared" si="8"/>
        <v>1231.9968000000001</v>
      </c>
      <c r="S31" s="147">
        <v>2006</v>
      </c>
      <c r="T31" s="134">
        <f t="shared" si="1"/>
        <v>5043.5502680791542</v>
      </c>
      <c r="U31" s="147">
        <v>2007</v>
      </c>
      <c r="V31" s="134">
        <f t="shared" si="9"/>
        <v>4707.9266798313929</v>
      </c>
      <c r="W31" s="147">
        <v>2008</v>
      </c>
      <c r="X31" s="134">
        <f t="shared" si="2"/>
        <v>6.0584192439862541</v>
      </c>
      <c r="Y31" s="134">
        <f t="shared" si="3"/>
        <v>10989.532167154532</v>
      </c>
      <c r="Z31" s="500">
        <f t="shared" si="4"/>
        <v>9.3046984775338526</v>
      </c>
      <c r="AA31" s="135">
        <f t="shared" si="5"/>
        <v>2.1671331428031024</v>
      </c>
      <c r="AB31" s="135">
        <f t="shared" si="6"/>
        <v>0.77340516173883278</v>
      </c>
      <c r="AC31" s="128">
        <v>2005</v>
      </c>
      <c r="AD31" s="114">
        <f>'Escapement Age'!B28</f>
        <v>1231.9968000000001</v>
      </c>
      <c r="AE31" s="128">
        <v>2006</v>
      </c>
      <c r="AF31" s="114">
        <f>'Escapement Age'!C29</f>
        <v>2682.1052631578946</v>
      </c>
      <c r="AG31" s="128">
        <v>2007</v>
      </c>
      <c r="AH31" s="114">
        <f>'Escapement Age'!D30</f>
        <v>2495.6030245746692</v>
      </c>
      <c r="AI31" s="128">
        <v>2008</v>
      </c>
      <c r="AJ31" s="114">
        <f>'Escapement Age'!E31</f>
        <v>6.0584192439862541</v>
      </c>
      <c r="AK31" s="126">
        <v>2005</v>
      </c>
      <c r="AL31" s="116">
        <f>'Catch Age'!D111</f>
        <v>0</v>
      </c>
      <c r="AM31" s="126">
        <v>2006</v>
      </c>
      <c r="AN31" s="116">
        <f>'Catch Age'!E112</f>
        <v>2361.4450049212601</v>
      </c>
      <c r="AO31" s="126">
        <v>2007</v>
      </c>
      <c r="AP31" s="116">
        <f>'Catch Age'!F113</f>
        <v>2212.3236552567237</v>
      </c>
      <c r="AQ31" s="126">
        <v>2008</v>
      </c>
      <c r="AR31" s="116">
        <f>'Catch Age'!G114</f>
        <v>0</v>
      </c>
      <c r="AS31" s="115">
        <f t="shared" si="7"/>
        <v>4573.7686601779842</v>
      </c>
    </row>
    <row r="32" spans="1:45" x14ac:dyDescent="0.2">
      <c r="A32" s="624">
        <v>2003</v>
      </c>
      <c r="B32" s="605">
        <f>'Catch Age'!P61</f>
        <v>6043</v>
      </c>
      <c r="C32" s="605">
        <f>'Catch Age'!W61</f>
        <v>6753</v>
      </c>
      <c r="D32" s="606">
        <f>'Catch Age'!AD61</f>
        <v>298</v>
      </c>
      <c r="E32" s="606">
        <f>'Catch Age'!AK61</f>
        <v>1485</v>
      </c>
      <c r="F32" s="607">
        <f t="shared" si="15"/>
        <v>14579</v>
      </c>
      <c r="G32" s="608">
        <v>0.1</v>
      </c>
      <c r="H32" s="597">
        <f>'Daily Weir Counts'!V$5</f>
        <v>40804</v>
      </c>
      <c r="I32" s="598">
        <f>'Daily Weir Counts'!V$6</f>
        <v>7014</v>
      </c>
      <c r="J32" s="625">
        <f>'Daily Weir Counts'!V$6</f>
        <v>7014</v>
      </c>
      <c r="K32" s="626">
        <v>0.05</v>
      </c>
      <c r="L32" s="599">
        <f t="shared" si="11"/>
        <v>21593</v>
      </c>
      <c r="M32" s="609">
        <f t="shared" si="13"/>
        <v>0.27985921363404809</v>
      </c>
      <c r="N32" s="609">
        <f t="shared" si="14"/>
        <v>0.67517250960959574</v>
      </c>
      <c r="O32" s="623">
        <v>0</v>
      </c>
      <c r="P32" s="599">
        <f t="shared" si="0"/>
        <v>7014</v>
      </c>
      <c r="Q32" s="147">
        <v>2006</v>
      </c>
      <c r="R32" s="134">
        <f t="shared" si="8"/>
        <v>38.684210526315788</v>
      </c>
      <c r="S32" s="147">
        <v>2007</v>
      </c>
      <c r="T32" s="134">
        <f t="shared" si="1"/>
        <v>1424.4058529494687</v>
      </c>
      <c r="U32" s="147">
        <v>2008</v>
      </c>
      <c r="V32" s="134">
        <f t="shared" si="9"/>
        <v>5793.7489133990612</v>
      </c>
      <c r="W32" s="147">
        <v>2009</v>
      </c>
      <c r="X32" s="134">
        <f t="shared" si="2"/>
        <v>39.773584905660378</v>
      </c>
      <c r="Y32" s="134">
        <f t="shared" si="3"/>
        <v>7296.6125617805064</v>
      </c>
      <c r="Z32" s="500">
        <f t="shared" si="4"/>
        <v>8.8951654868072154</v>
      </c>
      <c r="AA32" s="135">
        <f t="shared" si="5"/>
        <v>1.0402926378358293</v>
      </c>
      <c r="AB32" s="135">
        <f t="shared" si="6"/>
        <v>3.950205610709185E-2</v>
      </c>
      <c r="AC32" s="128">
        <v>2006</v>
      </c>
      <c r="AD32" s="114">
        <f>'Escapement Age'!B29</f>
        <v>38.684210526315788</v>
      </c>
      <c r="AE32" s="128">
        <v>2007</v>
      </c>
      <c r="AF32" s="114">
        <f>'Escapement Age'!C30</f>
        <v>550.6729678638942</v>
      </c>
      <c r="AG32" s="128">
        <v>2008</v>
      </c>
      <c r="AH32" s="114">
        <f>'Escapement Age'!D31</f>
        <v>1029.9312714776634</v>
      </c>
      <c r="AI32" s="128">
        <v>2009</v>
      </c>
      <c r="AJ32" s="114">
        <f>'Escapement Age'!E32</f>
        <v>39.773584905660378</v>
      </c>
      <c r="AK32" s="126">
        <v>2006</v>
      </c>
      <c r="AL32" s="116">
        <f>'Catch Age'!D112</f>
        <v>0</v>
      </c>
      <c r="AM32" s="126">
        <v>2007</v>
      </c>
      <c r="AN32" s="116">
        <f>'Catch Age'!E113</f>
        <v>873.73288508557459</v>
      </c>
      <c r="AO32" s="126">
        <v>2008</v>
      </c>
      <c r="AP32" s="116">
        <f>'Catch Age'!F114</f>
        <v>4763.8176419213978</v>
      </c>
      <c r="AQ32" s="126">
        <v>2009</v>
      </c>
      <c r="AR32" s="116">
        <f>'Catch Age'!G115</f>
        <v>0</v>
      </c>
      <c r="AS32" s="115">
        <f t="shared" si="7"/>
        <v>5637.5505270069725</v>
      </c>
    </row>
    <row r="33" spans="1:58" x14ac:dyDescent="0.2">
      <c r="A33" s="592">
        <v>2004</v>
      </c>
      <c r="B33" s="605">
        <f>'Catch Age'!P64</f>
        <v>7256</v>
      </c>
      <c r="C33" s="605">
        <f>'Catch Age'!W64</f>
        <v>3332</v>
      </c>
      <c r="D33" s="606">
        <f>'Catch Age'!AD64</f>
        <v>277</v>
      </c>
      <c r="E33" s="606">
        <f>'Catch Age'!AK64</f>
        <v>1117</v>
      </c>
      <c r="F33" s="607">
        <f t="shared" si="15"/>
        <v>11982</v>
      </c>
      <c r="G33" s="608">
        <v>0.1</v>
      </c>
      <c r="H33" s="597">
        <f>'Daily Weir Counts'!W$5</f>
        <v>40805</v>
      </c>
      <c r="I33" s="598">
        <f>'Daily Weir Counts'!W$6</f>
        <v>7813</v>
      </c>
      <c r="J33" s="625">
        <f>'Daily Weir Counts'!W$6</f>
        <v>7813</v>
      </c>
      <c r="K33" s="626">
        <v>0.05</v>
      </c>
      <c r="L33" s="599">
        <f t="shared" si="11"/>
        <v>19795</v>
      </c>
      <c r="M33" s="609">
        <f t="shared" si="13"/>
        <v>0.36655721141702452</v>
      </c>
      <c r="N33" s="609">
        <f t="shared" si="14"/>
        <v>0.60530436979035107</v>
      </c>
      <c r="O33" s="623">
        <v>0</v>
      </c>
      <c r="P33" s="599">
        <f t="shared" si="0"/>
        <v>7813</v>
      </c>
      <c r="Q33" s="147">
        <v>2007</v>
      </c>
      <c r="R33" s="134">
        <f t="shared" si="8"/>
        <v>0</v>
      </c>
      <c r="S33" s="147">
        <v>2008</v>
      </c>
      <c r="T33" s="134">
        <f t="shared" si="1"/>
        <v>1677.0174096249943</v>
      </c>
      <c r="U33" s="147">
        <v>2009</v>
      </c>
      <c r="V33" s="134">
        <f t="shared" si="9"/>
        <v>6442.4566725091927</v>
      </c>
      <c r="W33" s="147">
        <v>2010</v>
      </c>
      <c r="X33" s="134">
        <f t="shared" si="2"/>
        <v>130.97328818095613</v>
      </c>
      <c r="Y33" s="134">
        <f t="shared" si="3"/>
        <v>8250.4473703151434</v>
      </c>
      <c r="Z33" s="500">
        <f t="shared" si="4"/>
        <v>9.0180227045633785</v>
      </c>
      <c r="AA33" s="135">
        <f t="shared" si="5"/>
        <v>1.0559896800608144</v>
      </c>
      <c r="AB33" s="135">
        <f t="shared" si="6"/>
        <v>5.4478412566633543E-2</v>
      </c>
      <c r="AC33" s="128">
        <v>2007</v>
      </c>
      <c r="AD33" s="114">
        <f>'Escapement Age'!B30</f>
        <v>0</v>
      </c>
      <c r="AE33" s="128">
        <v>2008</v>
      </c>
      <c r="AF33" s="114">
        <f>'Escapement Age'!C31</f>
        <v>708.83505154639181</v>
      </c>
      <c r="AG33" s="128">
        <v>2009</v>
      </c>
      <c r="AH33" s="114">
        <f>'Escapement Age'!D32</f>
        <v>1302.5849056603774</v>
      </c>
      <c r="AI33" s="128">
        <v>2010</v>
      </c>
      <c r="AJ33" s="114">
        <f>'Escapement Age'!E33</f>
        <v>29.960159362549799</v>
      </c>
      <c r="AK33" s="126">
        <v>2007</v>
      </c>
      <c r="AL33" s="116">
        <f>'Catch Age'!D113</f>
        <v>0</v>
      </c>
      <c r="AM33" s="126">
        <v>2008</v>
      </c>
      <c r="AN33" s="116">
        <f>'Catch Age'!E114</f>
        <v>968.18235807860265</v>
      </c>
      <c r="AO33" s="126">
        <v>2009</v>
      </c>
      <c r="AP33" s="116">
        <f>'Catch Age'!F115</f>
        <v>5139.8717668488152</v>
      </c>
      <c r="AQ33" s="126">
        <v>2010</v>
      </c>
      <c r="AR33" s="116">
        <f>'Catch Age'!G116</f>
        <v>101.01312881840634</v>
      </c>
      <c r="AS33" s="115">
        <f t="shared" si="7"/>
        <v>6209.067253745824</v>
      </c>
    </row>
    <row r="34" spans="1:58" x14ac:dyDescent="0.2">
      <c r="A34" s="592">
        <v>2005</v>
      </c>
      <c r="B34" s="605">
        <f>'Catch Age'!P67</f>
        <v>6809</v>
      </c>
      <c r="C34" s="605">
        <f>'Catch Age'!W67</f>
        <v>822</v>
      </c>
      <c r="D34" s="606">
        <f>'Catch Age'!AD67</f>
        <v>65</v>
      </c>
      <c r="E34" s="606">
        <f>'Catch Age'!AK67</f>
        <v>1015</v>
      </c>
      <c r="F34" s="607">
        <f t="shared" si="15"/>
        <v>8711</v>
      </c>
      <c r="G34" s="608">
        <v>0.1</v>
      </c>
      <c r="H34" s="597">
        <f>'Daily Weir Counts'!X$5</f>
        <v>40806</v>
      </c>
      <c r="I34" s="598">
        <f>'Daily Weir Counts'!X$6</f>
        <v>7549</v>
      </c>
      <c r="J34" s="625">
        <f>'Daily Weir Counts'!X$6</f>
        <v>7549</v>
      </c>
      <c r="K34" s="626">
        <v>0.05</v>
      </c>
      <c r="L34" s="599">
        <f t="shared" si="11"/>
        <v>16260</v>
      </c>
      <c r="M34" s="609">
        <f t="shared" si="13"/>
        <v>0.41875768757687576</v>
      </c>
      <c r="N34" s="609">
        <f t="shared" si="14"/>
        <v>0.5357318573185732</v>
      </c>
      <c r="O34" s="623">
        <v>0</v>
      </c>
      <c r="P34" s="599">
        <f t="shared" si="0"/>
        <v>7549</v>
      </c>
      <c r="Q34" s="147">
        <v>2008</v>
      </c>
      <c r="R34" s="134">
        <f t="shared" si="8"/>
        <v>18.175257731958762</v>
      </c>
      <c r="S34" s="147">
        <v>2009</v>
      </c>
      <c r="T34" s="134">
        <f t="shared" si="1"/>
        <v>2698.7697425851461</v>
      </c>
      <c r="U34" s="147">
        <v>2010</v>
      </c>
      <c r="V34" s="134">
        <f t="shared" si="9"/>
        <v>10211.647619841706</v>
      </c>
      <c r="W34" s="147">
        <v>2011</v>
      </c>
      <c r="X34" s="134">
        <f t="shared" si="2"/>
        <v>199.85024888984384</v>
      </c>
      <c r="Y34" s="134">
        <f t="shared" si="3"/>
        <v>13128.442869048655</v>
      </c>
      <c r="Z34" s="500">
        <f t="shared" si="4"/>
        <v>9.4825363668938447</v>
      </c>
      <c r="AA34" s="135">
        <f t="shared" si="5"/>
        <v>1.7390969491387807</v>
      </c>
      <c r="AB34" s="135">
        <f t="shared" si="6"/>
        <v>0.55336598375422008</v>
      </c>
      <c r="AC34" s="128">
        <v>2008</v>
      </c>
      <c r="AD34" s="114">
        <f>'Escapement Age'!B31</f>
        <v>18.175257731958762</v>
      </c>
      <c r="AE34" s="128">
        <v>2009</v>
      </c>
      <c r="AF34" s="114">
        <f>'Escapement Age'!C32</f>
        <v>2346.6415094339623</v>
      </c>
      <c r="AG34" s="128">
        <v>2010</v>
      </c>
      <c r="AH34" s="114">
        <f>'Escapement Age'!D33</f>
        <v>3205.7370517928289</v>
      </c>
      <c r="AI34" s="128">
        <v>2011</v>
      </c>
      <c r="AJ34" s="114">
        <f>'Escapement Age'!E34</f>
        <v>68.899038461538467</v>
      </c>
      <c r="AK34" s="126">
        <v>2008</v>
      </c>
      <c r="AL34" s="116">
        <f>'Catch Age'!D114</f>
        <v>0</v>
      </c>
      <c r="AM34" s="126">
        <v>2009</v>
      </c>
      <c r="AN34" s="116">
        <f>'Catch Age'!E115</f>
        <v>352.12823315118396</v>
      </c>
      <c r="AO34" s="126">
        <v>2010</v>
      </c>
      <c r="AP34" s="116">
        <f>'Catch Age'!F116</f>
        <v>7005.9105680488765</v>
      </c>
      <c r="AQ34" s="126">
        <v>2011</v>
      </c>
      <c r="AR34" s="116">
        <f>'Catch Age'!G117</f>
        <v>130.95121042830539</v>
      </c>
      <c r="AS34" s="115">
        <f t="shared" si="7"/>
        <v>7488.9900116283661</v>
      </c>
    </row>
    <row r="35" spans="1:58" x14ac:dyDescent="0.2">
      <c r="A35" s="592">
        <v>2006</v>
      </c>
      <c r="B35" s="605">
        <f>'Catch Age'!P70</f>
        <v>4550</v>
      </c>
      <c r="C35" s="605">
        <f>'Catch Age'!W70</f>
        <v>2192</v>
      </c>
      <c r="D35" s="606">
        <f>'Catch Age'!AD70</f>
        <v>1037</v>
      </c>
      <c r="E35" s="606">
        <f>'Catch Age'!AK70</f>
        <v>406</v>
      </c>
      <c r="F35" s="607">
        <f t="shared" si="15"/>
        <v>8185</v>
      </c>
      <c r="G35" s="608">
        <v>0.1</v>
      </c>
      <c r="H35" s="597">
        <f>'Daily Weir Counts'!Y$5</f>
        <v>40802</v>
      </c>
      <c r="I35" s="598">
        <f>'Daily Weir Counts'!Y$6</f>
        <v>4165</v>
      </c>
      <c r="J35" s="625">
        <f>'Daily Weir Counts'!Y$6</f>
        <v>4165</v>
      </c>
      <c r="K35" s="626">
        <v>0.05</v>
      </c>
      <c r="L35" s="599">
        <f t="shared" si="11"/>
        <v>12350</v>
      </c>
      <c r="M35" s="609">
        <f t="shared" si="13"/>
        <v>0.36842105263157893</v>
      </c>
      <c r="N35" s="609">
        <f t="shared" si="14"/>
        <v>0.66275303643724692</v>
      </c>
      <c r="O35" s="623">
        <v>0</v>
      </c>
      <c r="P35" s="599">
        <f t="shared" si="0"/>
        <v>4165</v>
      </c>
      <c r="Q35" s="147">
        <v>2009</v>
      </c>
      <c r="R35" s="134">
        <f t="shared" si="8"/>
        <v>0</v>
      </c>
      <c r="S35" s="147">
        <v>2010</v>
      </c>
      <c r="T35" s="134">
        <f t="shared" si="1"/>
        <v>2991.3790919773401</v>
      </c>
      <c r="U35" s="147">
        <v>2011</v>
      </c>
      <c r="V35" s="134">
        <f t="shared" si="9"/>
        <v>4648.7833530296521</v>
      </c>
      <c r="W35" s="147">
        <v>2012</v>
      </c>
      <c r="X35" s="136" t="e">
        <f>AB68-(SUM(R35,T35,V35))</f>
        <v>#VALUE!</v>
      </c>
      <c r="Y35" s="134" t="e">
        <f t="shared" si="3"/>
        <v>#VALUE!</v>
      </c>
      <c r="Z35" s="500" t="e">
        <f t="shared" si="4"/>
        <v>#VALUE!</v>
      </c>
      <c r="AA35" s="135" t="e">
        <f t="shared" si="5"/>
        <v>#VALUE!</v>
      </c>
      <c r="AB35" s="135" t="e">
        <f t="shared" si="6"/>
        <v>#VALUE!</v>
      </c>
      <c r="AC35" s="128">
        <v>2009</v>
      </c>
      <c r="AD35" s="114">
        <f>'Escapement Age'!B32</f>
        <v>0</v>
      </c>
      <c r="AE35" s="128">
        <v>2010</v>
      </c>
      <c r="AF35" s="114">
        <f>'Escapement Age'!C33</f>
        <v>2404.3027888446218</v>
      </c>
      <c r="AG35" s="128">
        <v>2011</v>
      </c>
      <c r="AH35" s="114">
        <f>'Escapement Age'!D34</f>
        <v>2273.6682692307691</v>
      </c>
      <c r="AI35" s="128">
        <v>2012</v>
      </c>
      <c r="AJ35" s="114">
        <f>'Escapement Age'!E35</f>
        <v>66.723154362416111</v>
      </c>
      <c r="AK35" s="126">
        <v>2009</v>
      </c>
      <c r="AL35" s="116">
        <f>'Catch Age'!D115</f>
        <v>0</v>
      </c>
      <c r="AM35" s="126">
        <v>2010</v>
      </c>
      <c r="AN35" s="116">
        <f>'Catch Age'!E116</f>
        <v>587.07630313271807</v>
      </c>
      <c r="AO35" s="126">
        <v>2011</v>
      </c>
      <c r="AP35" s="116">
        <f>'Catch Age'!F117</f>
        <v>2375.1150837988826</v>
      </c>
      <c r="AQ35" s="126">
        <v>2012</v>
      </c>
      <c r="AR35" s="31"/>
      <c r="AS35" s="138" t="s">
        <v>75</v>
      </c>
    </row>
    <row r="36" spans="1:58" x14ac:dyDescent="0.2">
      <c r="A36" s="592">
        <v>2007</v>
      </c>
      <c r="B36" s="605">
        <f>'Catch Age'!P73</f>
        <v>2512</v>
      </c>
      <c r="C36" s="605">
        <f>'Catch Age'!W73</f>
        <v>197</v>
      </c>
      <c r="D36" s="606">
        <f>'Catch Age'!AD73</f>
        <v>0</v>
      </c>
      <c r="E36" s="606">
        <f>'Catch Age'!AK73</f>
        <v>562</v>
      </c>
      <c r="F36" s="607">
        <f t="shared" si="15"/>
        <v>3271</v>
      </c>
      <c r="G36" s="608">
        <v>0.1</v>
      </c>
      <c r="H36" s="597">
        <f>'Daily Weir Counts'!Z$5</f>
        <v>40807</v>
      </c>
      <c r="I36" s="598">
        <f>'Daily Weir Counts'!Z$6</f>
        <v>3099</v>
      </c>
      <c r="J36" s="625">
        <f>'Daily Weir Counts'!Z$6</f>
        <v>3099</v>
      </c>
      <c r="K36" s="626">
        <v>0.05</v>
      </c>
      <c r="L36" s="599">
        <f t="shared" si="11"/>
        <v>6370</v>
      </c>
      <c r="M36" s="609">
        <f t="shared" si="13"/>
        <v>0.39434850863422294</v>
      </c>
      <c r="N36" s="609">
        <f t="shared" si="14"/>
        <v>0.51350078492935636</v>
      </c>
      <c r="O36" s="623">
        <v>0</v>
      </c>
      <c r="P36" s="599">
        <f t="shared" si="0"/>
        <v>3099</v>
      </c>
      <c r="Q36" s="147">
        <v>2010</v>
      </c>
      <c r="R36" s="134">
        <f t="shared" si="8"/>
        <v>0</v>
      </c>
      <c r="S36" s="147">
        <v>2011</v>
      </c>
      <c r="T36" s="134">
        <f t="shared" si="1"/>
        <v>2612.366398080504</v>
      </c>
      <c r="U36" s="147">
        <v>2012</v>
      </c>
      <c r="V36" s="134"/>
      <c r="W36" s="147">
        <v>2013</v>
      </c>
      <c r="X36" s="134"/>
      <c r="Y36" s="45"/>
      <c r="Z36" s="501" t="s">
        <v>176</v>
      </c>
      <c r="AA36" s="137" t="s">
        <v>75</v>
      </c>
      <c r="AB36" s="137"/>
      <c r="AC36" s="128">
        <v>2010</v>
      </c>
      <c r="AD36" s="114">
        <f>'Escapement Age'!B33</f>
        <v>0</v>
      </c>
      <c r="AE36" s="128">
        <v>2011</v>
      </c>
      <c r="AF36" s="114">
        <f>'Escapement Age'!C34</f>
        <v>2434.4326923076919</v>
      </c>
      <c r="AG36" s="128">
        <v>2012</v>
      </c>
      <c r="AH36" s="114">
        <f>'Escapement Age'!D35</f>
        <v>3298.030201342282</v>
      </c>
      <c r="AI36" s="128">
        <v>2013</v>
      </c>
      <c r="AJ36" s="114">
        <f>'Escapement Age'!E36</f>
        <v>100.23223570190642</v>
      </c>
      <c r="AK36" s="126">
        <v>2010</v>
      </c>
      <c r="AL36" s="116">
        <f>'Catch Age'!D116</f>
        <v>0</v>
      </c>
      <c r="AM36" s="126">
        <v>2011</v>
      </c>
      <c r="AN36" s="116">
        <f>'Catch Age'!E117</f>
        <v>177.93370577281192</v>
      </c>
      <c r="AO36" s="126">
        <v>2012</v>
      </c>
      <c r="AP36" s="31"/>
      <c r="AQ36" s="126">
        <v>2013</v>
      </c>
      <c r="AR36" s="31"/>
      <c r="AS36" s="138" t="s">
        <v>75</v>
      </c>
    </row>
    <row r="37" spans="1:58" x14ac:dyDescent="0.2">
      <c r="A37" s="592">
        <v>2008</v>
      </c>
      <c r="B37" s="605">
        <f>'Catch Age'!P76</f>
        <v>5732</v>
      </c>
      <c r="C37" s="605">
        <f>'Catch Age'!W76</f>
        <v>0</v>
      </c>
      <c r="D37" s="606">
        <f>'Catch Age'!AD76</f>
        <v>0</v>
      </c>
      <c r="E37" s="606">
        <f>'Catch Age'!AK76</f>
        <v>0</v>
      </c>
      <c r="F37" s="607">
        <f t="shared" si="15"/>
        <v>5732</v>
      </c>
      <c r="G37" s="608">
        <v>0.1</v>
      </c>
      <c r="H37" s="597">
        <f>'Daily Weir Counts'!AA$5</f>
        <v>40806</v>
      </c>
      <c r="I37" s="598">
        <f>'Daily Weir Counts'!AA$6</f>
        <v>1763</v>
      </c>
      <c r="J37" s="625">
        <f>'Daily Weir Counts'!AA$6</f>
        <v>1763</v>
      </c>
      <c r="K37" s="626">
        <v>0.05</v>
      </c>
      <c r="L37" s="599">
        <f t="shared" si="11"/>
        <v>7495</v>
      </c>
      <c r="M37" s="609">
        <f t="shared" si="13"/>
        <v>0.76477651767845234</v>
      </c>
      <c r="N37" s="609">
        <f t="shared" si="14"/>
        <v>0.76477651767845234</v>
      </c>
      <c r="O37" s="623">
        <v>0</v>
      </c>
      <c r="P37" s="599">
        <f t="shared" si="0"/>
        <v>1763</v>
      </c>
      <c r="Q37" s="147">
        <v>2011</v>
      </c>
      <c r="R37" s="134">
        <f t="shared" si="8"/>
        <v>0</v>
      </c>
      <c r="S37" s="147">
        <v>2012</v>
      </c>
      <c r="T37" s="134"/>
      <c r="U37" s="147">
        <v>2013</v>
      </c>
      <c r="V37" s="134"/>
      <c r="W37" s="149"/>
      <c r="X37" s="134"/>
      <c r="Y37" s="45"/>
      <c r="Z37" s="501" t="s">
        <v>176</v>
      </c>
      <c r="AA37" s="137" t="s">
        <v>75</v>
      </c>
      <c r="AB37" s="137"/>
      <c r="AC37" s="128">
        <v>2011</v>
      </c>
      <c r="AD37" s="114">
        <f>'Escapement Age'!B34</f>
        <v>0</v>
      </c>
      <c r="AE37" s="128">
        <v>2012</v>
      </c>
      <c r="AF37" s="114">
        <f>'Escapement Age'!C35</f>
        <v>2278.1191275167785</v>
      </c>
      <c r="AG37" s="128">
        <v>2013</v>
      </c>
      <c r="AH37" s="114">
        <f>'Escapement Age'!D36</f>
        <v>2995.830155979203</v>
      </c>
      <c r="AI37" s="130"/>
      <c r="AJ37" s="118"/>
      <c r="AK37" s="126">
        <v>2011</v>
      </c>
      <c r="AL37" s="116">
        <f>'Catch Age'!D117</f>
        <v>0</v>
      </c>
      <c r="AM37" s="126">
        <v>2012</v>
      </c>
      <c r="AN37" s="116"/>
      <c r="AO37" s="126">
        <v>2013</v>
      </c>
      <c r="AP37" s="31"/>
      <c r="AQ37" s="30"/>
      <c r="AR37" s="31"/>
      <c r="AS37" s="138" t="s">
        <v>75</v>
      </c>
    </row>
    <row r="38" spans="1:58" x14ac:dyDescent="0.2">
      <c r="A38" s="592">
        <v>2009</v>
      </c>
      <c r="B38" s="605">
        <f>'Catch Age'!P79</f>
        <v>5492</v>
      </c>
      <c r="C38" s="605">
        <f>'Catch Age'!W79</f>
        <v>0</v>
      </c>
      <c r="D38" s="606">
        <f>'Catch Age'!AD79</f>
        <v>0</v>
      </c>
      <c r="E38" s="606">
        <f>'Catch Age'!AK79</f>
        <v>0</v>
      </c>
      <c r="F38" s="607">
        <f t="shared" si="15"/>
        <v>5492</v>
      </c>
      <c r="G38" s="608">
        <v>0.1</v>
      </c>
      <c r="H38" s="597">
        <f>'Daily Weir Counts'!AB$5</f>
        <v>40806</v>
      </c>
      <c r="I38" s="598">
        <f>'Daily Weir Counts'!AB$6</f>
        <v>3689</v>
      </c>
      <c r="J38" s="625">
        <f>'Daily Weir Counts'!AB$6</f>
        <v>3689</v>
      </c>
      <c r="K38" s="626">
        <v>0.05</v>
      </c>
      <c r="L38" s="599">
        <f t="shared" si="11"/>
        <v>9181</v>
      </c>
      <c r="M38" s="609">
        <f t="shared" si="13"/>
        <v>0.59819191809171113</v>
      </c>
      <c r="N38" s="609">
        <f t="shared" si="14"/>
        <v>0.59819191809171113</v>
      </c>
      <c r="O38" s="623">
        <v>0</v>
      </c>
      <c r="P38" s="599">
        <f t="shared" si="0"/>
        <v>3689</v>
      </c>
      <c r="Q38" s="147">
        <v>2012</v>
      </c>
      <c r="R38" s="134"/>
      <c r="S38" s="147">
        <v>2013</v>
      </c>
      <c r="T38" s="134"/>
      <c r="U38" s="149"/>
      <c r="V38" s="134"/>
      <c r="W38" s="149"/>
      <c r="X38" s="134"/>
      <c r="Y38" s="45"/>
      <c r="Z38" s="45"/>
      <c r="AA38" s="137" t="s">
        <v>75</v>
      </c>
      <c r="AB38" s="137"/>
      <c r="AC38" s="128">
        <v>2012</v>
      </c>
      <c r="AD38" s="114">
        <f>'Escapement Age'!B35</f>
        <v>38.127516778523486</v>
      </c>
      <c r="AE38" s="128">
        <v>2013</v>
      </c>
      <c r="AF38" s="114">
        <f>'Escapement Age'!C36</f>
        <v>3318.8006932409012</v>
      </c>
      <c r="AG38" s="130"/>
      <c r="AH38" s="114"/>
      <c r="AI38" s="130"/>
      <c r="AJ38" s="118"/>
      <c r="AK38" s="126">
        <v>2012</v>
      </c>
      <c r="AL38" s="116"/>
      <c r="AM38" s="126">
        <v>2013</v>
      </c>
      <c r="AN38" s="31"/>
      <c r="AO38" s="30"/>
      <c r="AP38" s="31"/>
      <c r="AQ38" s="30"/>
      <c r="AR38" s="31"/>
      <c r="AS38" s="138" t="s">
        <v>75</v>
      </c>
    </row>
    <row r="39" spans="1:58" x14ac:dyDescent="0.2">
      <c r="A39" s="592">
        <v>2010</v>
      </c>
      <c r="B39" s="605">
        <f>'Catch Age'!P82</f>
        <v>7422</v>
      </c>
      <c r="C39" s="627">
        <f>'Catch Age'!W82</f>
        <v>0</v>
      </c>
      <c r="D39" s="628">
        <f>'Catch Age'!AD82</f>
        <v>15</v>
      </c>
      <c r="E39" s="606">
        <f>'Catch Age'!AK82</f>
        <v>257</v>
      </c>
      <c r="F39" s="607">
        <f t="shared" si="15"/>
        <v>7694</v>
      </c>
      <c r="G39" s="608">
        <v>0.1</v>
      </c>
      <c r="H39" s="597">
        <f>'Daily Weir Counts'!AC$5</f>
        <v>40805</v>
      </c>
      <c r="I39" s="598">
        <f>'Daily Weir Counts'!AC$6</f>
        <v>5640</v>
      </c>
      <c r="J39" s="625">
        <f>'Daily Weir Counts'!AC$6</f>
        <v>5640</v>
      </c>
      <c r="K39" s="626">
        <v>0.05</v>
      </c>
      <c r="L39" s="599">
        <f>F39+J39</f>
        <v>13334</v>
      </c>
      <c r="M39" s="609">
        <f t="shared" si="13"/>
        <v>0.55662216889155547</v>
      </c>
      <c r="N39" s="609">
        <f t="shared" si="14"/>
        <v>0.57702114894255285</v>
      </c>
      <c r="O39" s="619">
        <v>0</v>
      </c>
      <c r="P39" s="599">
        <f t="shared" si="0"/>
        <v>5640</v>
      </c>
      <c r="Q39" s="147">
        <v>2013</v>
      </c>
      <c r="R39" s="180"/>
      <c r="S39" s="181"/>
      <c r="T39" s="180"/>
      <c r="U39" s="181"/>
      <c r="V39" s="253"/>
      <c r="W39" s="254"/>
      <c r="X39" s="45"/>
      <c r="Y39" s="182"/>
      <c r="Z39" s="182"/>
      <c r="AA39" s="137" t="s">
        <v>75</v>
      </c>
      <c r="AB39" s="137"/>
      <c r="AC39" s="128">
        <v>2013</v>
      </c>
      <c r="AD39" s="114">
        <f>'Escapement Age'!B36</f>
        <v>11.136915077989601</v>
      </c>
      <c r="AE39" s="183"/>
      <c r="AF39" s="184"/>
      <c r="AG39" s="183"/>
      <c r="AH39" s="184"/>
      <c r="AI39" s="183"/>
      <c r="AJ39" s="185"/>
      <c r="AK39" s="126">
        <v>2013</v>
      </c>
      <c r="AL39" s="116"/>
      <c r="AM39" s="186"/>
      <c r="AN39" s="187"/>
      <c r="AO39" s="186"/>
      <c r="AP39" s="187"/>
      <c r="AQ39" s="186"/>
      <c r="AR39" s="187"/>
      <c r="AS39" s="138" t="s">
        <v>75</v>
      </c>
    </row>
    <row r="40" spans="1:58" s="123" customFormat="1" x14ac:dyDescent="0.2">
      <c r="A40" s="592">
        <v>2011</v>
      </c>
      <c r="B40" s="605">
        <f>'Catch Age'!P85</f>
        <v>2600</v>
      </c>
      <c r="C40" s="627">
        <f>'Catch Age'!W85</f>
        <v>13</v>
      </c>
      <c r="D40" s="628">
        <f>'Catch Age'!AD85</f>
        <v>2</v>
      </c>
      <c r="E40" s="606">
        <f>'Catch Age'!AK85</f>
        <v>69</v>
      </c>
      <c r="F40" s="607">
        <f>SUM(B40:E40)</f>
        <v>2684</v>
      </c>
      <c r="G40" s="608">
        <v>0.1</v>
      </c>
      <c r="H40" s="597">
        <f>'Daily Weir Counts'!AD$5</f>
        <v>40806</v>
      </c>
      <c r="I40" s="598">
        <f>'Daily Weir Counts'!AD$6</f>
        <v>4777</v>
      </c>
      <c r="J40" s="625">
        <f>'Daily Weir Counts'!AD$6</f>
        <v>4777</v>
      </c>
      <c r="K40" s="626">
        <v>0.05</v>
      </c>
      <c r="L40" s="599">
        <f t="shared" si="11"/>
        <v>7461</v>
      </c>
      <c r="M40" s="609">
        <f t="shared" si="13"/>
        <v>0.34847875619890095</v>
      </c>
      <c r="N40" s="609">
        <f t="shared" si="14"/>
        <v>0.35973730062994236</v>
      </c>
      <c r="O40" s="619">
        <v>0</v>
      </c>
      <c r="P40" s="599">
        <f t="shared" si="0"/>
        <v>4777</v>
      </c>
      <c r="Q40" s="151"/>
      <c r="R40" s="180"/>
      <c r="S40" s="181"/>
      <c r="T40" s="180"/>
      <c r="U40" s="181"/>
      <c r="V40" s="180"/>
      <c r="W40" s="181"/>
      <c r="X40" s="180"/>
      <c r="Y40" s="182"/>
      <c r="Z40" s="182"/>
      <c r="AA40" s="137"/>
      <c r="AB40" s="137"/>
      <c r="AC40" s="183"/>
      <c r="AD40" s="184"/>
      <c r="AE40" s="183"/>
      <c r="AF40" s="184"/>
      <c r="AG40" s="183"/>
      <c r="AH40" s="184"/>
      <c r="AI40" s="183"/>
      <c r="AJ40" s="185"/>
      <c r="AK40" s="186"/>
      <c r="AL40" s="187"/>
      <c r="AM40" s="186"/>
      <c r="AN40" s="187"/>
      <c r="AO40" s="186"/>
      <c r="AP40" s="187"/>
      <c r="AQ40" s="186"/>
      <c r="AR40" s="187"/>
      <c r="AS40" s="188"/>
    </row>
    <row r="41" spans="1:58" s="123" customFormat="1" x14ac:dyDescent="0.2">
      <c r="A41" s="592">
        <v>2012</v>
      </c>
      <c r="B41" s="605"/>
      <c r="C41" s="627"/>
      <c r="D41" s="605"/>
      <c r="E41" s="627"/>
      <c r="F41" s="605" t="s">
        <v>19</v>
      </c>
      <c r="G41" s="608">
        <v>0.9</v>
      </c>
      <c r="H41" s="597">
        <f>'Daily Weir Counts'!AE$5</f>
        <v>40806</v>
      </c>
      <c r="I41" s="629">
        <f>'Daily Weir Counts'!AE$6</f>
        <v>5681</v>
      </c>
      <c r="J41" s="623">
        <f>'Daily Weir Counts'!AE$6</f>
        <v>5681</v>
      </c>
      <c r="K41" s="626">
        <v>0.05</v>
      </c>
      <c r="L41" s="599"/>
      <c r="M41" s="609"/>
      <c r="N41" s="609"/>
      <c r="O41" s="619">
        <v>0</v>
      </c>
      <c r="P41" s="599">
        <f t="shared" si="0"/>
        <v>5681</v>
      </c>
      <c r="Q41" s="151"/>
      <c r="R41" s="180"/>
      <c r="S41" s="181"/>
      <c r="T41" s="180"/>
      <c r="U41" s="181"/>
      <c r="V41" s="180"/>
      <c r="W41" s="181"/>
      <c r="X41" s="180"/>
      <c r="Y41" s="182"/>
      <c r="Z41" s="182"/>
      <c r="AA41" s="137"/>
      <c r="AB41" s="137"/>
      <c r="AC41" s="183"/>
      <c r="AD41" s="184"/>
      <c r="AE41" s="183"/>
      <c r="AF41" s="184"/>
      <c r="AG41" s="183"/>
      <c r="AH41" s="184"/>
      <c r="AI41" s="183"/>
      <c r="AJ41" s="185"/>
      <c r="AK41" s="186"/>
      <c r="AL41" s="187"/>
      <c r="AM41" s="186"/>
      <c r="AN41" s="187"/>
      <c r="AO41" s="186"/>
      <c r="AP41" s="187"/>
      <c r="AQ41" s="186"/>
      <c r="AR41" s="187"/>
      <c r="AS41" s="188"/>
    </row>
    <row r="42" spans="1:58" x14ac:dyDescent="0.2">
      <c r="A42" s="592">
        <v>2013</v>
      </c>
      <c r="B42" s="605"/>
      <c r="C42" s="627"/>
      <c r="D42" s="627"/>
      <c r="E42" s="627"/>
      <c r="F42" s="627" t="s">
        <v>19</v>
      </c>
      <c r="G42" s="608">
        <v>0.9</v>
      </c>
      <c r="H42" s="597">
        <f>'Daily Weir Counts'!AF$5</f>
        <v>40817</v>
      </c>
      <c r="I42" s="629">
        <f>'Daily Weir Counts'!AF$6</f>
        <v>6426</v>
      </c>
      <c r="J42" s="623">
        <f>'Daily Weir Counts'!AF$6</f>
        <v>6426</v>
      </c>
      <c r="K42" s="626">
        <v>0.05</v>
      </c>
      <c r="L42" s="599"/>
      <c r="M42" s="609"/>
      <c r="N42" s="609"/>
      <c r="O42" s="619">
        <v>0</v>
      </c>
      <c r="P42" s="599">
        <f t="shared" si="0"/>
        <v>6426</v>
      </c>
      <c r="Q42" s="151"/>
      <c r="R42" s="180"/>
      <c r="S42" s="181"/>
      <c r="T42" s="180"/>
      <c r="U42" s="181"/>
      <c r="V42" s="180"/>
      <c r="W42" s="181"/>
      <c r="X42" s="180"/>
      <c r="Y42" s="182"/>
      <c r="Z42" s="182"/>
      <c r="AA42" s="137"/>
      <c r="AB42" s="137"/>
      <c r="AC42" s="28"/>
      <c r="AD42" s="118"/>
      <c r="AE42" s="28"/>
      <c r="AF42" s="118"/>
      <c r="AG42" s="28"/>
      <c r="AH42" s="118"/>
      <c r="AI42" s="28"/>
      <c r="AJ42" s="118"/>
      <c r="AK42" s="30"/>
      <c r="AL42" s="31"/>
      <c r="AM42" s="30"/>
      <c r="AN42" s="31"/>
      <c r="AO42" s="30"/>
      <c r="AP42" s="31"/>
      <c r="AQ42" s="30"/>
      <c r="AR42" s="31"/>
      <c r="AS42" s="211"/>
    </row>
    <row r="43" spans="1:58" x14ac:dyDescent="0.2">
      <c r="A43" s="592"/>
      <c r="B43" s="605"/>
      <c r="C43" s="630"/>
      <c r="D43" s="630"/>
      <c r="E43" s="630"/>
      <c r="F43" s="630"/>
      <c r="G43" s="607"/>
      <c r="H43" s="597"/>
      <c r="I43" s="631"/>
      <c r="J43" s="619"/>
      <c r="K43" s="619"/>
      <c r="L43" s="599"/>
      <c r="M43" s="609"/>
      <c r="N43" s="609"/>
      <c r="O43" s="619"/>
      <c r="P43" s="599"/>
      <c r="Q43" s="146"/>
      <c r="R43" s="122"/>
      <c r="S43" s="150"/>
      <c r="T43" s="122"/>
      <c r="U43" s="150"/>
      <c r="V43" s="122"/>
      <c r="W43" s="150"/>
      <c r="X43" s="122"/>
      <c r="Y43" s="123"/>
      <c r="Z43" s="123"/>
      <c r="AA43" s="119"/>
      <c r="AB43" s="119"/>
    </row>
    <row r="44" spans="1:58" x14ac:dyDescent="0.2">
      <c r="A44" s="583"/>
      <c r="B44" s="583"/>
      <c r="G44" s="607"/>
      <c r="N44" s="585"/>
      <c r="P44" s="585"/>
      <c r="Q44" s="6"/>
      <c r="R44" s="7"/>
      <c r="S44" s="481"/>
      <c r="W44" s="225"/>
      <c r="AA44" s="255"/>
      <c r="AB44" s="196" t="s">
        <v>138</v>
      </c>
    </row>
    <row r="45" spans="1:58" ht="13.5" thickBot="1" x14ac:dyDescent="0.25">
      <c r="A45" s="583"/>
      <c r="B45" s="583"/>
      <c r="G45" s="607"/>
      <c r="L45" s="582" t="s">
        <v>134</v>
      </c>
      <c r="N45" s="590" t="s">
        <v>98</v>
      </c>
      <c r="O45" s="582" t="s">
        <v>96</v>
      </c>
      <c r="P45" s="582" t="s">
        <v>97</v>
      </c>
      <c r="Q45" s="6" t="s">
        <v>43</v>
      </c>
      <c r="R45" s="6" t="s">
        <v>99</v>
      </c>
      <c r="S45" s="481"/>
      <c r="T45" s="167"/>
      <c r="U45" s="168" t="s">
        <v>100</v>
      </c>
      <c r="V45" s="169"/>
      <c r="W45" s="167"/>
      <c r="AA45" s="6">
        <v>1983</v>
      </c>
      <c r="AB45" s="256">
        <f t="shared" ref="AB45:AB67" si="16">X12/Y12</f>
        <v>0.30452715705035105</v>
      </c>
    </row>
    <row r="46" spans="1:58" x14ac:dyDescent="0.2">
      <c r="A46" s="583"/>
      <c r="B46" s="583"/>
      <c r="G46" s="607"/>
      <c r="I46" s="632"/>
      <c r="J46" s="582">
        <v>1983</v>
      </c>
      <c r="L46" s="599">
        <v>10484</v>
      </c>
      <c r="M46" s="582">
        <v>1</v>
      </c>
      <c r="N46" s="582">
        <v>1983</v>
      </c>
      <c r="O46" s="598">
        <f t="shared" ref="O46:O69" si="17">P12/1000</f>
        <v>10.484</v>
      </c>
      <c r="P46" s="598">
        <f t="shared" ref="P46:P69" si="18">Y12/1000</f>
        <v>4.9980609908430003</v>
      </c>
      <c r="Q46" s="160">
        <f>AA12</f>
        <v>0.47673225780646705</v>
      </c>
      <c r="R46" s="160">
        <f t="shared" ref="R46:R69" si="19">AB12</f>
        <v>-0.74080025007303585</v>
      </c>
      <c r="S46" s="481"/>
      <c r="T46" s="170" t="s">
        <v>101</v>
      </c>
      <c r="U46" s="171" t="e">
        <f t="array" ref="U46:V50">LINEST(R46:R68,O46:O68,1,1)</f>
        <v>#VALUE!</v>
      </c>
      <c r="V46" s="172" t="e">
        <v>#VALUE!</v>
      </c>
      <c r="W46" s="167" t="s">
        <v>102</v>
      </c>
      <c r="AA46" s="6">
        <v>1984</v>
      </c>
      <c r="AB46" s="256">
        <f t="shared" si="16"/>
        <v>4.0958950140410635E-2</v>
      </c>
      <c r="AC46" s="6"/>
      <c r="AD46" s="7"/>
      <c r="AE46" s="6"/>
      <c r="AF46" s="7"/>
      <c r="AG46" s="6"/>
      <c r="AH46" s="7"/>
      <c r="AI46" s="6"/>
      <c r="AJ46" s="7"/>
      <c r="AK46" s="6"/>
      <c r="AL46" s="7"/>
      <c r="AT46" s="21"/>
      <c r="AU46" s="21"/>
      <c r="AV46" s="21"/>
    </row>
    <row r="47" spans="1:58" x14ac:dyDescent="0.2">
      <c r="G47" s="607"/>
      <c r="I47" s="632"/>
      <c r="J47" s="582">
        <v>1984</v>
      </c>
      <c r="L47" s="633">
        <v>10432.762681405464</v>
      </c>
      <c r="M47" s="582">
        <v>2</v>
      </c>
      <c r="N47" s="582">
        <v>1984</v>
      </c>
      <c r="O47" s="598">
        <f t="shared" si="17"/>
        <v>10.619443567532898</v>
      </c>
      <c r="P47" s="598">
        <f t="shared" si="18"/>
        <v>17.520853893694813</v>
      </c>
      <c r="Q47" s="160">
        <f t="shared" ref="Q47:Q69" si="20">AA13</f>
        <v>1.6498843637402791</v>
      </c>
      <c r="R47" s="160">
        <f t="shared" si="19"/>
        <v>0.50070520287494136</v>
      </c>
      <c r="S47" s="229"/>
      <c r="T47" s="170" t="s">
        <v>64</v>
      </c>
      <c r="U47" s="173" t="e">
        <v>#VALUE!</v>
      </c>
      <c r="V47" s="174" t="e">
        <v>#VALUE!</v>
      </c>
      <c r="W47" s="167" t="s">
        <v>64</v>
      </c>
      <c r="AA47" s="6">
        <v>1985</v>
      </c>
      <c r="AB47" s="256" t="e">
        <f t="shared" si="16"/>
        <v>#VALUE!</v>
      </c>
      <c r="AC47" s="6"/>
      <c r="AD47" s="7"/>
      <c r="AE47" s="6"/>
      <c r="AF47" s="7"/>
      <c r="AG47" s="6"/>
      <c r="AH47" s="7"/>
      <c r="AI47" s="242"/>
      <c r="AJ47" s="243"/>
      <c r="AK47" s="244"/>
      <c r="AL47" s="242"/>
      <c r="AN47" s="145"/>
      <c r="AO47" s="21"/>
      <c r="AP47" s="145"/>
      <c r="AQ47" s="21"/>
      <c r="AR47" s="21"/>
      <c r="AS47" s="21"/>
      <c r="AT47" s="21"/>
      <c r="AU47" s="21"/>
      <c r="AV47" s="21"/>
      <c r="AW47" s="21"/>
      <c r="AX47" s="21"/>
      <c r="AY47" s="21"/>
      <c r="AZ47" s="21"/>
      <c r="BA47" s="21"/>
      <c r="BB47" s="21"/>
      <c r="BC47" s="21"/>
      <c r="BD47" s="21"/>
      <c r="BE47" s="21"/>
      <c r="BF47" s="21"/>
    </row>
    <row r="48" spans="1:58" x14ac:dyDescent="0.2">
      <c r="G48" s="607"/>
      <c r="J48" s="582">
        <v>1985</v>
      </c>
      <c r="L48" s="633">
        <v>8392.9966800404745</v>
      </c>
      <c r="M48" s="582">
        <v>3</v>
      </c>
      <c r="N48" s="582">
        <v>1985</v>
      </c>
      <c r="O48" s="598">
        <f t="shared" si="17"/>
        <v>8.1570449090643464</v>
      </c>
      <c r="P48" s="598" t="e">
        <f t="shared" si="18"/>
        <v>#VALUE!</v>
      </c>
      <c r="Q48" s="160" t="e">
        <f t="shared" si="20"/>
        <v>#VALUE!</v>
      </c>
      <c r="R48" s="160" t="e">
        <f t="shared" si="19"/>
        <v>#VALUE!</v>
      </c>
      <c r="S48" s="229"/>
      <c r="T48" s="170" t="s">
        <v>103</v>
      </c>
      <c r="U48" s="175" t="e">
        <v>#VALUE!</v>
      </c>
      <c r="V48" s="174" t="e">
        <v>#VALUE!</v>
      </c>
      <c r="W48" s="167" t="s">
        <v>88</v>
      </c>
      <c r="AA48" s="6">
        <v>1986</v>
      </c>
      <c r="AB48" s="256" t="e">
        <f t="shared" si="16"/>
        <v>#VALUE!</v>
      </c>
      <c r="AC48" s="6"/>
      <c r="AD48" s="7"/>
      <c r="AE48" s="6"/>
      <c r="AF48" s="7"/>
      <c r="AG48" s="6"/>
      <c r="AH48" s="7"/>
      <c r="AI48" s="245"/>
      <c r="AJ48" s="246"/>
      <c r="AK48" s="244"/>
      <c r="AL48" s="242"/>
      <c r="AN48" s="145"/>
      <c r="AO48" s="21"/>
      <c r="AP48" s="145"/>
      <c r="AQ48" s="21"/>
      <c r="AR48" s="21"/>
      <c r="AS48" s="21"/>
      <c r="AT48" s="21"/>
      <c r="AU48" s="21"/>
      <c r="AV48" s="21"/>
      <c r="AW48" s="21"/>
      <c r="AX48" s="21"/>
      <c r="AY48" s="21"/>
      <c r="AZ48" s="21"/>
      <c r="BA48" s="21"/>
      <c r="BB48" s="21"/>
      <c r="BC48" s="21"/>
      <c r="BD48" s="21"/>
      <c r="BE48" s="21"/>
      <c r="BF48" s="21"/>
    </row>
    <row r="49" spans="7:58" x14ac:dyDescent="0.2">
      <c r="G49" s="607"/>
      <c r="J49" s="582">
        <v>1986</v>
      </c>
      <c r="L49" s="633">
        <v>6980.1109536234098</v>
      </c>
      <c r="M49" s="582">
        <v>4</v>
      </c>
      <c r="N49" s="582">
        <v>1986</v>
      </c>
      <c r="O49" s="598">
        <f t="shared" si="17"/>
        <v>7.0370656567450682</v>
      </c>
      <c r="P49" s="598" t="e">
        <f t="shared" si="18"/>
        <v>#VALUE!</v>
      </c>
      <c r="Q49" s="160" t="e">
        <f t="shared" si="20"/>
        <v>#VALUE!</v>
      </c>
      <c r="R49" s="160" t="e">
        <f t="shared" si="19"/>
        <v>#VALUE!</v>
      </c>
      <c r="S49" s="229"/>
      <c r="T49" s="170" t="s">
        <v>104</v>
      </c>
      <c r="U49" s="175" t="e">
        <v>#VALUE!</v>
      </c>
      <c r="V49" s="176" t="e">
        <v>#VALUE!</v>
      </c>
      <c r="W49" s="167" t="s">
        <v>105</v>
      </c>
      <c r="AA49" s="6">
        <v>1987</v>
      </c>
      <c r="AB49" s="256" t="e">
        <f t="shared" si="16"/>
        <v>#VALUE!</v>
      </c>
      <c r="AC49" s="6"/>
      <c r="AD49" s="7"/>
      <c r="AE49" s="6"/>
      <c r="AF49" s="7"/>
      <c r="AG49" s="6"/>
      <c r="AH49" s="7"/>
      <c r="AI49" s="245"/>
      <c r="AJ49" s="246"/>
      <c r="AK49" s="244"/>
      <c r="AL49" s="242"/>
      <c r="AN49" s="145"/>
      <c r="AO49" s="21"/>
      <c r="AP49" s="145"/>
      <c r="AQ49" s="21"/>
      <c r="AR49" s="21"/>
      <c r="AS49" s="21"/>
      <c r="AT49" s="21"/>
      <c r="AU49" s="21"/>
      <c r="AV49" s="21"/>
      <c r="AW49" s="21"/>
      <c r="AX49" s="21"/>
      <c r="AY49" s="21"/>
      <c r="AZ49" s="21"/>
      <c r="BA49" s="21"/>
      <c r="BB49" s="21"/>
      <c r="BC49" s="21"/>
      <c r="BD49" s="21"/>
      <c r="BE49" s="21"/>
      <c r="BF49" s="21"/>
    </row>
    <row r="50" spans="7:58" ht="13.5" thickBot="1" x14ac:dyDescent="0.25">
      <c r="G50" s="607"/>
      <c r="J50" s="582">
        <v>1987</v>
      </c>
      <c r="L50" s="633">
        <v>11159.339942980554</v>
      </c>
      <c r="M50" s="582">
        <v>5</v>
      </c>
      <c r="N50" s="582">
        <v>1987</v>
      </c>
      <c r="O50" s="598">
        <f t="shared" si="17"/>
        <v>10.257416001624877</v>
      </c>
      <c r="P50" s="598" t="e">
        <f t="shared" si="18"/>
        <v>#VALUE!</v>
      </c>
      <c r="Q50" s="160" t="e">
        <f t="shared" si="20"/>
        <v>#VALUE!</v>
      </c>
      <c r="R50" s="160" t="e">
        <f t="shared" si="19"/>
        <v>#VALUE!</v>
      </c>
      <c r="S50" s="240"/>
      <c r="T50" s="170" t="s">
        <v>106</v>
      </c>
      <c r="U50" s="177" t="e">
        <v>#VALUE!</v>
      </c>
      <c r="V50" s="178" t="e">
        <v>#VALUE!</v>
      </c>
      <c r="W50" s="167" t="s">
        <v>107</v>
      </c>
      <c r="AA50" s="6">
        <v>1988</v>
      </c>
      <c r="AB50" s="256">
        <f t="shared" si="16"/>
        <v>7.7421756184227486E-4</v>
      </c>
      <c r="AC50" s="145"/>
      <c r="AD50" s="21"/>
      <c r="AE50" s="145"/>
      <c r="AF50" s="21"/>
      <c r="AG50" s="145"/>
      <c r="AH50" s="21"/>
      <c r="AI50" s="245"/>
      <c r="AJ50" s="244"/>
      <c r="AK50" s="244"/>
      <c r="AL50" s="242"/>
      <c r="AN50" s="145"/>
      <c r="AO50" s="21"/>
      <c r="AP50" s="145"/>
      <c r="AQ50" s="21"/>
      <c r="AR50" s="21"/>
      <c r="AS50" s="21"/>
      <c r="AT50" s="21"/>
      <c r="AU50" s="21"/>
      <c r="AV50" s="21"/>
      <c r="AW50" s="21"/>
      <c r="AX50" s="21"/>
      <c r="AY50" s="21"/>
      <c r="AZ50" s="21"/>
      <c r="BA50" s="21"/>
      <c r="BB50" s="21"/>
      <c r="BC50" s="21"/>
      <c r="BD50" s="21"/>
      <c r="BE50" s="21"/>
      <c r="BF50" s="21"/>
    </row>
    <row r="51" spans="7:58" x14ac:dyDescent="0.2">
      <c r="G51" s="607"/>
      <c r="J51" s="634">
        <v>1988</v>
      </c>
      <c r="K51" s="634"/>
      <c r="L51" s="633">
        <v>1273.0531179902227</v>
      </c>
      <c r="M51" s="582">
        <v>6</v>
      </c>
      <c r="N51" s="634">
        <v>1988</v>
      </c>
      <c r="O51" s="598">
        <f t="shared" si="17"/>
        <v>1.5596586926127332</v>
      </c>
      <c r="P51" s="598">
        <f t="shared" si="18"/>
        <v>38.322251259701453</v>
      </c>
      <c r="Q51" s="160">
        <f t="shared" si="20"/>
        <v>24.570921472251207</v>
      </c>
      <c r="R51" s="160">
        <f t="shared" si="19"/>
        <v>3.2015636897879598</v>
      </c>
      <c r="S51" s="229"/>
      <c r="T51" s="169"/>
      <c r="U51" s="179">
        <v>9.8362359860032512E-7</v>
      </c>
      <c r="V51" s="169"/>
      <c r="W51" s="169"/>
      <c r="AA51" s="6">
        <v>1989</v>
      </c>
      <c r="AB51" s="256">
        <f t="shared" si="16"/>
        <v>0.11267653395374909</v>
      </c>
      <c r="AC51" s="145"/>
      <c r="AD51" s="21"/>
      <c r="AE51" s="145"/>
      <c r="AF51" s="21"/>
      <c r="AG51" s="145"/>
      <c r="AH51" s="21"/>
      <c r="AI51" s="245"/>
      <c r="AJ51" s="244"/>
      <c r="AK51" s="247"/>
      <c r="AL51" s="242"/>
      <c r="AN51" s="21"/>
      <c r="AO51" s="145"/>
      <c r="AP51" s="21"/>
      <c r="AQ51" s="145"/>
      <c r="AR51" s="21"/>
      <c r="AS51" s="21"/>
      <c r="AT51" s="21"/>
      <c r="AU51" s="21"/>
      <c r="AV51" s="21"/>
      <c r="AW51" s="21"/>
      <c r="AX51" s="21"/>
      <c r="AY51" s="21"/>
      <c r="AZ51" s="21"/>
      <c r="BA51" s="21"/>
      <c r="BB51" s="21"/>
      <c r="BC51" s="21"/>
      <c r="BD51" s="21"/>
      <c r="BE51" s="21"/>
      <c r="BF51" s="21"/>
    </row>
    <row r="52" spans="7:58" x14ac:dyDescent="0.2">
      <c r="G52" s="607"/>
      <c r="J52" s="582">
        <v>1989</v>
      </c>
      <c r="L52" s="633">
        <v>13932.916894939224</v>
      </c>
      <c r="M52" s="582">
        <v>7</v>
      </c>
      <c r="N52" s="582">
        <v>1989</v>
      </c>
      <c r="O52" s="598">
        <f t="shared" si="17"/>
        <v>12.083149499668281</v>
      </c>
      <c r="P52" s="598">
        <f t="shared" si="18"/>
        <v>15.384561154765072</v>
      </c>
      <c r="Q52" s="160">
        <f t="shared" si="20"/>
        <v>1.2732244316920371</v>
      </c>
      <c r="R52" s="160">
        <f t="shared" si="19"/>
        <v>0.24155260544373017</v>
      </c>
      <c r="S52" s="229"/>
      <c r="T52" s="245"/>
      <c r="U52" s="244"/>
      <c r="V52" s="244"/>
      <c r="W52" s="242"/>
      <c r="AA52" s="6">
        <v>1990</v>
      </c>
      <c r="AB52" s="256">
        <f t="shared" si="16"/>
        <v>2.5524727703606885E-3</v>
      </c>
      <c r="AC52" s="250"/>
      <c r="AD52" s="21"/>
      <c r="AE52" s="145"/>
      <c r="AF52" s="21"/>
      <c r="AG52" s="145"/>
      <c r="AH52" s="21"/>
      <c r="AI52" s="245"/>
      <c r="AJ52" s="244"/>
      <c r="AK52" s="244"/>
      <c r="AL52" s="242"/>
      <c r="AN52" s="21"/>
      <c r="AO52" s="145"/>
      <c r="AP52" s="21"/>
      <c r="AQ52" s="145"/>
      <c r="AR52" s="21"/>
      <c r="AS52" s="21"/>
      <c r="AT52" s="21"/>
      <c r="AU52" s="21"/>
      <c r="AV52" s="21"/>
      <c r="AW52" s="21"/>
      <c r="AX52" s="21"/>
      <c r="AY52" s="21"/>
      <c r="AZ52" s="21"/>
      <c r="BA52" s="21"/>
      <c r="BB52" s="21"/>
      <c r="BC52" s="21"/>
      <c r="BD52" s="21"/>
      <c r="BE52" s="21"/>
      <c r="BF52" s="21"/>
    </row>
    <row r="53" spans="7:58" x14ac:dyDescent="0.2">
      <c r="G53" s="607"/>
      <c r="J53" s="582">
        <v>1990</v>
      </c>
      <c r="L53" s="633">
        <v>21199.59740090304</v>
      </c>
      <c r="M53" s="582">
        <v>8</v>
      </c>
      <c r="N53" s="582">
        <v>1990</v>
      </c>
      <c r="O53" s="598">
        <f t="shared" si="17"/>
        <v>17.111698954346497</v>
      </c>
      <c r="P53" s="598">
        <f t="shared" si="18"/>
        <v>8.1610999085793559</v>
      </c>
      <c r="Q53" s="160">
        <f t="shared" si="20"/>
        <v>0.47693101254018821</v>
      </c>
      <c r="R53" s="160">
        <f t="shared" si="19"/>
        <v>-0.74038342635175192</v>
      </c>
      <c r="S53" s="229"/>
      <c r="AA53" s="6">
        <v>1991</v>
      </c>
      <c r="AB53" s="256">
        <f t="shared" si="16"/>
        <v>3.6926498254602467E-3</v>
      </c>
      <c r="AC53" s="250"/>
      <c r="AD53" s="21"/>
      <c r="AE53" s="145"/>
      <c r="AF53" s="21"/>
      <c r="AG53" s="145"/>
      <c r="AH53" s="21"/>
      <c r="AI53" s="244"/>
      <c r="AJ53" s="248"/>
      <c r="AK53" s="244"/>
      <c r="AL53" s="244"/>
      <c r="AN53" s="21"/>
      <c r="AO53" s="145"/>
      <c r="AP53" s="21"/>
      <c r="AQ53" s="145"/>
      <c r="AR53" s="21"/>
      <c r="AS53" s="21"/>
      <c r="AT53" s="21"/>
      <c r="AU53" s="21"/>
      <c r="AV53" s="21"/>
      <c r="AW53" s="21"/>
      <c r="AX53" s="21"/>
      <c r="AY53" s="21"/>
      <c r="AZ53" s="21"/>
      <c r="BA53" s="21"/>
      <c r="BB53" s="21"/>
      <c r="BC53" s="21"/>
      <c r="BD53" s="21"/>
      <c r="BE53" s="21"/>
      <c r="BF53" s="21"/>
    </row>
    <row r="54" spans="7:58" x14ac:dyDescent="0.2">
      <c r="G54" s="607"/>
      <c r="J54" s="634">
        <v>1991</v>
      </c>
      <c r="K54" s="634"/>
      <c r="L54" s="635">
        <v>522.20070080593939</v>
      </c>
      <c r="M54" s="582">
        <v>9</v>
      </c>
      <c r="N54" s="634">
        <v>1991</v>
      </c>
      <c r="O54" s="598">
        <f t="shared" si="17"/>
        <v>1.9179499623449403</v>
      </c>
      <c r="P54" s="598">
        <f t="shared" si="18"/>
        <v>23.568455398487163</v>
      </c>
      <c r="Q54" s="160">
        <f t="shared" si="20"/>
        <v>12.288357809747913</v>
      </c>
      <c r="R54" s="160">
        <f t="shared" si="19"/>
        <v>2.5086522946132059</v>
      </c>
      <c r="S54" s="229"/>
      <c r="AA54" s="6">
        <v>1992</v>
      </c>
      <c r="AB54" s="256">
        <f t="shared" si="16"/>
        <v>1.1084178510278578E-2</v>
      </c>
      <c r="AC54" s="249"/>
      <c r="AD54" s="145"/>
      <c r="AE54" s="21"/>
      <c r="AF54" s="145"/>
      <c r="AG54" s="21"/>
      <c r="AH54" s="145"/>
      <c r="AI54" s="249"/>
      <c r="AJ54" s="250"/>
      <c r="AK54" s="249"/>
      <c r="AL54" s="250"/>
      <c r="AN54" s="21"/>
      <c r="AO54" s="145"/>
      <c r="AP54" s="21"/>
      <c r="AQ54" s="145"/>
      <c r="AR54" s="21"/>
      <c r="AS54" s="21"/>
      <c r="AT54" s="21"/>
      <c r="AU54" s="21"/>
      <c r="AV54" s="21"/>
      <c r="AW54" s="21"/>
      <c r="AX54" s="21"/>
      <c r="AY54" s="21"/>
      <c r="AZ54" s="21"/>
      <c r="BA54" s="21"/>
      <c r="BB54" s="21"/>
      <c r="BC54" s="21"/>
      <c r="BD54" s="21"/>
      <c r="BE54" s="21"/>
      <c r="BF54" s="21"/>
    </row>
    <row r="55" spans="7:58" x14ac:dyDescent="0.2">
      <c r="G55" s="607"/>
      <c r="J55" s="582">
        <v>1992</v>
      </c>
      <c r="L55" s="633">
        <v>11212.785562179308</v>
      </c>
      <c r="M55" s="582">
        <v>10</v>
      </c>
      <c r="N55" s="582">
        <v>1992</v>
      </c>
      <c r="O55" s="598">
        <f t="shared" si="17"/>
        <v>8.7821086392232015</v>
      </c>
      <c r="P55" s="598">
        <f t="shared" si="18"/>
        <v>6.8198489478124982</v>
      </c>
      <c r="Q55" s="160">
        <f t="shared" si="20"/>
        <v>0.77656166963743356</v>
      </c>
      <c r="R55" s="160">
        <f t="shared" si="19"/>
        <v>-0.25287921953742409</v>
      </c>
      <c r="S55" s="229"/>
      <c r="AA55" s="6">
        <v>1993</v>
      </c>
      <c r="AB55" s="256">
        <f t="shared" si="16"/>
        <v>1.1131088228945164E-2</v>
      </c>
      <c r="AC55" s="249"/>
      <c r="AD55" s="145"/>
      <c r="AE55" s="21"/>
      <c r="AF55" s="145"/>
      <c r="AG55" s="21"/>
      <c r="AH55" s="145"/>
      <c r="AI55" s="21"/>
      <c r="AJ55" s="145"/>
      <c r="AK55" s="21"/>
      <c r="AL55" s="145"/>
      <c r="AN55" s="21"/>
      <c r="AO55" s="145"/>
      <c r="AP55" s="21"/>
      <c r="AQ55" s="145"/>
      <c r="AR55" s="21"/>
      <c r="AS55" s="21"/>
      <c r="AW55" s="21"/>
      <c r="AX55" s="21"/>
      <c r="AY55" s="21"/>
      <c r="AZ55" s="21"/>
      <c r="BA55" s="21"/>
      <c r="BB55" s="21"/>
      <c r="BC55" s="21"/>
      <c r="BD55" s="21"/>
      <c r="BE55" s="21"/>
      <c r="BF55" s="21"/>
    </row>
    <row r="56" spans="7:58" x14ac:dyDescent="0.2">
      <c r="G56" s="607"/>
      <c r="J56" s="582">
        <v>1995</v>
      </c>
      <c r="L56" s="636">
        <v>8200.8485446877057</v>
      </c>
      <c r="M56" s="582">
        <v>11</v>
      </c>
      <c r="N56" s="634">
        <v>1993</v>
      </c>
      <c r="O56" s="598">
        <f t="shared" si="17"/>
        <v>23.287476415522992</v>
      </c>
      <c r="P56" s="598">
        <f t="shared" si="18"/>
        <v>12.012559666878513</v>
      </c>
      <c r="Q56" s="160">
        <f t="shared" si="20"/>
        <v>0.51583775985581537</v>
      </c>
      <c r="R56" s="160">
        <f t="shared" si="19"/>
        <v>-0.66196298182463387</v>
      </c>
      <c r="S56" s="229"/>
      <c r="AA56" s="6">
        <v>1994</v>
      </c>
      <c r="AB56" s="256">
        <f t="shared" si="16"/>
        <v>1.0658651179021948E-3</v>
      </c>
      <c r="AC56" s="249"/>
      <c r="AD56" s="145"/>
      <c r="AE56" s="21"/>
      <c r="AF56" s="145"/>
      <c r="AG56" s="21"/>
      <c r="AH56" s="145"/>
      <c r="AI56" s="21"/>
      <c r="AJ56" s="145"/>
      <c r="AK56" s="21"/>
      <c r="AL56" s="145"/>
    </row>
    <row r="57" spans="7:58" x14ac:dyDescent="0.2">
      <c r="G57" s="607"/>
      <c r="J57" s="582">
        <v>1996</v>
      </c>
      <c r="L57" s="636">
        <v>11834.362466680286</v>
      </c>
      <c r="M57" s="582">
        <v>12</v>
      </c>
      <c r="N57" s="634">
        <v>1994</v>
      </c>
      <c r="O57" s="598">
        <f t="shared" si="17"/>
        <v>1.3751061773554334</v>
      </c>
      <c r="P57" s="598">
        <f t="shared" si="18"/>
        <v>15.15250704297687</v>
      </c>
      <c r="Q57" s="160">
        <f t="shared" si="20"/>
        <v>11.019154224234347</v>
      </c>
      <c r="R57" s="160">
        <f t="shared" si="19"/>
        <v>2.3996350516173632</v>
      </c>
      <c r="S57" s="229"/>
      <c r="W57" s="245"/>
      <c r="X57" s="244"/>
      <c r="Y57" s="247"/>
      <c r="Z57" s="247"/>
      <c r="AA57" s="6">
        <v>1995</v>
      </c>
      <c r="AB57" s="256">
        <f t="shared" si="16"/>
        <v>4.0276506201616562E-3</v>
      </c>
      <c r="AC57" s="249"/>
      <c r="AD57" s="145"/>
      <c r="AE57" s="21"/>
      <c r="AF57" s="145"/>
      <c r="AG57" s="21"/>
      <c r="AH57" s="145"/>
      <c r="AI57" s="21"/>
      <c r="AJ57" s="145"/>
      <c r="AK57" s="21"/>
      <c r="AL57" s="145"/>
    </row>
    <row r="58" spans="7:58" x14ac:dyDescent="0.2">
      <c r="G58" s="607"/>
      <c r="J58" s="582">
        <v>1997</v>
      </c>
      <c r="L58" s="636">
        <v>5747.4229901020526</v>
      </c>
      <c r="M58" s="582">
        <v>13</v>
      </c>
      <c r="N58" s="582">
        <v>1995</v>
      </c>
      <c r="O58" s="598">
        <f t="shared" si="17"/>
        <v>6.4984626751558023</v>
      </c>
      <c r="P58" s="598">
        <f t="shared" si="18"/>
        <v>14.528524097181847</v>
      </c>
      <c r="Q58" s="160">
        <f t="shared" si="20"/>
        <v>2.2356863189698202</v>
      </c>
      <c r="R58" s="160">
        <f t="shared" si="19"/>
        <v>0.8045482587656283</v>
      </c>
      <c r="S58" s="229"/>
      <c r="W58" s="245"/>
      <c r="X58" s="244"/>
      <c r="Y58" s="244"/>
      <c r="Z58" s="244"/>
      <c r="AA58" s="6">
        <v>1996</v>
      </c>
      <c r="AB58" s="256">
        <f t="shared" si="16"/>
        <v>1.3104699452981974E-3</v>
      </c>
      <c r="AC58" s="123"/>
      <c r="AD58" s="7"/>
      <c r="AE58" s="6"/>
      <c r="AF58" s="7"/>
      <c r="AG58" s="21"/>
      <c r="AH58" s="145"/>
      <c r="AI58" s="21"/>
      <c r="AJ58" s="145"/>
      <c r="AK58" s="21"/>
      <c r="AL58" s="145"/>
    </row>
    <row r="59" spans="7:58" x14ac:dyDescent="0.2">
      <c r="G59" s="607"/>
      <c r="J59" s="582">
        <v>1998</v>
      </c>
      <c r="L59" s="637">
        <v>15806.348498038611</v>
      </c>
      <c r="M59" s="582">
        <v>14</v>
      </c>
      <c r="N59" s="582">
        <v>1996</v>
      </c>
      <c r="O59" s="598">
        <f t="shared" si="17"/>
        <v>10.154971469848308</v>
      </c>
      <c r="P59" s="598">
        <f t="shared" si="18"/>
        <v>21.820390149930525</v>
      </c>
      <c r="Q59" s="160">
        <f t="shared" si="20"/>
        <v>2.1487396803347663</v>
      </c>
      <c r="R59" s="160">
        <f t="shared" si="19"/>
        <v>0.76488147506686399</v>
      </c>
      <c r="S59" s="229"/>
      <c r="W59" s="244"/>
      <c r="X59" s="248"/>
      <c r="Y59" s="244"/>
      <c r="Z59" s="244"/>
      <c r="AA59" s="6">
        <v>1997</v>
      </c>
      <c r="AB59" s="256">
        <f t="shared" si="16"/>
        <v>4.6119930500267034E-4</v>
      </c>
      <c r="AC59" s="123"/>
      <c r="AD59" s="7"/>
      <c r="AE59" s="6"/>
      <c r="AF59" s="7"/>
      <c r="AG59" s="6"/>
      <c r="AH59" s="7"/>
      <c r="AI59" s="6"/>
      <c r="AJ59" s="7"/>
      <c r="AK59" s="6"/>
      <c r="AL59" s="7"/>
    </row>
    <row r="60" spans="7:58" x14ac:dyDescent="0.2">
      <c r="G60" s="607"/>
      <c r="J60" s="582">
        <v>1999</v>
      </c>
      <c r="L60" s="637">
        <v>12018.320824530942</v>
      </c>
      <c r="M60" s="582">
        <v>15</v>
      </c>
      <c r="N60" s="582">
        <v>1997</v>
      </c>
      <c r="O60" s="598">
        <f t="shared" si="17"/>
        <v>5.8377699100430362</v>
      </c>
      <c r="P60" s="598">
        <f t="shared" si="18"/>
        <v>13.590862880222719</v>
      </c>
      <c r="Q60" s="160">
        <f t="shared" si="20"/>
        <v>2.328091564013445</v>
      </c>
      <c r="R60" s="160">
        <f t="shared" si="19"/>
        <v>0.84504886071661911</v>
      </c>
      <c r="S60" s="229"/>
      <c r="W60" s="239"/>
      <c r="X60" s="226"/>
      <c r="Y60" s="226"/>
      <c r="Z60" s="226"/>
      <c r="AA60" s="6">
        <v>1998</v>
      </c>
      <c r="AB60" s="256">
        <f t="shared" si="16"/>
        <v>2.9450520282243847E-3</v>
      </c>
      <c r="AC60" s="123"/>
      <c r="AD60" s="7"/>
      <c r="AE60" s="6"/>
      <c r="AF60" s="7"/>
      <c r="AG60" s="6"/>
      <c r="AH60" s="7"/>
      <c r="AI60" s="6"/>
      <c r="AJ60" s="7"/>
      <c r="AK60" s="6"/>
      <c r="AL60" s="7"/>
    </row>
    <row r="61" spans="7:58" x14ac:dyDescent="0.2">
      <c r="G61" s="607"/>
      <c r="J61" s="582">
        <v>2000</v>
      </c>
      <c r="L61" s="636">
        <v>7902.0791045072356</v>
      </c>
      <c r="M61" s="582">
        <v>16</v>
      </c>
      <c r="N61" s="582">
        <v>1998</v>
      </c>
      <c r="O61" s="598">
        <f t="shared" si="17"/>
        <v>13.858295208905085</v>
      </c>
      <c r="P61" s="598">
        <f t="shared" si="18"/>
        <v>25.931505905299023</v>
      </c>
      <c r="Q61" s="160">
        <f t="shared" si="20"/>
        <v>1.871190179917362</v>
      </c>
      <c r="R61" s="160">
        <f t="shared" si="19"/>
        <v>0.62657468826068063</v>
      </c>
      <c r="S61" s="229"/>
      <c r="W61" s="241"/>
      <c r="X61" s="229"/>
      <c r="Y61" s="229"/>
      <c r="Z61" s="229"/>
      <c r="AA61" s="6">
        <v>1999</v>
      </c>
      <c r="AB61" s="256">
        <f t="shared" si="16"/>
        <v>1.516748284978804E-2</v>
      </c>
      <c r="AC61" s="6"/>
      <c r="AD61" s="7"/>
      <c r="AE61" s="6"/>
      <c r="AF61" s="7"/>
      <c r="AG61" s="6"/>
      <c r="AH61" s="7"/>
      <c r="AI61" s="6"/>
      <c r="AJ61" s="7"/>
      <c r="AK61" s="6"/>
      <c r="AL61" s="7"/>
    </row>
    <row r="62" spans="7:58" x14ac:dyDescent="0.2">
      <c r="G62" s="607"/>
      <c r="J62" s="582">
        <v>2001</v>
      </c>
      <c r="L62" s="636">
        <v>9170.5576103125932</v>
      </c>
      <c r="M62" s="582">
        <v>17</v>
      </c>
      <c r="N62" s="582">
        <v>1999</v>
      </c>
      <c r="O62" s="598">
        <f t="shared" si="17"/>
        <v>11.060254266462506</v>
      </c>
      <c r="P62" s="598">
        <f t="shared" si="18"/>
        <v>18.073414521444011</v>
      </c>
      <c r="Q62" s="160">
        <f t="shared" si="20"/>
        <v>1.6340867113920867</v>
      </c>
      <c r="R62" s="160">
        <f t="shared" si="19"/>
        <v>0.49108406197723198</v>
      </c>
      <c r="S62" s="229"/>
      <c r="W62" s="239"/>
      <c r="X62" s="229"/>
      <c r="Y62" s="229"/>
      <c r="Z62" s="229"/>
      <c r="AA62" s="6">
        <v>2000</v>
      </c>
      <c r="AB62" s="256">
        <f t="shared" si="16"/>
        <v>8.8017408263271132E-3</v>
      </c>
      <c r="AC62" s="6"/>
      <c r="AD62" s="7"/>
      <c r="AE62" s="6"/>
      <c r="AF62" s="7"/>
      <c r="AG62" s="6"/>
      <c r="AH62" s="7"/>
      <c r="AI62" s="6"/>
      <c r="AJ62" s="7"/>
      <c r="AK62" s="6"/>
      <c r="AL62" s="7"/>
    </row>
    <row r="63" spans="7:58" x14ac:dyDescent="0.2">
      <c r="G63" s="607"/>
      <c r="J63" s="582">
        <v>2002</v>
      </c>
      <c r="L63" s="623">
        <v>5071</v>
      </c>
      <c r="M63" s="582">
        <v>18</v>
      </c>
      <c r="N63" s="582">
        <v>2000</v>
      </c>
      <c r="O63" s="598">
        <f t="shared" si="17"/>
        <v>8.0106622381146835</v>
      </c>
      <c r="P63" s="598">
        <f t="shared" si="18"/>
        <v>16.796046864597848</v>
      </c>
      <c r="Q63" s="160">
        <f t="shared" si="20"/>
        <v>2.0967114035444356</v>
      </c>
      <c r="R63" s="160">
        <f t="shared" si="19"/>
        <v>0.74037011896021587</v>
      </c>
      <c r="S63" s="229"/>
      <c r="W63" s="239"/>
      <c r="X63" s="229"/>
      <c r="Y63" s="229"/>
      <c r="Z63" s="229"/>
      <c r="AA63" s="6">
        <v>2001</v>
      </c>
      <c r="AB63" s="256">
        <f t="shared" si="16"/>
        <v>2.1742815173730223E-2</v>
      </c>
      <c r="AC63" s="6"/>
      <c r="AD63" s="7"/>
      <c r="AE63" s="6"/>
      <c r="AF63" s="7"/>
      <c r="AG63" s="6"/>
      <c r="AH63" s="7"/>
      <c r="AI63" s="6"/>
      <c r="AJ63" s="7"/>
      <c r="AK63" s="6"/>
      <c r="AL63" s="7"/>
    </row>
    <row r="64" spans="7:58" x14ac:dyDescent="0.2">
      <c r="G64" s="607"/>
      <c r="J64" s="582">
        <v>2003</v>
      </c>
      <c r="L64" s="623">
        <v>7014</v>
      </c>
      <c r="M64" s="582">
        <v>19</v>
      </c>
      <c r="N64" s="582">
        <v>2001</v>
      </c>
      <c r="O64" s="598">
        <f t="shared" si="17"/>
        <v>9.3493445884490498</v>
      </c>
      <c r="P64" s="598">
        <f t="shared" si="18"/>
        <v>10.93085073483444</v>
      </c>
      <c r="Q64" s="160">
        <f t="shared" si="20"/>
        <v>1.1691568998686082</v>
      </c>
      <c r="R64" s="160">
        <f t="shared" si="19"/>
        <v>0.1562828906509427</v>
      </c>
      <c r="S64" s="229"/>
      <c r="W64" s="239"/>
      <c r="X64" s="229"/>
      <c r="Y64" s="229"/>
      <c r="Z64" s="229"/>
      <c r="AA64" s="6">
        <v>2002</v>
      </c>
      <c r="AB64" s="256">
        <f t="shared" si="16"/>
        <v>5.5129000505532277E-4</v>
      </c>
      <c r="AC64" s="6"/>
      <c r="AD64" s="7"/>
      <c r="AE64" s="6"/>
      <c r="AF64" s="7"/>
      <c r="AG64" s="6"/>
      <c r="AH64" s="7"/>
      <c r="AI64" s="6"/>
      <c r="AJ64" s="7"/>
      <c r="AK64" s="6"/>
      <c r="AL64" s="7"/>
    </row>
    <row r="65" spans="7:43" x14ac:dyDescent="0.2">
      <c r="G65" s="607"/>
      <c r="J65" s="582">
        <v>2004</v>
      </c>
      <c r="L65" s="623">
        <v>7813</v>
      </c>
      <c r="M65" s="582">
        <v>20</v>
      </c>
      <c r="N65" s="582">
        <v>2002</v>
      </c>
      <c r="O65" s="598">
        <f t="shared" si="17"/>
        <v>5.0709999999999997</v>
      </c>
      <c r="P65" s="598">
        <f t="shared" si="18"/>
        <v>10.989532167154533</v>
      </c>
      <c r="Q65" s="160">
        <f t="shared" si="20"/>
        <v>2.1671331428031024</v>
      </c>
      <c r="R65" s="160">
        <f t="shared" si="19"/>
        <v>0.77340516173883278</v>
      </c>
      <c r="S65" s="229"/>
      <c r="W65" s="239"/>
      <c r="X65" s="229"/>
      <c r="Y65" s="229"/>
      <c r="Z65" s="229"/>
      <c r="AA65" s="6">
        <v>2003</v>
      </c>
      <c r="AB65" s="256">
        <f t="shared" si="16"/>
        <v>5.450965714418431E-3</v>
      </c>
      <c r="AC65" s="6"/>
      <c r="AD65" s="7"/>
      <c r="AE65" s="6"/>
      <c r="AF65" s="7"/>
      <c r="AG65" s="6"/>
      <c r="AH65" s="7"/>
      <c r="AI65" s="6"/>
      <c r="AJ65" s="7"/>
      <c r="AK65" s="6"/>
      <c r="AL65" s="7"/>
    </row>
    <row r="66" spans="7:43" x14ac:dyDescent="0.2">
      <c r="G66" s="607"/>
      <c r="J66" s="582">
        <v>2005</v>
      </c>
      <c r="L66" s="623">
        <v>7549</v>
      </c>
      <c r="M66" s="582">
        <v>21</v>
      </c>
      <c r="N66" s="582">
        <v>2003</v>
      </c>
      <c r="O66" s="598">
        <f t="shared" si="17"/>
        <v>7.0140000000000002</v>
      </c>
      <c r="P66" s="598">
        <f t="shared" si="18"/>
        <v>7.2966125617805062</v>
      </c>
      <c r="Q66" s="160">
        <f t="shared" si="20"/>
        <v>1.0402926378358293</v>
      </c>
      <c r="R66" s="160">
        <f t="shared" si="19"/>
        <v>3.950205610709185E-2</v>
      </c>
      <c r="S66" s="229"/>
      <c r="W66" s="239"/>
      <c r="X66" s="229"/>
      <c r="Y66" s="229"/>
      <c r="Z66" s="229"/>
      <c r="AA66" s="6">
        <v>2004</v>
      </c>
      <c r="AB66" s="256">
        <f t="shared" si="16"/>
        <v>1.5874689250451317E-2</v>
      </c>
      <c r="AC66" s="6"/>
      <c r="AD66" s="7"/>
      <c r="AE66" s="6"/>
      <c r="AF66" s="7"/>
      <c r="AG66" s="6"/>
      <c r="AH66" s="7"/>
      <c r="AI66" s="6"/>
      <c r="AJ66" s="7"/>
      <c r="AK66" s="6"/>
      <c r="AL66" s="7"/>
    </row>
    <row r="67" spans="7:43" x14ac:dyDescent="0.2">
      <c r="G67" s="607"/>
      <c r="J67" s="582">
        <v>2006</v>
      </c>
      <c r="L67" s="623">
        <v>4165</v>
      </c>
      <c r="M67" s="582">
        <v>22</v>
      </c>
      <c r="N67" s="582">
        <v>2004</v>
      </c>
      <c r="O67" s="598">
        <f t="shared" si="17"/>
        <v>7.8129999999999997</v>
      </c>
      <c r="P67" s="598">
        <f t="shared" si="18"/>
        <v>8.2504473703151433</v>
      </c>
      <c r="Q67" s="160">
        <f t="shared" si="20"/>
        <v>1.0559896800608144</v>
      </c>
      <c r="R67" s="160">
        <f t="shared" si="19"/>
        <v>5.4478412566633543E-2</v>
      </c>
      <c r="S67" s="229"/>
      <c r="W67" s="239"/>
      <c r="X67" s="240"/>
      <c r="Y67" s="240"/>
      <c r="Z67" s="240"/>
      <c r="AA67" s="6">
        <v>2005</v>
      </c>
      <c r="AB67" s="256">
        <f t="shared" si="16"/>
        <v>1.5222692506893308E-2</v>
      </c>
    </row>
    <row r="68" spans="7:43" x14ac:dyDescent="0.2">
      <c r="G68" s="607"/>
      <c r="J68" s="582">
        <v>2007</v>
      </c>
      <c r="L68" s="623">
        <v>3099</v>
      </c>
      <c r="M68" s="582">
        <v>23</v>
      </c>
      <c r="N68" s="582">
        <v>2005</v>
      </c>
      <c r="O68" s="598">
        <f t="shared" si="17"/>
        <v>7.5490000000000004</v>
      </c>
      <c r="P68" s="598">
        <f t="shared" si="18"/>
        <v>13.128442869048655</v>
      </c>
      <c r="Q68" s="160">
        <f t="shared" si="20"/>
        <v>1.7390969491387807</v>
      </c>
      <c r="R68" s="160">
        <f t="shared" si="19"/>
        <v>0.55336598375422008</v>
      </c>
      <c r="S68" s="158"/>
      <c r="W68" s="158"/>
      <c r="X68" s="158"/>
      <c r="Y68" s="257"/>
      <c r="Z68" s="257"/>
      <c r="AA68" s="258" t="s">
        <v>137</v>
      </c>
      <c r="AB68" s="226" t="e">
        <f>SUM(R35,T35,V35)/(1-(MEDIAN(AB45:AB67)))</f>
        <v>#VALUE!</v>
      </c>
    </row>
    <row r="69" spans="7:43" x14ac:dyDescent="0.2">
      <c r="G69" s="607"/>
      <c r="J69" s="582">
        <v>2008</v>
      </c>
      <c r="L69" s="623">
        <v>1763</v>
      </c>
      <c r="M69" s="582">
        <v>24</v>
      </c>
      <c r="N69" s="582">
        <v>2006</v>
      </c>
      <c r="O69" s="598">
        <f t="shared" si="17"/>
        <v>4.165</v>
      </c>
      <c r="P69" s="598" t="e">
        <f t="shared" si="18"/>
        <v>#VALUE!</v>
      </c>
      <c r="Q69" s="160" t="e">
        <f t="shared" si="20"/>
        <v>#VALUE!</v>
      </c>
      <c r="R69" s="160" t="e">
        <f t="shared" si="19"/>
        <v>#VALUE!</v>
      </c>
      <c r="S69" s="158"/>
      <c r="W69" s="157"/>
      <c r="X69" s="158"/>
      <c r="Y69" s="158"/>
      <c r="Z69" s="158"/>
      <c r="AA69" s="205"/>
      <c r="AB69" s="205"/>
    </row>
    <row r="70" spans="7:43" x14ac:dyDescent="0.2">
      <c r="G70" s="607"/>
      <c r="H70" s="585"/>
      <c r="J70" s="582">
        <v>2009</v>
      </c>
      <c r="L70" s="623">
        <v>3689</v>
      </c>
      <c r="N70" s="638"/>
      <c r="O70" s="639"/>
      <c r="P70" s="638"/>
      <c r="Q70" s="158"/>
      <c r="R70" s="157"/>
      <c r="S70" s="158"/>
      <c r="Y70" s="7"/>
      <c r="Z70" s="7"/>
      <c r="AB70" s="7"/>
      <c r="AC70" s="6"/>
      <c r="AD70" s="7"/>
      <c r="AE70" s="6"/>
      <c r="AF70" s="7"/>
      <c r="AG70" s="6"/>
      <c r="AI70" s="6"/>
      <c r="AK70" s="6"/>
      <c r="AM70" s="6"/>
      <c r="AO70" s="6"/>
      <c r="AQ70" s="6"/>
    </row>
    <row r="71" spans="7:43" x14ac:dyDescent="0.2">
      <c r="G71" s="607"/>
      <c r="J71" s="582">
        <v>2010</v>
      </c>
      <c r="L71" s="619">
        <v>5640</v>
      </c>
      <c r="N71" s="590" t="s">
        <v>98</v>
      </c>
      <c r="O71" s="582" t="s">
        <v>96</v>
      </c>
      <c r="P71" s="582" t="s">
        <v>97</v>
      </c>
      <c r="Q71" s="6" t="s">
        <v>43</v>
      </c>
      <c r="R71" s="6" t="s">
        <v>99</v>
      </c>
      <c r="S71" s="6"/>
      <c r="Y71" s="7"/>
      <c r="Z71" s="7"/>
      <c r="AB71" s="7"/>
      <c r="AC71" s="6"/>
      <c r="AD71" s="7"/>
      <c r="AE71" s="6"/>
      <c r="AF71" s="7"/>
      <c r="AG71" s="6"/>
      <c r="AI71" s="6"/>
      <c r="AK71" s="6"/>
      <c r="AM71" s="6"/>
      <c r="AO71" s="6"/>
      <c r="AQ71" s="6"/>
    </row>
    <row r="72" spans="7:43" x14ac:dyDescent="0.2">
      <c r="G72" s="607"/>
      <c r="J72" s="640">
        <v>2011</v>
      </c>
      <c r="K72" s="640"/>
      <c r="L72" s="619">
        <v>4777</v>
      </c>
      <c r="M72" s="582">
        <v>1</v>
      </c>
      <c r="N72" s="582">
        <v>1983</v>
      </c>
      <c r="O72" s="598">
        <v>10.484</v>
      </c>
      <c r="P72" s="598">
        <v>4.7346896559693805</v>
      </c>
      <c r="Q72" s="160">
        <v>0.45161099351100537</v>
      </c>
      <c r="R72" s="160">
        <v>-0.79493410353303084</v>
      </c>
      <c r="S72" s="6"/>
      <c r="Y72" s="7"/>
      <c r="Z72" s="7"/>
      <c r="AB72" s="7"/>
      <c r="AC72" s="6"/>
      <c r="AD72" s="7"/>
      <c r="AE72" s="6"/>
      <c r="AF72" s="7"/>
      <c r="AG72" s="6"/>
      <c r="AI72" s="6"/>
      <c r="AK72" s="6"/>
      <c r="AM72" s="6"/>
      <c r="AO72" s="6"/>
      <c r="AQ72" s="6"/>
    </row>
    <row r="73" spans="7:43" x14ac:dyDescent="0.2">
      <c r="G73" s="607"/>
      <c r="J73" s="582">
        <v>2012</v>
      </c>
      <c r="L73" s="619">
        <v>5681</v>
      </c>
      <c r="M73" s="582">
        <v>2</v>
      </c>
      <c r="N73" s="582">
        <v>1984</v>
      </c>
      <c r="O73" s="598">
        <v>10.432762681405464</v>
      </c>
      <c r="P73" s="598">
        <v>17.200159281273468</v>
      </c>
      <c r="Q73" s="160">
        <v>1.6486677408975936</v>
      </c>
      <c r="R73" s="160">
        <v>0.49996753200647481</v>
      </c>
      <c r="S73" s="6"/>
      <c r="Y73" s="7"/>
      <c r="Z73" s="7"/>
      <c r="AB73" s="7"/>
      <c r="AC73" s="6"/>
      <c r="AD73" s="7"/>
      <c r="AE73" s="6"/>
      <c r="AF73" s="7"/>
      <c r="AG73" s="6"/>
      <c r="AI73" s="6"/>
      <c r="AK73" s="6"/>
      <c r="AM73" s="6"/>
      <c r="AO73" s="6"/>
      <c r="AQ73" s="6"/>
    </row>
    <row r="74" spans="7:43" x14ac:dyDescent="0.2">
      <c r="G74" s="607"/>
      <c r="J74" s="582">
        <v>2013</v>
      </c>
      <c r="L74" s="619">
        <v>6426</v>
      </c>
      <c r="M74" s="582">
        <v>3</v>
      </c>
      <c r="N74" s="582">
        <v>1985</v>
      </c>
      <c r="O74" s="598">
        <v>8.3929966800404738</v>
      </c>
      <c r="P74" s="598">
        <v>18.608972291559947</v>
      </c>
      <c r="Q74" s="160">
        <v>2.217202389203162</v>
      </c>
      <c r="R74" s="160">
        <v>0.79624621613967839</v>
      </c>
      <c r="S74" s="6"/>
      <c r="Y74" s="7"/>
      <c r="Z74" s="7"/>
      <c r="AB74" s="7"/>
      <c r="AC74" s="6"/>
      <c r="AD74" s="7"/>
      <c r="AE74" s="6"/>
      <c r="AF74" s="7"/>
      <c r="AG74" s="6"/>
      <c r="AI74" s="6"/>
      <c r="AK74" s="6"/>
      <c r="AM74" s="6"/>
      <c r="AO74" s="6"/>
      <c r="AQ74" s="6"/>
    </row>
    <row r="75" spans="7:43" x14ac:dyDescent="0.2">
      <c r="G75" s="607"/>
      <c r="J75" s="632" t="s">
        <v>135</v>
      </c>
      <c r="K75" s="632"/>
      <c r="L75" s="619">
        <f>MAX(L46:L74)/MIN(L46:L74)</f>
        <v>40.596646783860308</v>
      </c>
      <c r="M75" s="582">
        <v>4</v>
      </c>
      <c r="N75" s="582">
        <v>1986</v>
      </c>
      <c r="O75" s="598">
        <v>6.9801109536234103</v>
      </c>
      <c r="P75" s="598">
        <v>12.153394438944732</v>
      </c>
      <c r="Q75" s="160">
        <v>1.7411463112396293</v>
      </c>
      <c r="R75" s="160">
        <v>0.55454369587627383</v>
      </c>
      <c r="S75" s="6"/>
      <c r="Y75" s="7"/>
      <c r="Z75" s="7"/>
      <c r="AB75" s="7"/>
      <c r="AC75" s="6"/>
      <c r="AD75" s="7"/>
      <c r="AE75" s="6"/>
      <c r="AF75" s="7"/>
      <c r="AG75" s="6"/>
      <c r="AI75" s="6"/>
      <c r="AK75" s="6"/>
      <c r="AM75" s="6"/>
      <c r="AO75" s="6"/>
      <c r="AQ75" s="6"/>
    </row>
    <row r="76" spans="7:43" x14ac:dyDescent="0.2">
      <c r="G76" s="607"/>
      <c r="J76" s="632" t="s">
        <v>136</v>
      </c>
      <c r="K76" s="632"/>
      <c r="L76" s="619">
        <f>PERCENTILE($L$46:$L$74,0.15)</f>
        <v>3784.2000000000003</v>
      </c>
      <c r="M76" s="582">
        <v>5</v>
      </c>
      <c r="N76" s="582">
        <v>1987</v>
      </c>
      <c r="O76" s="598">
        <v>11.159339942980553</v>
      </c>
      <c r="P76" s="598">
        <v>14.075113138311192</v>
      </c>
      <c r="Q76" s="160">
        <v>1.2612854532820927</v>
      </c>
      <c r="R76" s="160">
        <v>0.23213140192953705</v>
      </c>
      <c r="S76" s="6"/>
      <c r="Y76" s="7"/>
      <c r="Z76" s="7"/>
      <c r="AB76" s="7"/>
      <c r="AC76" s="6"/>
      <c r="AD76" s="7"/>
      <c r="AE76" s="6"/>
      <c r="AF76" s="7"/>
      <c r="AG76" s="6"/>
      <c r="AI76" s="6"/>
      <c r="AK76" s="6"/>
      <c r="AM76" s="6"/>
      <c r="AO76" s="6"/>
      <c r="AQ76" s="6"/>
    </row>
    <row r="77" spans="7:43" x14ac:dyDescent="0.2">
      <c r="G77" s="607"/>
      <c r="J77" s="632" t="s">
        <v>132</v>
      </c>
      <c r="K77" s="632"/>
      <c r="L77" s="619">
        <f>PERCENTILE($L$46:$L$74,0.2)</f>
        <v>4532.2000000000007</v>
      </c>
      <c r="M77" s="582">
        <v>6</v>
      </c>
      <c r="N77" s="582">
        <v>1989</v>
      </c>
      <c r="O77" s="598">
        <v>11.817916894939223</v>
      </c>
      <c r="P77" s="598">
        <v>15.236743753215752</v>
      </c>
      <c r="Q77" s="160">
        <v>1.2892918344806239</v>
      </c>
      <c r="R77" s="160">
        <v>0.25409310211794539</v>
      </c>
      <c r="S77" s="6"/>
      <c r="Y77" s="7"/>
      <c r="Z77" s="7"/>
      <c r="AB77" s="7"/>
      <c r="AC77" s="6"/>
      <c r="AD77" s="7"/>
      <c r="AE77" s="6"/>
      <c r="AF77" s="7"/>
      <c r="AG77" s="6"/>
      <c r="AI77" s="6"/>
      <c r="AK77" s="6"/>
      <c r="AM77" s="6"/>
      <c r="AO77" s="6"/>
      <c r="AQ77" s="6"/>
    </row>
    <row r="78" spans="7:43" x14ac:dyDescent="0.2">
      <c r="G78" s="607"/>
      <c r="J78" s="632" t="s">
        <v>133</v>
      </c>
      <c r="K78" s="632"/>
      <c r="L78" s="619">
        <f>PERCENTILE($L$46:$L$74,0.25)</f>
        <v>5071</v>
      </c>
      <c r="M78" s="582">
        <v>7</v>
      </c>
      <c r="N78" s="582">
        <v>1990</v>
      </c>
      <c r="O78" s="598">
        <v>20.002597400903039</v>
      </c>
      <c r="P78" s="598">
        <v>8.1538324883571924</v>
      </c>
      <c r="Q78" s="160">
        <v>0.40763868436351569</v>
      </c>
      <c r="R78" s="160">
        <v>-0.897374074473826</v>
      </c>
      <c r="S78" s="6"/>
      <c r="Y78" s="7"/>
      <c r="Z78" s="7"/>
      <c r="AB78" s="7"/>
      <c r="AC78" s="6"/>
      <c r="AD78" s="7"/>
      <c r="AE78" s="6"/>
      <c r="AF78" s="7"/>
      <c r="AG78" s="6"/>
      <c r="AI78" s="6"/>
      <c r="AK78" s="6"/>
      <c r="AM78" s="6"/>
      <c r="AO78" s="6"/>
      <c r="AQ78" s="6"/>
    </row>
    <row r="79" spans="7:43" x14ac:dyDescent="0.2">
      <c r="G79" s="607"/>
      <c r="M79" s="582">
        <v>8</v>
      </c>
      <c r="N79" s="582">
        <v>1992</v>
      </c>
      <c r="O79" s="598">
        <v>9.6957855621793083</v>
      </c>
      <c r="P79" s="598">
        <v>6.2918071041864101</v>
      </c>
      <c r="Q79" s="160">
        <v>0.64892184999728997</v>
      </c>
      <c r="R79" s="160">
        <v>-0.43244298555746813</v>
      </c>
      <c r="S79" s="6"/>
      <c r="Y79" s="7"/>
      <c r="Z79" s="7"/>
      <c r="AB79" s="7"/>
      <c r="AC79" s="6"/>
      <c r="AD79" s="7"/>
      <c r="AE79" s="6"/>
      <c r="AF79" s="7"/>
      <c r="AG79" s="6"/>
      <c r="AI79" s="6"/>
      <c r="AK79" s="6"/>
      <c r="AM79" s="6"/>
      <c r="AO79" s="6"/>
      <c r="AQ79" s="6"/>
    </row>
    <row r="80" spans="7:43" x14ac:dyDescent="0.2">
      <c r="G80" s="607"/>
      <c r="M80" s="582">
        <v>9</v>
      </c>
      <c r="N80" s="634">
        <v>1993</v>
      </c>
      <c r="O80" s="598">
        <v>22.92358362780357</v>
      </c>
      <c r="P80" s="598">
        <v>12.555020452576176</v>
      </c>
      <c r="Q80" s="160">
        <v>0.54769012805434292</v>
      </c>
      <c r="R80" s="160">
        <v>-0.60204561172163051</v>
      </c>
      <c r="S80" s="6"/>
      <c r="Y80" s="7"/>
      <c r="Z80" s="7"/>
      <c r="AB80" s="7"/>
      <c r="AC80" s="6"/>
      <c r="AD80" s="7"/>
      <c r="AE80" s="6"/>
      <c r="AF80" s="7"/>
      <c r="AG80" s="6"/>
      <c r="AI80" s="6"/>
      <c r="AK80" s="6"/>
      <c r="AM80" s="6"/>
      <c r="AO80" s="6"/>
      <c r="AQ80" s="6"/>
    </row>
    <row r="81" spans="7:43" x14ac:dyDescent="0.2">
      <c r="G81" s="607"/>
      <c r="M81" s="582">
        <v>10</v>
      </c>
      <c r="N81" s="634">
        <v>1994</v>
      </c>
      <c r="O81" s="598">
        <v>1.3451459809859465</v>
      </c>
      <c r="P81" s="598">
        <v>16.000562776259134</v>
      </c>
      <c r="Q81" s="160">
        <v>11.895038161234561</v>
      </c>
      <c r="R81" s="160">
        <v>2.4761213519241809</v>
      </c>
      <c r="S81" s="6"/>
      <c r="Y81" s="7"/>
      <c r="Z81" s="7"/>
      <c r="AB81" s="7"/>
      <c r="AC81" s="6"/>
      <c r="AD81" s="7"/>
      <c r="AE81" s="6"/>
      <c r="AF81" s="7"/>
      <c r="AG81" s="6"/>
      <c r="AI81" s="6"/>
      <c r="AK81" s="6"/>
      <c r="AM81" s="6"/>
      <c r="AO81" s="6"/>
      <c r="AQ81" s="6"/>
    </row>
    <row r="82" spans="7:43" x14ac:dyDescent="0.2">
      <c r="G82" s="607"/>
      <c r="M82" s="582">
        <v>11</v>
      </c>
      <c r="N82" s="582">
        <v>1995</v>
      </c>
      <c r="O82" s="598">
        <v>6.4978485446877059</v>
      </c>
      <c r="P82" s="598">
        <v>14.510256622406015</v>
      </c>
      <c r="Q82" s="160">
        <v>2.2330863088935531</v>
      </c>
      <c r="R82" s="160">
        <v>0.80338462365318886</v>
      </c>
      <c r="S82" s="6"/>
      <c r="Y82" s="7"/>
      <c r="Z82" s="7"/>
      <c r="AB82" s="7"/>
      <c r="AC82" s="6"/>
      <c r="AD82" s="7"/>
      <c r="AE82" s="6"/>
      <c r="AF82" s="7"/>
      <c r="AG82" s="6"/>
      <c r="AI82" s="6"/>
      <c r="AK82" s="6"/>
      <c r="AM82" s="6"/>
      <c r="AO82" s="6"/>
      <c r="AQ82" s="6"/>
    </row>
    <row r="83" spans="7:43" x14ac:dyDescent="0.2">
      <c r="G83" s="607"/>
      <c r="M83" s="582">
        <v>12</v>
      </c>
      <c r="N83" s="582">
        <v>1996</v>
      </c>
      <c r="O83" s="598">
        <v>9.9073624666802864</v>
      </c>
      <c r="P83" s="598">
        <v>19.339859243955789</v>
      </c>
      <c r="Q83" s="160">
        <v>1.9520694139331416</v>
      </c>
      <c r="R83" s="160">
        <v>0.66889004777521255</v>
      </c>
      <c r="S83" s="6"/>
      <c r="W83" s="155"/>
      <c r="X83" s="156"/>
      <c r="Y83" s="21"/>
      <c r="Z83" s="21"/>
      <c r="AA83" s="21"/>
      <c r="AB83" s="21"/>
    </row>
    <row r="84" spans="7:43" x14ac:dyDescent="0.2">
      <c r="G84" s="607"/>
      <c r="M84" s="582">
        <v>13</v>
      </c>
      <c r="N84" s="582">
        <v>1997</v>
      </c>
      <c r="O84" s="598">
        <v>5.747422990102053</v>
      </c>
      <c r="P84" s="598">
        <v>11.896034629787861</v>
      </c>
      <c r="Q84" s="160">
        <v>2.0698032231618697</v>
      </c>
      <c r="R84" s="160">
        <v>0.72745354148420927</v>
      </c>
      <c r="S84" s="156"/>
      <c r="W84" s="154"/>
      <c r="X84" s="156"/>
      <c r="Y84" s="21"/>
      <c r="Z84" s="21"/>
      <c r="AA84" s="21"/>
      <c r="AB84" s="21"/>
    </row>
    <row r="85" spans="7:43" x14ac:dyDescent="0.2">
      <c r="G85" s="607"/>
      <c r="M85" s="582">
        <v>14</v>
      </c>
      <c r="N85" s="582">
        <v>1998</v>
      </c>
      <c r="O85" s="598">
        <v>15.806348498038611</v>
      </c>
      <c r="P85" s="598">
        <v>24.059660015396339</v>
      </c>
      <c r="Q85" s="160">
        <v>1.5221516859749025</v>
      </c>
      <c r="R85" s="160">
        <v>0.42012491674351538</v>
      </c>
      <c r="S85" s="156"/>
      <c r="W85" s="154"/>
      <c r="X85" s="156"/>
      <c r="Y85" s="21"/>
      <c r="Z85" s="21"/>
      <c r="AA85" s="21"/>
      <c r="AB85" s="21"/>
    </row>
    <row r="86" spans="7:43" x14ac:dyDescent="0.2">
      <c r="G86" s="607"/>
      <c r="M86" s="582">
        <v>15</v>
      </c>
      <c r="N86" s="582">
        <v>1999</v>
      </c>
      <c r="O86" s="598">
        <v>12.018320824530942</v>
      </c>
      <c r="P86" s="598">
        <v>16.937468125373318</v>
      </c>
      <c r="Q86" s="160">
        <v>1.4093040427745749</v>
      </c>
      <c r="R86" s="160">
        <v>0.3430959958513719</v>
      </c>
      <c r="S86" s="156"/>
      <c r="W86" s="154"/>
      <c r="X86" s="156"/>
      <c r="Y86" s="21"/>
      <c r="Z86" s="21"/>
      <c r="AA86" s="21"/>
      <c r="AB86" s="21"/>
    </row>
    <row r="87" spans="7:43" x14ac:dyDescent="0.2">
      <c r="G87" s="607"/>
      <c r="M87" s="582">
        <v>16</v>
      </c>
      <c r="N87" s="582">
        <v>2000</v>
      </c>
      <c r="O87" s="598">
        <v>7.9020791045072354</v>
      </c>
      <c r="P87" s="598">
        <v>15.599108142454519</v>
      </c>
      <c r="Q87" s="160">
        <v>1.9740511245397436</v>
      </c>
      <c r="R87" s="160">
        <v>0.68008783963222141</v>
      </c>
      <c r="S87" s="156"/>
      <c r="W87" s="154"/>
      <c r="X87" s="156"/>
      <c r="Y87" s="21"/>
      <c r="Z87" s="21"/>
      <c r="AA87" s="21"/>
      <c r="AB87" s="21"/>
    </row>
    <row r="88" spans="7:43" x14ac:dyDescent="0.2">
      <c r="G88" s="607"/>
      <c r="M88" s="582">
        <v>17</v>
      </c>
      <c r="N88" s="582">
        <v>2001</v>
      </c>
      <c r="O88" s="598">
        <v>9.1705576103125939</v>
      </c>
      <c r="P88" s="598">
        <v>9.931576970969326</v>
      </c>
      <c r="Q88" s="160">
        <v>1.0829850695012202</v>
      </c>
      <c r="R88" s="160">
        <v>7.9721181683028566E-2</v>
      </c>
      <c r="S88" s="156"/>
      <c r="W88" s="154"/>
      <c r="X88" s="156"/>
      <c r="Y88" s="21"/>
      <c r="Z88" s="21"/>
      <c r="AA88" s="21"/>
      <c r="AB88" s="21"/>
    </row>
    <row r="89" spans="7:43" x14ac:dyDescent="0.2">
      <c r="G89" s="607"/>
      <c r="M89" s="582">
        <v>18</v>
      </c>
      <c r="N89" s="582">
        <v>2002</v>
      </c>
      <c r="O89" s="598">
        <v>5.0709999999999997</v>
      </c>
      <c r="P89" s="598">
        <v>10.068477941966847</v>
      </c>
      <c r="Q89" s="160">
        <v>1.9855014675541012</v>
      </c>
      <c r="R89" s="160">
        <v>0.685871510724681</v>
      </c>
      <c r="S89" s="156"/>
      <c r="W89" s="154"/>
      <c r="X89" s="21"/>
      <c r="Y89" s="21"/>
      <c r="Z89" s="21"/>
      <c r="AA89" s="21"/>
      <c r="AB89" s="21"/>
    </row>
    <row r="90" spans="7:43" x14ac:dyDescent="0.2">
      <c r="G90" s="607"/>
      <c r="M90" s="582">
        <v>19</v>
      </c>
      <c r="N90" s="582">
        <v>2003</v>
      </c>
      <c r="O90" s="598">
        <v>7.0140000000000002</v>
      </c>
      <c r="P90" s="598">
        <v>7.1678796766949313</v>
      </c>
      <c r="Q90" s="160">
        <v>1.0219389330902384</v>
      </c>
      <c r="R90" s="160">
        <v>2.1701737638381399E-2</v>
      </c>
      <c r="S90" s="21"/>
    </row>
    <row r="91" spans="7:43" x14ac:dyDescent="0.2">
      <c r="G91" s="607"/>
      <c r="M91" s="582">
        <v>20</v>
      </c>
      <c r="N91" s="582">
        <v>2004</v>
      </c>
      <c r="O91" s="598">
        <v>7.8129999999999997</v>
      </c>
      <c r="P91" s="598">
        <v>8.239446369242323</v>
      </c>
      <c r="Q91" s="160">
        <v>1.054581642037927</v>
      </c>
      <c r="R91" s="160">
        <v>5.3144140450797843E-2</v>
      </c>
      <c r="S91" s="6"/>
      <c r="X91" s="56"/>
    </row>
    <row r="92" spans="7:43" x14ac:dyDescent="0.2">
      <c r="G92" s="607"/>
      <c r="M92" s="582">
        <v>21</v>
      </c>
      <c r="N92" s="582">
        <v>2005</v>
      </c>
      <c r="O92" s="598">
        <v>7.5490000000000004</v>
      </c>
      <c r="P92" s="598">
        <v>12.943451541339453</v>
      </c>
      <c r="Q92" s="160">
        <v>1.7145915407788386</v>
      </c>
      <c r="R92" s="160">
        <v>0.53917488360917143</v>
      </c>
      <c r="S92" s="56"/>
      <c r="V92" s="56"/>
      <c r="X92" s="56"/>
    </row>
    <row r="93" spans="7:43" x14ac:dyDescent="0.2">
      <c r="G93" s="607"/>
      <c r="M93" s="582">
        <v>22</v>
      </c>
      <c r="N93" s="582">
        <v>2006</v>
      </c>
      <c r="O93" s="598">
        <v>4.165</v>
      </c>
      <c r="P93" s="598">
        <v>7.5610642263393624</v>
      </c>
      <c r="Q93" s="160">
        <v>1.8153815669482263</v>
      </c>
      <c r="R93" s="160">
        <v>0.59629567534518313</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57"/>
  <sheetViews>
    <sheetView zoomScale="75" zoomScaleNormal="75" workbookViewId="0">
      <pane xSplit="1" ySplit="7" topLeftCell="B38" activePane="bottomRight" state="frozen"/>
      <selection activeCell="M36" sqref="H5:M36"/>
      <selection pane="topRight" activeCell="M36" sqref="H5:M36"/>
      <selection pane="bottomLeft" activeCell="M36" sqref="H5:M36"/>
      <selection pane="bottomRight" activeCell="B54" sqref="B54"/>
    </sheetView>
  </sheetViews>
  <sheetFormatPr defaultColWidth="9.140625" defaultRowHeight="15" x14ac:dyDescent="0.25"/>
  <cols>
    <col min="1" max="1" width="9.140625" style="192"/>
    <col min="2" max="30" width="7.85546875" style="192" customWidth="1"/>
    <col min="31" max="16384" width="9.140625" style="192"/>
  </cols>
  <sheetData>
    <row r="1" spans="1:32" ht="18.75" x14ac:dyDescent="0.3">
      <c r="A1" s="195" t="s">
        <v>55</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row>
    <row r="2" spans="1:32" ht="18.75" x14ac:dyDescent="0.3">
      <c r="A2" s="204" t="s">
        <v>111</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row>
    <row r="3" spans="1:32" x14ac:dyDescent="0.25">
      <c r="A3" s="109"/>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row>
    <row r="4" spans="1:32" x14ac:dyDescent="0.25">
      <c r="A4" s="110" t="s">
        <v>56</v>
      </c>
      <c r="B4" s="78"/>
      <c r="C4" s="78"/>
      <c r="D4" s="78"/>
      <c r="E4" s="78"/>
      <c r="F4" s="78"/>
      <c r="G4" s="78"/>
      <c r="H4" s="78"/>
      <c r="I4" s="78"/>
      <c r="J4" s="78"/>
      <c r="K4" s="78"/>
      <c r="L4" s="78"/>
      <c r="M4" s="78"/>
      <c r="N4" s="78">
        <f>SUM(N29:N71)</f>
        <v>7668</v>
      </c>
      <c r="O4" s="78"/>
      <c r="P4" s="78"/>
      <c r="Q4" s="78"/>
      <c r="R4" s="78"/>
      <c r="S4" s="78"/>
      <c r="T4" s="78"/>
      <c r="U4" s="78"/>
      <c r="W4" s="78"/>
      <c r="X4" s="78"/>
      <c r="Y4" s="78"/>
      <c r="Z4" s="78"/>
      <c r="AA4" s="78"/>
      <c r="AB4" s="78"/>
      <c r="AC4" s="78"/>
    </row>
    <row r="5" spans="1:32" x14ac:dyDescent="0.25">
      <c r="A5" s="80" t="s">
        <v>15</v>
      </c>
      <c r="B5" s="108">
        <v>40866</v>
      </c>
      <c r="C5" s="108">
        <v>40794</v>
      </c>
      <c r="D5" s="108">
        <v>40784</v>
      </c>
      <c r="E5" s="108">
        <v>40784</v>
      </c>
      <c r="F5" s="108">
        <v>40782</v>
      </c>
      <c r="G5" s="108">
        <v>40786</v>
      </c>
      <c r="H5" s="108">
        <v>40791</v>
      </c>
      <c r="I5" s="108">
        <v>40784</v>
      </c>
      <c r="J5" s="108">
        <v>40784</v>
      </c>
      <c r="K5" s="108">
        <v>40781</v>
      </c>
      <c r="L5" s="112" t="s">
        <v>57</v>
      </c>
      <c r="M5" s="112" t="s">
        <v>57</v>
      </c>
      <c r="N5" s="108">
        <v>40798</v>
      </c>
      <c r="O5" s="108">
        <v>40787</v>
      </c>
      <c r="P5" s="108">
        <v>40787</v>
      </c>
      <c r="Q5" s="108">
        <v>40782</v>
      </c>
      <c r="R5" s="108">
        <v>40785</v>
      </c>
      <c r="S5" s="108">
        <v>40786</v>
      </c>
      <c r="T5" s="108">
        <v>40787</v>
      </c>
      <c r="U5" s="108">
        <v>40806</v>
      </c>
      <c r="V5" s="108">
        <v>40804</v>
      </c>
      <c r="W5" s="108">
        <v>40805</v>
      </c>
      <c r="X5" s="108">
        <v>40806</v>
      </c>
      <c r="Y5" s="108">
        <v>40802</v>
      </c>
      <c r="Z5" s="108">
        <v>40807</v>
      </c>
      <c r="AA5" s="108">
        <v>40806</v>
      </c>
      <c r="AB5" s="108">
        <v>40806</v>
      </c>
      <c r="AC5" s="108">
        <v>40805</v>
      </c>
      <c r="AD5" s="108">
        <v>40806</v>
      </c>
      <c r="AE5" s="193">
        <v>40806</v>
      </c>
      <c r="AF5" s="193">
        <v>40817</v>
      </c>
    </row>
    <row r="6" spans="1:32" x14ac:dyDescent="0.25">
      <c r="A6" s="80" t="s">
        <v>9</v>
      </c>
      <c r="B6" s="78">
        <f t="shared" ref="B6:AC6" si="0">SUM(B8:B81)</f>
        <v>10484</v>
      </c>
      <c r="C6" s="78">
        <f t="shared" si="0"/>
        <v>9764</v>
      </c>
      <c r="D6" s="78">
        <f>SUM(D8:D81)</f>
        <v>7073</v>
      </c>
      <c r="E6" s="78">
        <f t="shared" si="0"/>
        <v>5857</v>
      </c>
      <c r="F6" s="78">
        <f t="shared" si="0"/>
        <v>9353</v>
      </c>
      <c r="G6" s="78">
        <f t="shared" si="0"/>
        <v>969</v>
      </c>
      <c r="H6" s="78">
        <f t="shared" si="0"/>
        <v>12854</v>
      </c>
      <c r="I6" s="78">
        <f t="shared" si="0"/>
        <v>18095</v>
      </c>
      <c r="J6" s="78">
        <f t="shared" si="0"/>
        <v>299</v>
      </c>
      <c r="K6" s="78">
        <f t="shared" si="0"/>
        <v>9439</v>
      </c>
      <c r="L6" s="78"/>
      <c r="M6" s="78"/>
      <c r="N6" s="297">
        <f t="shared" si="0"/>
        <v>8201</v>
      </c>
      <c r="O6" s="78">
        <f t="shared" si="0"/>
        <v>10442</v>
      </c>
      <c r="P6" s="78">
        <f t="shared" si="0"/>
        <v>4999</v>
      </c>
      <c r="Q6" s="78">
        <f t="shared" si="0"/>
        <v>13358</v>
      </c>
      <c r="R6" s="78">
        <f t="shared" si="0"/>
        <v>10277</v>
      </c>
      <c r="S6" s="78">
        <f t="shared" si="0"/>
        <v>6763</v>
      </c>
      <c r="T6" s="78">
        <f>SUM(T8:T81)</f>
        <v>8060</v>
      </c>
      <c r="U6" s="78">
        <f t="shared" si="0"/>
        <v>5071</v>
      </c>
      <c r="V6" s="78">
        <f t="shared" si="0"/>
        <v>7014</v>
      </c>
      <c r="W6" s="78">
        <f t="shared" si="0"/>
        <v>7813</v>
      </c>
      <c r="X6" s="78">
        <f t="shared" si="0"/>
        <v>7549</v>
      </c>
      <c r="Y6" s="78">
        <f t="shared" si="0"/>
        <v>4165</v>
      </c>
      <c r="Z6" s="78">
        <f t="shared" si="0"/>
        <v>3099</v>
      </c>
      <c r="AA6" s="78">
        <f t="shared" si="0"/>
        <v>1763</v>
      </c>
      <c r="AB6" s="78">
        <f t="shared" si="0"/>
        <v>3689</v>
      </c>
      <c r="AC6" s="78">
        <f t="shared" si="0"/>
        <v>5640</v>
      </c>
      <c r="AD6" s="78">
        <f>SUM(AD8:AD81)</f>
        <v>4777</v>
      </c>
      <c r="AE6" s="78">
        <f>SUM(AE8:AE81)</f>
        <v>5681</v>
      </c>
      <c r="AF6" s="78">
        <f>SUM(AF8:AF81)</f>
        <v>6426</v>
      </c>
    </row>
    <row r="7" spans="1:32" x14ac:dyDescent="0.25">
      <c r="A7" s="80" t="s">
        <v>58</v>
      </c>
      <c r="B7" s="79">
        <v>1983</v>
      </c>
      <c r="C7" s="79">
        <v>1984</v>
      </c>
      <c r="D7" s="79">
        <v>1985</v>
      </c>
      <c r="E7" s="79">
        <v>1986</v>
      </c>
      <c r="F7" s="79">
        <v>1987</v>
      </c>
      <c r="G7" s="79">
        <v>1988</v>
      </c>
      <c r="H7" s="79">
        <v>1989</v>
      </c>
      <c r="I7" s="79">
        <v>1990</v>
      </c>
      <c r="J7" s="79">
        <v>1991</v>
      </c>
      <c r="K7" s="79">
        <v>1992</v>
      </c>
      <c r="L7" s="113">
        <v>1993</v>
      </c>
      <c r="M7" s="113">
        <v>1994</v>
      </c>
      <c r="N7" s="79">
        <v>1995</v>
      </c>
      <c r="O7" s="79">
        <v>1996</v>
      </c>
      <c r="P7" s="79">
        <v>1997</v>
      </c>
      <c r="Q7" s="79">
        <v>1998</v>
      </c>
      <c r="R7" s="79">
        <v>1999</v>
      </c>
      <c r="S7" s="79">
        <v>2000</v>
      </c>
      <c r="T7" s="79">
        <v>2001</v>
      </c>
      <c r="U7" s="79">
        <v>2002</v>
      </c>
      <c r="V7" s="79">
        <v>2003</v>
      </c>
      <c r="W7" s="79">
        <v>2004</v>
      </c>
      <c r="X7" s="79">
        <v>2005</v>
      </c>
      <c r="Y7" s="79">
        <v>2006</v>
      </c>
      <c r="Z7" s="79">
        <v>2007</v>
      </c>
      <c r="AA7" s="79">
        <v>2008</v>
      </c>
      <c r="AB7" s="79">
        <v>2009</v>
      </c>
      <c r="AC7" s="79">
        <v>2010</v>
      </c>
      <c r="AD7" s="79">
        <v>2011</v>
      </c>
      <c r="AE7" s="79">
        <v>2012</v>
      </c>
      <c r="AF7" s="79">
        <v>2013</v>
      </c>
    </row>
    <row r="8" spans="1:32" x14ac:dyDescent="0.25">
      <c r="A8" s="81" t="s">
        <v>59</v>
      </c>
      <c r="B8" s="82">
        <v>17</v>
      </c>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row>
    <row r="9" spans="1:32" x14ac:dyDescent="0.25">
      <c r="A9" s="81">
        <v>40736</v>
      </c>
      <c r="B9" s="82">
        <v>0</v>
      </c>
      <c r="C9" s="78"/>
      <c r="D9" s="78"/>
      <c r="E9" s="78"/>
      <c r="F9" s="78"/>
      <c r="G9" s="78"/>
      <c r="H9" s="83">
        <v>0</v>
      </c>
      <c r="I9" s="78"/>
      <c r="J9" s="84">
        <v>0</v>
      </c>
      <c r="K9" s="78"/>
      <c r="L9" s="78"/>
      <c r="M9" s="78"/>
      <c r="N9" s="78"/>
      <c r="O9" s="78"/>
      <c r="P9" s="78"/>
      <c r="Q9" s="78"/>
      <c r="R9" s="78"/>
      <c r="S9" s="78"/>
      <c r="T9" s="78"/>
      <c r="U9" s="78"/>
      <c r="V9" s="78"/>
      <c r="W9" s="78"/>
      <c r="X9" s="78"/>
      <c r="Y9" s="78"/>
      <c r="Z9" s="78"/>
      <c r="AA9" s="78"/>
      <c r="AB9" s="78"/>
      <c r="AC9" s="78"/>
      <c r="AD9" s="78"/>
      <c r="AE9" s="192">
        <v>0</v>
      </c>
      <c r="AF9" s="192">
        <v>0</v>
      </c>
    </row>
    <row r="10" spans="1:32" x14ac:dyDescent="0.25">
      <c r="A10" s="81">
        <v>40737</v>
      </c>
      <c r="B10" s="82">
        <v>2</v>
      </c>
      <c r="C10" s="78"/>
      <c r="D10" s="78"/>
      <c r="E10" s="78"/>
      <c r="F10" s="78"/>
      <c r="G10" s="78"/>
      <c r="H10" s="83">
        <v>0</v>
      </c>
      <c r="I10" s="85">
        <v>0</v>
      </c>
      <c r="J10" s="84">
        <v>0</v>
      </c>
      <c r="K10" s="78"/>
      <c r="L10" s="78"/>
      <c r="M10" s="78"/>
      <c r="N10" s="78"/>
      <c r="O10" s="78"/>
      <c r="P10" s="78"/>
      <c r="Q10" s="78"/>
      <c r="R10" s="78"/>
      <c r="S10" s="78"/>
      <c r="T10" s="78"/>
      <c r="U10" s="78"/>
      <c r="V10" s="78"/>
      <c r="W10" s="78"/>
      <c r="X10" s="78"/>
      <c r="Y10" s="78"/>
      <c r="Z10" s="78"/>
      <c r="AA10" s="78"/>
      <c r="AB10" s="78"/>
      <c r="AC10" s="78"/>
      <c r="AD10" s="78"/>
      <c r="AE10" s="192">
        <v>0</v>
      </c>
      <c r="AF10" s="192">
        <v>0</v>
      </c>
    </row>
    <row r="11" spans="1:32" x14ac:dyDescent="0.25">
      <c r="A11" s="81">
        <v>40738</v>
      </c>
      <c r="B11" s="82">
        <v>1</v>
      </c>
      <c r="C11" s="78"/>
      <c r="D11" s="78"/>
      <c r="E11" s="78"/>
      <c r="F11" s="78"/>
      <c r="G11" s="78"/>
      <c r="H11" s="83">
        <v>0</v>
      </c>
      <c r="I11" s="85">
        <v>0</v>
      </c>
      <c r="J11" s="84">
        <v>0</v>
      </c>
      <c r="K11" s="78"/>
      <c r="L11" s="78"/>
      <c r="M11" s="78"/>
      <c r="N11" s="78"/>
      <c r="O11" s="78"/>
      <c r="P11" s="78"/>
      <c r="Q11" s="78"/>
      <c r="R11" s="78"/>
      <c r="S11" s="86">
        <v>0</v>
      </c>
      <c r="T11" s="78"/>
      <c r="U11" s="78"/>
      <c r="V11" s="87">
        <v>0</v>
      </c>
      <c r="W11" s="78"/>
      <c r="X11" s="88">
        <v>0</v>
      </c>
      <c r="Y11" s="78"/>
      <c r="Z11" s="89">
        <v>0</v>
      </c>
      <c r="AA11" s="78"/>
      <c r="AB11" s="78"/>
      <c r="AC11" s="78"/>
      <c r="AD11" s="78">
        <v>0</v>
      </c>
      <c r="AE11" s="192">
        <v>0</v>
      </c>
      <c r="AF11" s="192">
        <v>0</v>
      </c>
    </row>
    <row r="12" spans="1:32" x14ac:dyDescent="0.25">
      <c r="A12" s="81">
        <v>40739</v>
      </c>
      <c r="B12" s="82">
        <v>4</v>
      </c>
      <c r="C12" s="78">
        <v>0</v>
      </c>
      <c r="D12" s="90">
        <v>0</v>
      </c>
      <c r="E12" s="78"/>
      <c r="F12" s="91">
        <v>0</v>
      </c>
      <c r="G12" s="92">
        <v>0</v>
      </c>
      <c r="H12" s="83">
        <v>0</v>
      </c>
      <c r="I12" s="85">
        <v>3</v>
      </c>
      <c r="J12" s="84">
        <v>1</v>
      </c>
      <c r="K12" s="93">
        <v>0</v>
      </c>
      <c r="L12" s="93"/>
      <c r="M12" s="93"/>
      <c r="N12" s="78"/>
      <c r="O12" s="94">
        <v>15</v>
      </c>
      <c r="P12" s="78"/>
      <c r="Q12" s="78"/>
      <c r="R12" s="78"/>
      <c r="S12" s="86"/>
      <c r="T12" s="78"/>
      <c r="U12" s="78"/>
      <c r="V12" s="87">
        <v>0</v>
      </c>
      <c r="W12" s="78"/>
      <c r="X12" s="88">
        <v>0</v>
      </c>
      <c r="Y12" s="78"/>
      <c r="Z12" s="89">
        <v>0</v>
      </c>
      <c r="AA12" s="95">
        <v>0</v>
      </c>
      <c r="AB12" s="78"/>
      <c r="AC12" s="96">
        <v>0</v>
      </c>
      <c r="AD12" s="96">
        <v>0</v>
      </c>
      <c r="AE12" s="192">
        <v>0</v>
      </c>
      <c r="AF12" s="192">
        <v>0</v>
      </c>
    </row>
    <row r="13" spans="1:32" x14ac:dyDescent="0.25">
      <c r="A13" s="81">
        <v>40740</v>
      </c>
      <c r="B13" s="82">
        <v>3</v>
      </c>
      <c r="C13" s="78">
        <v>0</v>
      </c>
      <c r="D13" s="90">
        <v>0</v>
      </c>
      <c r="E13" s="97">
        <v>0</v>
      </c>
      <c r="F13" s="91">
        <v>0</v>
      </c>
      <c r="G13" s="92">
        <v>0</v>
      </c>
      <c r="H13" s="83">
        <v>0</v>
      </c>
      <c r="I13" s="85">
        <v>10</v>
      </c>
      <c r="J13" s="84">
        <v>7</v>
      </c>
      <c r="K13" s="93">
        <v>2</v>
      </c>
      <c r="L13" s="93"/>
      <c r="M13" s="93"/>
      <c r="N13" s="78"/>
      <c r="O13" s="94">
        <v>0</v>
      </c>
      <c r="P13" s="78"/>
      <c r="Q13" s="78"/>
      <c r="R13" s="78"/>
      <c r="S13" s="86"/>
      <c r="T13" s="78"/>
      <c r="U13" s="78">
        <v>0</v>
      </c>
      <c r="V13" s="87">
        <v>0</v>
      </c>
      <c r="W13" s="78"/>
      <c r="X13" s="88">
        <v>0</v>
      </c>
      <c r="Y13" s="78"/>
      <c r="Z13" s="89">
        <v>0</v>
      </c>
      <c r="AA13" s="95">
        <v>0</v>
      </c>
      <c r="AB13" s="78"/>
      <c r="AC13" s="96">
        <v>0</v>
      </c>
      <c r="AD13" s="96">
        <v>0</v>
      </c>
      <c r="AE13" s="192">
        <v>0</v>
      </c>
      <c r="AF13" s="192">
        <v>9</v>
      </c>
    </row>
    <row r="14" spans="1:32" x14ac:dyDescent="0.25">
      <c r="A14" s="81">
        <v>40741</v>
      </c>
      <c r="B14" s="82">
        <v>12</v>
      </c>
      <c r="C14" s="78">
        <v>0</v>
      </c>
      <c r="D14" s="90">
        <v>3</v>
      </c>
      <c r="E14" s="97">
        <v>0</v>
      </c>
      <c r="F14" s="91">
        <v>0</v>
      </c>
      <c r="G14" s="92">
        <v>0</v>
      </c>
      <c r="H14" s="83">
        <v>0</v>
      </c>
      <c r="I14" s="85">
        <v>9</v>
      </c>
      <c r="J14" s="84">
        <v>1</v>
      </c>
      <c r="K14" s="93">
        <v>5</v>
      </c>
      <c r="L14" s="93"/>
      <c r="M14" s="93"/>
      <c r="N14" s="78"/>
      <c r="O14" s="94">
        <v>0</v>
      </c>
      <c r="P14" s="78"/>
      <c r="Q14" s="78"/>
      <c r="R14" s="78"/>
      <c r="S14" s="86">
        <v>0</v>
      </c>
      <c r="T14" s="78"/>
      <c r="U14" s="98">
        <v>0</v>
      </c>
      <c r="V14" s="87">
        <v>0</v>
      </c>
      <c r="W14" s="99">
        <v>2</v>
      </c>
      <c r="X14" s="88">
        <v>13</v>
      </c>
      <c r="Y14" s="100">
        <v>14</v>
      </c>
      <c r="Z14" s="89">
        <v>0</v>
      </c>
      <c r="AA14" s="95">
        <v>0</v>
      </c>
      <c r="AB14" s="78"/>
      <c r="AC14" s="96">
        <v>0</v>
      </c>
      <c r="AD14" s="96">
        <v>0</v>
      </c>
      <c r="AE14" s="192">
        <v>0</v>
      </c>
      <c r="AF14" s="192">
        <v>3</v>
      </c>
    </row>
    <row r="15" spans="1:32" x14ac:dyDescent="0.25">
      <c r="A15" s="81">
        <v>40742</v>
      </c>
      <c r="B15" s="82">
        <v>2</v>
      </c>
      <c r="C15" s="78">
        <v>0</v>
      </c>
      <c r="D15" s="90">
        <v>5</v>
      </c>
      <c r="E15" s="97">
        <v>0</v>
      </c>
      <c r="F15" s="91">
        <v>0</v>
      </c>
      <c r="G15" s="92">
        <v>0</v>
      </c>
      <c r="H15" s="83">
        <v>0</v>
      </c>
      <c r="I15" s="85">
        <v>24</v>
      </c>
      <c r="J15" s="84">
        <v>0</v>
      </c>
      <c r="K15" s="93">
        <v>1</v>
      </c>
      <c r="L15" s="93"/>
      <c r="M15" s="93"/>
      <c r="N15" s="78"/>
      <c r="O15" s="94">
        <v>0</v>
      </c>
      <c r="P15" s="101">
        <v>10</v>
      </c>
      <c r="Q15" s="78"/>
      <c r="R15" s="78"/>
      <c r="S15" s="86"/>
      <c r="T15" s="78"/>
      <c r="U15" s="98">
        <v>0</v>
      </c>
      <c r="V15" s="87">
        <v>0</v>
      </c>
      <c r="W15" s="99">
        <v>0</v>
      </c>
      <c r="X15" s="88">
        <v>11</v>
      </c>
      <c r="Y15" s="100">
        <v>0</v>
      </c>
      <c r="Z15" s="89">
        <v>0</v>
      </c>
      <c r="AA15" s="95">
        <v>0</v>
      </c>
      <c r="AB15" s="78"/>
      <c r="AC15" s="96">
        <v>0</v>
      </c>
      <c r="AD15" s="96">
        <v>0</v>
      </c>
      <c r="AE15" s="192">
        <v>0</v>
      </c>
      <c r="AF15" s="192">
        <v>7</v>
      </c>
    </row>
    <row r="16" spans="1:32" x14ac:dyDescent="0.25">
      <c r="A16" s="81">
        <v>40743</v>
      </c>
      <c r="B16" s="82">
        <v>4</v>
      </c>
      <c r="C16" s="78">
        <v>0</v>
      </c>
      <c r="D16" s="90">
        <v>2</v>
      </c>
      <c r="E16" s="97">
        <v>0</v>
      </c>
      <c r="F16" s="91">
        <v>0</v>
      </c>
      <c r="G16" s="92">
        <v>0</v>
      </c>
      <c r="H16" s="83">
        <v>1</v>
      </c>
      <c r="I16" s="85">
        <v>40</v>
      </c>
      <c r="J16" s="84">
        <v>6</v>
      </c>
      <c r="K16" s="93">
        <v>11</v>
      </c>
      <c r="L16" s="93"/>
      <c r="M16" s="93"/>
      <c r="N16" s="78"/>
      <c r="O16" s="94">
        <v>0</v>
      </c>
      <c r="P16" s="101">
        <v>30</v>
      </c>
      <c r="Q16" s="78"/>
      <c r="R16" s="78"/>
      <c r="S16" s="86">
        <v>0</v>
      </c>
      <c r="T16" s="78"/>
      <c r="U16" s="98">
        <v>0</v>
      </c>
      <c r="V16" s="87">
        <v>8</v>
      </c>
      <c r="W16" s="99">
        <v>25</v>
      </c>
      <c r="X16" s="88">
        <v>9</v>
      </c>
      <c r="Y16" s="100">
        <v>0</v>
      </c>
      <c r="Z16" s="89">
        <v>0</v>
      </c>
      <c r="AA16" s="95">
        <v>8</v>
      </c>
      <c r="AB16" s="102">
        <v>1</v>
      </c>
      <c r="AC16" s="96">
        <v>57</v>
      </c>
      <c r="AD16" s="96">
        <v>0</v>
      </c>
      <c r="AE16" s="192">
        <v>0</v>
      </c>
      <c r="AF16" s="192">
        <v>10</v>
      </c>
    </row>
    <row r="17" spans="1:32" x14ac:dyDescent="0.25">
      <c r="A17" s="81">
        <v>40744</v>
      </c>
      <c r="B17" s="82">
        <v>11</v>
      </c>
      <c r="C17" s="78">
        <v>0</v>
      </c>
      <c r="D17" s="90">
        <v>2</v>
      </c>
      <c r="E17" s="97">
        <v>0</v>
      </c>
      <c r="F17" s="91">
        <v>6</v>
      </c>
      <c r="G17" s="92">
        <v>0</v>
      </c>
      <c r="H17" s="83">
        <v>0</v>
      </c>
      <c r="I17" s="85">
        <v>19</v>
      </c>
      <c r="J17" s="84">
        <v>4</v>
      </c>
      <c r="K17" s="93">
        <v>4</v>
      </c>
      <c r="L17" s="93"/>
      <c r="M17" s="93"/>
      <c r="N17" s="78"/>
      <c r="O17" s="94">
        <v>0</v>
      </c>
      <c r="P17" s="101">
        <v>36</v>
      </c>
      <c r="Q17" s="78"/>
      <c r="R17" s="78"/>
      <c r="S17" s="86"/>
      <c r="T17" s="78"/>
      <c r="U17" s="98">
        <v>3</v>
      </c>
      <c r="V17" s="87">
        <v>0</v>
      </c>
      <c r="W17" s="99">
        <v>23</v>
      </c>
      <c r="X17" s="88">
        <v>0</v>
      </c>
      <c r="Y17" s="100">
        <v>0</v>
      </c>
      <c r="Z17" s="89">
        <v>0</v>
      </c>
      <c r="AA17" s="95">
        <v>0</v>
      </c>
      <c r="AB17" s="102">
        <v>0</v>
      </c>
      <c r="AC17" s="96">
        <v>32</v>
      </c>
      <c r="AD17" s="96">
        <v>1</v>
      </c>
      <c r="AE17" s="192">
        <v>20</v>
      </c>
      <c r="AF17" s="192">
        <v>9</v>
      </c>
    </row>
    <row r="18" spans="1:32" x14ac:dyDescent="0.25">
      <c r="A18" s="81">
        <v>40745</v>
      </c>
      <c r="B18" s="82">
        <v>4</v>
      </c>
      <c r="C18" s="78">
        <v>0</v>
      </c>
      <c r="D18" s="90">
        <v>8</v>
      </c>
      <c r="E18" s="97">
        <v>0</v>
      </c>
      <c r="F18" s="91">
        <v>10</v>
      </c>
      <c r="G18" s="92">
        <v>0</v>
      </c>
      <c r="H18" s="83">
        <v>0</v>
      </c>
      <c r="I18" s="85">
        <v>15</v>
      </c>
      <c r="J18" s="84">
        <v>2</v>
      </c>
      <c r="K18" s="93">
        <v>2</v>
      </c>
      <c r="L18" s="93"/>
      <c r="M18" s="93"/>
      <c r="N18" s="78"/>
      <c r="O18" s="94">
        <v>0</v>
      </c>
      <c r="P18" s="101">
        <v>70</v>
      </c>
      <c r="Q18" s="78"/>
      <c r="R18" s="103">
        <v>35</v>
      </c>
      <c r="S18" s="86"/>
      <c r="T18" s="78"/>
      <c r="U18" s="98">
        <v>0</v>
      </c>
      <c r="V18" s="87">
        <v>5</v>
      </c>
      <c r="W18" s="99">
        <v>22</v>
      </c>
      <c r="X18" s="88">
        <v>9</v>
      </c>
      <c r="Y18" s="100">
        <v>4</v>
      </c>
      <c r="Z18" s="89">
        <v>0</v>
      </c>
      <c r="AA18" s="95">
        <v>6</v>
      </c>
      <c r="AB18" s="102">
        <v>0</v>
      </c>
      <c r="AC18" s="96">
        <v>44</v>
      </c>
      <c r="AD18" s="96">
        <v>32</v>
      </c>
      <c r="AE18" s="192">
        <v>20</v>
      </c>
      <c r="AF18" s="192">
        <v>48</v>
      </c>
    </row>
    <row r="19" spans="1:32" x14ac:dyDescent="0.25">
      <c r="A19" s="81">
        <v>40746</v>
      </c>
      <c r="B19" s="82">
        <v>7</v>
      </c>
      <c r="C19" s="78">
        <v>0</v>
      </c>
      <c r="D19" s="90">
        <v>1</v>
      </c>
      <c r="E19" s="97">
        <v>0</v>
      </c>
      <c r="F19" s="91">
        <v>12</v>
      </c>
      <c r="G19" s="92">
        <v>1</v>
      </c>
      <c r="H19" s="83">
        <v>3</v>
      </c>
      <c r="I19" s="85">
        <v>21</v>
      </c>
      <c r="J19" s="84">
        <v>1</v>
      </c>
      <c r="K19" s="93">
        <v>1</v>
      </c>
      <c r="L19" s="93"/>
      <c r="M19" s="93"/>
      <c r="N19" s="78"/>
      <c r="O19" s="94">
        <v>0</v>
      </c>
      <c r="P19" s="101">
        <v>46</v>
      </c>
      <c r="Q19" s="104">
        <v>7</v>
      </c>
      <c r="R19" s="103">
        <v>100</v>
      </c>
      <c r="S19" s="86">
        <v>0</v>
      </c>
      <c r="T19" s="78"/>
      <c r="U19" s="98">
        <v>19</v>
      </c>
      <c r="V19" s="87">
        <v>3</v>
      </c>
      <c r="W19" s="99">
        <v>35</v>
      </c>
      <c r="X19" s="88">
        <v>7</v>
      </c>
      <c r="Y19" s="100">
        <v>0</v>
      </c>
      <c r="Z19" s="89">
        <v>38</v>
      </c>
      <c r="AA19" s="95">
        <v>0</v>
      </c>
      <c r="AB19" s="102">
        <v>0</v>
      </c>
      <c r="AC19" s="96">
        <v>79</v>
      </c>
      <c r="AD19" s="96">
        <v>15</v>
      </c>
      <c r="AE19" s="192">
        <v>22</v>
      </c>
      <c r="AF19" s="192">
        <v>20</v>
      </c>
    </row>
    <row r="20" spans="1:32" x14ac:dyDescent="0.25">
      <c r="A20" s="81">
        <v>40747</v>
      </c>
      <c r="B20" s="82">
        <v>11</v>
      </c>
      <c r="C20" s="78">
        <v>0</v>
      </c>
      <c r="D20" s="90">
        <v>0</v>
      </c>
      <c r="E20" s="97">
        <v>0</v>
      </c>
      <c r="F20" s="91">
        <v>6</v>
      </c>
      <c r="G20" s="92">
        <v>0</v>
      </c>
      <c r="H20" s="83">
        <v>0</v>
      </c>
      <c r="I20" s="85">
        <v>36</v>
      </c>
      <c r="J20" s="84">
        <v>0</v>
      </c>
      <c r="K20" s="93">
        <v>39</v>
      </c>
      <c r="L20" s="93"/>
      <c r="M20" s="93"/>
      <c r="N20" s="78"/>
      <c r="O20" s="94">
        <v>28</v>
      </c>
      <c r="P20" s="101">
        <v>77</v>
      </c>
      <c r="Q20" s="104">
        <v>202</v>
      </c>
      <c r="R20" s="103">
        <v>0</v>
      </c>
      <c r="S20" s="86">
        <v>0</v>
      </c>
      <c r="T20" s="78"/>
      <c r="U20" s="98">
        <v>22</v>
      </c>
      <c r="V20" s="87">
        <v>9</v>
      </c>
      <c r="W20" s="99">
        <v>25</v>
      </c>
      <c r="X20" s="88">
        <v>15</v>
      </c>
      <c r="Y20" s="100">
        <v>19</v>
      </c>
      <c r="Z20" s="89">
        <v>0</v>
      </c>
      <c r="AA20" s="95">
        <v>16</v>
      </c>
      <c r="AB20" s="102">
        <v>7</v>
      </c>
      <c r="AC20" s="96">
        <v>66</v>
      </c>
      <c r="AD20" s="96">
        <v>3</v>
      </c>
      <c r="AE20" s="192">
        <v>20</v>
      </c>
      <c r="AF20" s="192">
        <v>11</v>
      </c>
    </row>
    <row r="21" spans="1:32" x14ac:dyDescent="0.25">
      <c r="A21" s="81">
        <v>40748</v>
      </c>
      <c r="B21" s="82">
        <v>4</v>
      </c>
      <c r="C21" s="78">
        <v>1</v>
      </c>
      <c r="D21" s="90">
        <v>1</v>
      </c>
      <c r="E21" s="97">
        <v>11</v>
      </c>
      <c r="F21" s="91">
        <v>36</v>
      </c>
      <c r="G21" s="92">
        <v>0</v>
      </c>
      <c r="H21" s="83">
        <v>5</v>
      </c>
      <c r="I21" s="85">
        <v>46</v>
      </c>
      <c r="J21" s="84">
        <v>0</v>
      </c>
      <c r="K21" s="93">
        <v>84</v>
      </c>
      <c r="L21" s="93"/>
      <c r="M21" s="93"/>
      <c r="N21" s="78"/>
      <c r="O21" s="94">
        <v>62</v>
      </c>
      <c r="P21" s="101">
        <v>119</v>
      </c>
      <c r="Q21" s="104">
        <v>87</v>
      </c>
      <c r="R21" s="103">
        <v>0</v>
      </c>
      <c r="S21" s="86">
        <v>0</v>
      </c>
      <c r="T21" s="78"/>
      <c r="U21" s="98">
        <v>17</v>
      </c>
      <c r="V21" s="87">
        <v>2</v>
      </c>
      <c r="W21" s="99">
        <v>23</v>
      </c>
      <c r="X21" s="88">
        <v>12</v>
      </c>
      <c r="Y21" s="100">
        <v>0</v>
      </c>
      <c r="Z21" s="89">
        <v>51</v>
      </c>
      <c r="AA21" s="95">
        <v>0</v>
      </c>
      <c r="AB21" s="102">
        <v>0</v>
      </c>
      <c r="AC21" s="96">
        <v>59</v>
      </c>
      <c r="AD21" s="96">
        <v>1</v>
      </c>
      <c r="AE21" s="192">
        <v>7</v>
      </c>
      <c r="AF21" s="192">
        <v>12</v>
      </c>
    </row>
    <row r="22" spans="1:32" x14ac:dyDescent="0.25">
      <c r="A22" s="81">
        <v>40749</v>
      </c>
      <c r="B22" s="82">
        <v>2</v>
      </c>
      <c r="C22" s="78">
        <v>0</v>
      </c>
      <c r="D22" s="90">
        <v>4</v>
      </c>
      <c r="E22" s="97">
        <v>0</v>
      </c>
      <c r="F22" s="91">
        <v>268</v>
      </c>
      <c r="G22" s="92">
        <v>0</v>
      </c>
      <c r="H22" s="83">
        <v>14</v>
      </c>
      <c r="I22" s="85">
        <v>55</v>
      </c>
      <c r="J22" s="84">
        <v>0</v>
      </c>
      <c r="K22" s="93">
        <v>132</v>
      </c>
      <c r="L22" s="93"/>
      <c r="M22" s="93"/>
      <c r="N22" s="78"/>
      <c r="O22" s="94">
        <v>179</v>
      </c>
      <c r="P22" s="101">
        <v>120</v>
      </c>
      <c r="Q22" s="104">
        <v>47</v>
      </c>
      <c r="R22" s="103">
        <v>0</v>
      </c>
      <c r="S22" s="86">
        <v>2</v>
      </c>
      <c r="T22" s="105">
        <v>22</v>
      </c>
      <c r="U22" s="98">
        <v>9</v>
      </c>
      <c r="V22" s="87">
        <v>42</v>
      </c>
      <c r="W22" s="99">
        <v>154</v>
      </c>
      <c r="X22" s="88">
        <v>18</v>
      </c>
      <c r="Y22" s="100">
        <v>0</v>
      </c>
      <c r="Z22" s="89">
        <v>0</v>
      </c>
      <c r="AA22" s="95">
        <v>2</v>
      </c>
      <c r="AB22" s="102">
        <v>29</v>
      </c>
      <c r="AC22" s="96">
        <v>28</v>
      </c>
      <c r="AD22" s="96">
        <v>53</v>
      </c>
      <c r="AE22" s="192">
        <v>11</v>
      </c>
      <c r="AF22" s="192">
        <v>9</v>
      </c>
    </row>
    <row r="23" spans="1:32" x14ac:dyDescent="0.25">
      <c r="A23" s="81">
        <v>40750</v>
      </c>
      <c r="B23" s="82">
        <v>0</v>
      </c>
      <c r="C23" s="78">
        <v>1</v>
      </c>
      <c r="D23" s="90">
        <v>0</v>
      </c>
      <c r="E23" s="97">
        <v>246</v>
      </c>
      <c r="F23" s="91">
        <v>26</v>
      </c>
      <c r="G23" s="92">
        <v>16</v>
      </c>
      <c r="H23" s="83">
        <v>21</v>
      </c>
      <c r="I23" s="85">
        <v>39</v>
      </c>
      <c r="J23" s="84">
        <v>2</v>
      </c>
      <c r="K23" s="93">
        <v>104</v>
      </c>
      <c r="L23" s="93"/>
      <c r="M23" s="93"/>
      <c r="N23" s="78"/>
      <c r="O23" s="94">
        <v>116</v>
      </c>
      <c r="P23" s="101">
        <v>90</v>
      </c>
      <c r="Q23" s="104">
        <v>33</v>
      </c>
      <c r="R23" s="103">
        <v>0</v>
      </c>
      <c r="S23" s="86">
        <v>6</v>
      </c>
      <c r="T23" s="105">
        <v>2</v>
      </c>
      <c r="U23" s="98">
        <v>10</v>
      </c>
      <c r="V23" s="87">
        <v>56</v>
      </c>
      <c r="W23" s="99">
        <v>96</v>
      </c>
      <c r="X23" s="88">
        <v>55</v>
      </c>
      <c r="Y23" s="100">
        <v>20</v>
      </c>
      <c r="Z23" s="89">
        <v>33</v>
      </c>
      <c r="AA23" s="95">
        <v>4</v>
      </c>
      <c r="AB23" s="102">
        <v>0</v>
      </c>
      <c r="AC23" s="96">
        <v>16</v>
      </c>
      <c r="AD23" s="96">
        <v>37</v>
      </c>
      <c r="AE23" s="192">
        <v>11</v>
      </c>
      <c r="AF23" s="192">
        <v>13</v>
      </c>
    </row>
    <row r="24" spans="1:32" x14ac:dyDescent="0.25">
      <c r="A24" s="81">
        <v>40751</v>
      </c>
      <c r="B24" s="82">
        <v>2</v>
      </c>
      <c r="C24" s="78">
        <v>0</v>
      </c>
      <c r="D24" s="90">
        <v>2</v>
      </c>
      <c r="E24" s="97">
        <v>176</v>
      </c>
      <c r="F24" s="91">
        <v>23</v>
      </c>
      <c r="G24" s="92">
        <v>16</v>
      </c>
      <c r="H24" s="83">
        <v>2</v>
      </c>
      <c r="I24" s="85">
        <v>580</v>
      </c>
      <c r="J24" s="84">
        <v>1</v>
      </c>
      <c r="K24" s="93">
        <v>91</v>
      </c>
      <c r="L24" s="93"/>
      <c r="M24" s="93"/>
      <c r="N24" s="78"/>
      <c r="O24" s="94">
        <v>86</v>
      </c>
      <c r="P24" s="101">
        <v>66</v>
      </c>
      <c r="Q24" s="104">
        <v>19</v>
      </c>
      <c r="R24" s="103">
        <v>0</v>
      </c>
      <c r="S24" s="86">
        <v>4</v>
      </c>
      <c r="T24" s="105">
        <v>1</v>
      </c>
      <c r="U24" s="98">
        <v>7</v>
      </c>
      <c r="V24" s="87">
        <v>286</v>
      </c>
      <c r="W24" s="99">
        <v>198</v>
      </c>
      <c r="X24" s="88">
        <v>28</v>
      </c>
      <c r="Y24" s="100">
        <v>1</v>
      </c>
      <c r="Z24" s="89">
        <v>41</v>
      </c>
      <c r="AA24" s="95">
        <v>4</v>
      </c>
      <c r="AB24" s="102">
        <v>6</v>
      </c>
      <c r="AC24" s="96">
        <v>27</v>
      </c>
      <c r="AD24" s="96">
        <v>5</v>
      </c>
      <c r="AE24" s="192">
        <v>22</v>
      </c>
      <c r="AF24" s="192">
        <v>63</v>
      </c>
    </row>
    <row r="25" spans="1:32" x14ac:dyDescent="0.25">
      <c r="A25" s="81">
        <v>40752</v>
      </c>
      <c r="B25" s="82">
        <v>0</v>
      </c>
      <c r="C25" s="78">
        <v>0</v>
      </c>
      <c r="D25" s="90">
        <v>9</v>
      </c>
      <c r="E25" s="97">
        <v>30</v>
      </c>
      <c r="F25" s="91">
        <v>613</v>
      </c>
      <c r="G25" s="92">
        <v>14</v>
      </c>
      <c r="H25" s="83">
        <v>101</v>
      </c>
      <c r="I25" s="85">
        <v>140</v>
      </c>
      <c r="J25" s="84">
        <v>0</v>
      </c>
      <c r="K25" s="93">
        <v>2367</v>
      </c>
      <c r="L25" s="93"/>
      <c r="M25" s="93"/>
      <c r="N25" s="78"/>
      <c r="O25" s="94">
        <v>66</v>
      </c>
      <c r="P25" s="101">
        <v>567</v>
      </c>
      <c r="Q25" s="104">
        <v>405</v>
      </c>
      <c r="R25" s="103">
        <v>108</v>
      </c>
      <c r="S25" s="86">
        <v>16</v>
      </c>
      <c r="T25" s="105">
        <v>2</v>
      </c>
      <c r="U25" s="98">
        <v>14</v>
      </c>
      <c r="V25" s="87">
        <v>624</v>
      </c>
      <c r="W25" s="99">
        <v>194</v>
      </c>
      <c r="X25" s="88">
        <v>35</v>
      </c>
      <c r="Y25" s="100">
        <v>5</v>
      </c>
      <c r="Z25" s="89">
        <v>38</v>
      </c>
      <c r="AA25" s="95">
        <v>7</v>
      </c>
      <c r="AB25" s="102">
        <v>38</v>
      </c>
      <c r="AC25" s="96">
        <v>82</v>
      </c>
      <c r="AD25" s="96">
        <v>23</v>
      </c>
      <c r="AE25" s="192">
        <v>36</v>
      </c>
      <c r="AF25" s="192">
        <v>54</v>
      </c>
    </row>
    <row r="26" spans="1:32" x14ac:dyDescent="0.25">
      <c r="A26" s="81">
        <v>40753</v>
      </c>
      <c r="B26" s="82">
        <v>0</v>
      </c>
      <c r="C26" s="78">
        <v>2</v>
      </c>
      <c r="D26" s="90">
        <v>26</v>
      </c>
      <c r="E26" s="97">
        <v>73</v>
      </c>
      <c r="F26" s="91">
        <v>228</v>
      </c>
      <c r="G26" s="92">
        <v>9</v>
      </c>
      <c r="H26" s="83">
        <v>424</v>
      </c>
      <c r="I26" s="85">
        <v>524</v>
      </c>
      <c r="J26" s="84">
        <v>5</v>
      </c>
      <c r="K26" s="93">
        <v>99</v>
      </c>
      <c r="L26" s="93"/>
      <c r="M26" s="93"/>
      <c r="N26" s="78"/>
      <c r="O26" s="94">
        <v>64</v>
      </c>
      <c r="P26" s="101">
        <v>130</v>
      </c>
      <c r="Q26" s="104">
        <v>284</v>
      </c>
      <c r="R26" s="103">
        <v>8</v>
      </c>
      <c r="S26" s="86">
        <v>48</v>
      </c>
      <c r="T26" s="105">
        <v>5</v>
      </c>
      <c r="U26" s="98">
        <v>0</v>
      </c>
      <c r="V26" s="87">
        <v>150</v>
      </c>
      <c r="W26" s="99">
        <v>110</v>
      </c>
      <c r="X26" s="88">
        <v>56</v>
      </c>
      <c r="Y26" s="100">
        <v>3</v>
      </c>
      <c r="Z26" s="89">
        <v>34</v>
      </c>
      <c r="AA26" s="95">
        <v>9</v>
      </c>
      <c r="AB26" s="102">
        <v>104</v>
      </c>
      <c r="AC26" s="96">
        <v>92</v>
      </c>
      <c r="AD26" s="96">
        <v>25</v>
      </c>
      <c r="AE26" s="192">
        <v>19</v>
      </c>
      <c r="AF26" s="192">
        <v>77</v>
      </c>
    </row>
    <row r="27" spans="1:32" x14ac:dyDescent="0.25">
      <c r="A27" s="81">
        <v>40754</v>
      </c>
      <c r="B27" s="82">
        <v>0</v>
      </c>
      <c r="C27" s="78">
        <v>19</v>
      </c>
      <c r="D27" s="90">
        <v>18</v>
      </c>
      <c r="E27" s="97">
        <v>10</v>
      </c>
      <c r="F27" s="91">
        <v>32</v>
      </c>
      <c r="G27" s="92">
        <v>17</v>
      </c>
      <c r="H27" s="83">
        <v>459</v>
      </c>
      <c r="I27" s="85">
        <v>3331</v>
      </c>
      <c r="J27" s="84">
        <v>3</v>
      </c>
      <c r="K27" s="93">
        <v>78</v>
      </c>
      <c r="L27" s="93"/>
      <c r="M27" s="93"/>
      <c r="N27" s="78"/>
      <c r="O27" s="94">
        <v>156</v>
      </c>
      <c r="P27" s="101">
        <v>76</v>
      </c>
      <c r="Q27" s="104">
        <v>127</v>
      </c>
      <c r="R27" s="103">
        <v>0</v>
      </c>
      <c r="S27" s="86">
        <v>40</v>
      </c>
      <c r="T27" s="105">
        <v>7</v>
      </c>
      <c r="U27" s="98">
        <v>0</v>
      </c>
      <c r="V27" s="87">
        <v>87</v>
      </c>
      <c r="W27" s="99">
        <v>31</v>
      </c>
      <c r="X27" s="88">
        <v>25</v>
      </c>
      <c r="Y27" s="100">
        <v>0</v>
      </c>
      <c r="Z27" s="89">
        <v>44</v>
      </c>
      <c r="AA27" s="95">
        <v>33</v>
      </c>
      <c r="AB27" s="102">
        <v>191</v>
      </c>
      <c r="AC27" s="96">
        <v>320</v>
      </c>
      <c r="AD27" s="96">
        <v>23</v>
      </c>
      <c r="AE27" s="192">
        <v>6</v>
      </c>
      <c r="AF27" s="192">
        <v>177</v>
      </c>
    </row>
    <row r="28" spans="1:32" x14ac:dyDescent="0.25">
      <c r="A28" s="81">
        <v>40755</v>
      </c>
      <c r="B28" s="82">
        <v>48</v>
      </c>
      <c r="C28" s="78">
        <v>0</v>
      </c>
      <c r="D28" s="90">
        <v>138</v>
      </c>
      <c r="E28" s="97">
        <v>110</v>
      </c>
      <c r="F28" s="91">
        <v>279</v>
      </c>
      <c r="G28" s="92">
        <v>3</v>
      </c>
      <c r="H28" s="83">
        <v>343</v>
      </c>
      <c r="I28" s="85">
        <v>94</v>
      </c>
      <c r="J28" s="84">
        <v>2</v>
      </c>
      <c r="K28" s="93">
        <v>364</v>
      </c>
      <c r="L28" s="93"/>
      <c r="M28" s="93"/>
      <c r="N28" s="297">
        <v>533</v>
      </c>
      <c r="O28" s="94">
        <v>111</v>
      </c>
      <c r="P28" s="101">
        <v>27</v>
      </c>
      <c r="Q28" s="104">
        <v>1151</v>
      </c>
      <c r="R28" s="103">
        <v>1</v>
      </c>
      <c r="S28" s="86">
        <v>89</v>
      </c>
      <c r="T28" s="105">
        <v>24</v>
      </c>
      <c r="U28" s="98">
        <v>7</v>
      </c>
      <c r="V28" s="87">
        <v>198</v>
      </c>
      <c r="W28" s="99">
        <v>25</v>
      </c>
      <c r="X28" s="88">
        <v>57</v>
      </c>
      <c r="Y28" s="100">
        <v>0</v>
      </c>
      <c r="Z28" s="89">
        <v>31</v>
      </c>
      <c r="AA28" s="95">
        <v>38</v>
      </c>
      <c r="AB28" s="102">
        <v>203</v>
      </c>
      <c r="AC28" s="96">
        <v>281</v>
      </c>
      <c r="AD28" s="96">
        <v>22</v>
      </c>
      <c r="AE28" s="192">
        <v>5</v>
      </c>
      <c r="AF28" s="192">
        <v>232</v>
      </c>
    </row>
    <row r="29" spans="1:32" x14ac:dyDescent="0.25">
      <c r="A29" s="81">
        <v>40756</v>
      </c>
      <c r="B29" s="82">
        <v>0</v>
      </c>
      <c r="C29" s="78">
        <v>0</v>
      </c>
      <c r="D29" s="90">
        <v>752</v>
      </c>
      <c r="E29" s="97">
        <v>123</v>
      </c>
      <c r="F29" s="91">
        <v>33</v>
      </c>
      <c r="G29" s="92">
        <v>0</v>
      </c>
      <c r="H29" s="83">
        <v>368</v>
      </c>
      <c r="I29" s="85">
        <v>93</v>
      </c>
      <c r="J29" s="84">
        <v>2</v>
      </c>
      <c r="K29" s="93">
        <v>707</v>
      </c>
      <c r="L29" s="93"/>
      <c r="M29" s="93"/>
      <c r="N29" s="106">
        <v>24</v>
      </c>
      <c r="O29" s="94">
        <v>97</v>
      </c>
      <c r="P29" s="101">
        <v>15</v>
      </c>
      <c r="Q29" s="104">
        <v>335</v>
      </c>
      <c r="R29" s="103">
        <v>30</v>
      </c>
      <c r="S29" s="86">
        <v>210</v>
      </c>
      <c r="T29" s="105">
        <v>188</v>
      </c>
      <c r="U29" s="98">
        <v>5</v>
      </c>
      <c r="V29" s="87">
        <v>325</v>
      </c>
      <c r="W29" s="99">
        <v>42</v>
      </c>
      <c r="X29" s="88">
        <v>46</v>
      </c>
      <c r="Y29" s="100">
        <v>2</v>
      </c>
      <c r="Z29" s="89">
        <v>98</v>
      </c>
      <c r="AA29" s="95">
        <v>40</v>
      </c>
      <c r="AB29" s="102">
        <v>176</v>
      </c>
      <c r="AC29" s="96">
        <v>69</v>
      </c>
      <c r="AD29" s="96">
        <v>44</v>
      </c>
      <c r="AE29" s="191">
        <v>38</v>
      </c>
      <c r="AF29" s="192">
        <v>211</v>
      </c>
    </row>
    <row r="30" spans="1:32" x14ac:dyDescent="0.25">
      <c r="A30" s="81">
        <v>40757</v>
      </c>
      <c r="B30" s="82">
        <v>4</v>
      </c>
      <c r="C30" s="78">
        <v>0</v>
      </c>
      <c r="D30" s="90">
        <v>203</v>
      </c>
      <c r="E30" s="97">
        <v>135</v>
      </c>
      <c r="F30" s="91">
        <v>148</v>
      </c>
      <c r="G30" s="92">
        <v>1</v>
      </c>
      <c r="H30" s="83">
        <v>331</v>
      </c>
      <c r="I30" s="85">
        <v>123</v>
      </c>
      <c r="J30" s="84">
        <v>2</v>
      </c>
      <c r="K30" s="93">
        <v>368</v>
      </c>
      <c r="L30" s="93"/>
      <c r="M30" s="93"/>
      <c r="N30" s="106">
        <v>26</v>
      </c>
      <c r="O30" s="94">
        <v>162</v>
      </c>
      <c r="P30" s="101">
        <v>29</v>
      </c>
      <c r="Q30" s="104">
        <v>643</v>
      </c>
      <c r="R30" s="103">
        <v>33</v>
      </c>
      <c r="S30" s="86">
        <v>188</v>
      </c>
      <c r="T30" s="105">
        <v>100</v>
      </c>
      <c r="U30" s="98">
        <v>110</v>
      </c>
      <c r="V30" s="87">
        <v>892</v>
      </c>
      <c r="W30" s="99">
        <v>344</v>
      </c>
      <c r="X30" s="88">
        <v>96</v>
      </c>
      <c r="Y30" s="100">
        <v>0</v>
      </c>
      <c r="Z30" s="89">
        <v>81</v>
      </c>
      <c r="AA30" s="95">
        <v>21</v>
      </c>
      <c r="AB30" s="102">
        <v>128</v>
      </c>
      <c r="AC30" s="96">
        <v>207</v>
      </c>
      <c r="AD30" s="96">
        <v>29</v>
      </c>
      <c r="AE30" s="192">
        <v>24</v>
      </c>
      <c r="AF30" s="192">
        <v>383</v>
      </c>
    </row>
    <row r="31" spans="1:32" x14ac:dyDescent="0.25">
      <c r="A31" s="81">
        <v>40758</v>
      </c>
      <c r="B31" s="82">
        <v>15</v>
      </c>
      <c r="C31" s="78">
        <v>0</v>
      </c>
      <c r="D31" s="90">
        <v>6</v>
      </c>
      <c r="E31" s="97">
        <v>25</v>
      </c>
      <c r="F31" s="91">
        <v>533</v>
      </c>
      <c r="G31" s="92">
        <v>45</v>
      </c>
      <c r="H31" s="83">
        <v>4253</v>
      </c>
      <c r="I31" s="85">
        <v>101</v>
      </c>
      <c r="J31" s="84">
        <v>12</v>
      </c>
      <c r="K31" s="93">
        <v>892</v>
      </c>
      <c r="L31" s="93"/>
      <c r="M31" s="93"/>
      <c r="N31" s="106">
        <v>66</v>
      </c>
      <c r="O31" s="94">
        <v>237</v>
      </c>
      <c r="P31" s="101">
        <v>7</v>
      </c>
      <c r="Q31" s="104">
        <v>45</v>
      </c>
      <c r="R31" s="103">
        <v>43</v>
      </c>
      <c r="S31" s="86">
        <v>168</v>
      </c>
      <c r="T31" s="105">
        <v>229</v>
      </c>
      <c r="U31" s="98">
        <v>239</v>
      </c>
      <c r="V31" s="87">
        <v>31</v>
      </c>
      <c r="W31" s="99">
        <v>157</v>
      </c>
      <c r="X31" s="88">
        <v>936</v>
      </c>
      <c r="Y31" s="100">
        <v>0</v>
      </c>
      <c r="Z31" s="89">
        <v>128</v>
      </c>
      <c r="AA31" s="95">
        <v>14</v>
      </c>
      <c r="AB31" s="102">
        <v>168</v>
      </c>
      <c r="AC31" s="96">
        <v>147</v>
      </c>
      <c r="AD31" s="96">
        <v>85</v>
      </c>
      <c r="AE31" s="192">
        <v>53</v>
      </c>
      <c r="AF31" s="192">
        <v>359</v>
      </c>
    </row>
    <row r="32" spans="1:32" x14ac:dyDescent="0.25">
      <c r="A32" s="81">
        <v>40759</v>
      </c>
      <c r="B32" s="82">
        <v>61</v>
      </c>
      <c r="C32" s="78">
        <v>0</v>
      </c>
      <c r="D32" s="90">
        <v>50</v>
      </c>
      <c r="E32" s="97">
        <v>175</v>
      </c>
      <c r="F32" s="91">
        <v>143</v>
      </c>
      <c r="G32" s="92">
        <v>12</v>
      </c>
      <c r="H32" s="83">
        <v>28</v>
      </c>
      <c r="I32" s="85">
        <v>2912</v>
      </c>
      <c r="J32" s="84">
        <v>3</v>
      </c>
      <c r="K32" s="93">
        <v>217</v>
      </c>
      <c r="L32" s="93"/>
      <c r="M32" s="93"/>
      <c r="N32" s="106">
        <v>31</v>
      </c>
      <c r="O32" s="94">
        <v>270</v>
      </c>
      <c r="P32" s="101">
        <v>22</v>
      </c>
      <c r="Q32" s="104">
        <v>36</v>
      </c>
      <c r="R32" s="103">
        <v>18</v>
      </c>
      <c r="S32" s="86">
        <v>412</v>
      </c>
      <c r="T32" s="105">
        <v>5</v>
      </c>
      <c r="U32" s="98">
        <v>190</v>
      </c>
      <c r="V32" s="87">
        <v>18</v>
      </c>
      <c r="W32" s="99">
        <v>548</v>
      </c>
      <c r="X32" s="88">
        <v>233</v>
      </c>
      <c r="Y32" s="100">
        <v>1</v>
      </c>
      <c r="Z32" s="89">
        <v>40</v>
      </c>
      <c r="AA32" s="95">
        <v>65</v>
      </c>
      <c r="AB32" s="102">
        <v>282</v>
      </c>
      <c r="AC32" s="96">
        <v>78</v>
      </c>
      <c r="AD32" s="96">
        <v>1773</v>
      </c>
      <c r="AE32" s="192">
        <v>109</v>
      </c>
      <c r="AF32" s="192">
        <v>383</v>
      </c>
    </row>
    <row r="33" spans="1:32" x14ac:dyDescent="0.25">
      <c r="A33" s="81">
        <v>40760</v>
      </c>
      <c r="B33" s="82">
        <v>60</v>
      </c>
      <c r="C33" s="78">
        <v>0</v>
      </c>
      <c r="D33" s="90">
        <v>201</v>
      </c>
      <c r="E33" s="97">
        <v>337</v>
      </c>
      <c r="F33" s="91">
        <v>117</v>
      </c>
      <c r="G33" s="92">
        <v>23</v>
      </c>
      <c r="H33" s="83">
        <v>169</v>
      </c>
      <c r="I33" s="85">
        <v>37</v>
      </c>
      <c r="J33" s="84">
        <v>0</v>
      </c>
      <c r="K33" s="93">
        <v>588</v>
      </c>
      <c r="L33" s="93"/>
      <c r="M33" s="93"/>
      <c r="N33" s="106">
        <v>1</v>
      </c>
      <c r="O33" s="94">
        <v>166</v>
      </c>
      <c r="P33" s="101">
        <v>14</v>
      </c>
      <c r="Q33" s="104">
        <v>86</v>
      </c>
      <c r="R33" s="103">
        <v>74</v>
      </c>
      <c r="S33" s="86">
        <v>412</v>
      </c>
      <c r="T33" s="105">
        <v>161</v>
      </c>
      <c r="U33" s="98">
        <v>228</v>
      </c>
      <c r="V33" s="87">
        <v>66</v>
      </c>
      <c r="W33" s="99">
        <v>238</v>
      </c>
      <c r="X33" s="88">
        <v>62</v>
      </c>
      <c r="Y33" s="100">
        <v>40</v>
      </c>
      <c r="Z33" s="89">
        <v>31</v>
      </c>
      <c r="AA33" s="95">
        <v>62</v>
      </c>
      <c r="AB33" s="102">
        <v>303</v>
      </c>
      <c r="AC33" s="96">
        <v>50</v>
      </c>
      <c r="AD33" s="96">
        <v>76</v>
      </c>
      <c r="AE33" s="192">
        <v>57</v>
      </c>
      <c r="AF33" s="192">
        <v>1578</v>
      </c>
    </row>
    <row r="34" spans="1:32" x14ac:dyDescent="0.25">
      <c r="A34" s="81">
        <v>40761</v>
      </c>
      <c r="B34" s="82">
        <v>151</v>
      </c>
      <c r="C34" s="78">
        <v>0</v>
      </c>
      <c r="D34" s="90">
        <v>376</v>
      </c>
      <c r="E34" s="97">
        <v>497</v>
      </c>
      <c r="F34" s="91">
        <v>49</v>
      </c>
      <c r="G34" s="92">
        <v>21</v>
      </c>
      <c r="H34" s="83">
        <v>5</v>
      </c>
      <c r="I34" s="85">
        <v>65</v>
      </c>
      <c r="J34" s="84">
        <v>0</v>
      </c>
      <c r="K34" s="93">
        <v>289</v>
      </c>
      <c r="L34" s="93"/>
      <c r="M34" s="93"/>
      <c r="N34" s="106">
        <v>43</v>
      </c>
      <c r="O34" s="94">
        <v>3802</v>
      </c>
      <c r="P34" s="101">
        <v>33</v>
      </c>
      <c r="Q34" s="104">
        <v>286</v>
      </c>
      <c r="R34" s="103">
        <v>104</v>
      </c>
      <c r="S34" s="86">
        <v>318</v>
      </c>
      <c r="T34" s="105">
        <v>821</v>
      </c>
      <c r="U34" s="98">
        <v>220</v>
      </c>
      <c r="V34" s="87">
        <v>209</v>
      </c>
      <c r="W34" s="99">
        <v>196</v>
      </c>
      <c r="X34" s="88">
        <v>21</v>
      </c>
      <c r="Y34" s="100">
        <v>100</v>
      </c>
      <c r="Z34" s="89">
        <v>14</v>
      </c>
      <c r="AA34" s="95">
        <v>49</v>
      </c>
      <c r="AB34" s="102">
        <v>151</v>
      </c>
      <c r="AC34" s="96">
        <v>74</v>
      </c>
      <c r="AD34" s="96">
        <v>34</v>
      </c>
      <c r="AE34" s="192">
        <v>27</v>
      </c>
      <c r="AF34" s="192">
        <v>371</v>
      </c>
    </row>
    <row r="35" spans="1:32" x14ac:dyDescent="0.25">
      <c r="A35" s="81">
        <v>40762</v>
      </c>
      <c r="B35" s="82">
        <v>2025</v>
      </c>
      <c r="C35" s="78">
        <v>0</v>
      </c>
      <c r="D35" s="90">
        <v>117</v>
      </c>
      <c r="E35" s="97">
        <v>230</v>
      </c>
      <c r="F35" s="91">
        <v>103</v>
      </c>
      <c r="G35" s="92">
        <v>33</v>
      </c>
      <c r="H35" s="83">
        <v>199</v>
      </c>
      <c r="I35" s="85">
        <v>53</v>
      </c>
      <c r="J35" s="84">
        <v>0</v>
      </c>
      <c r="K35" s="93">
        <v>136</v>
      </c>
      <c r="L35" s="93"/>
      <c r="M35" s="93"/>
      <c r="N35" s="106">
        <v>46</v>
      </c>
      <c r="O35" s="94">
        <v>215</v>
      </c>
      <c r="P35" s="101">
        <v>147</v>
      </c>
      <c r="Q35" s="104">
        <v>6090</v>
      </c>
      <c r="R35" s="103">
        <v>21</v>
      </c>
      <c r="S35" s="86">
        <v>64</v>
      </c>
      <c r="T35" s="105">
        <v>36</v>
      </c>
      <c r="U35" s="98">
        <v>1671</v>
      </c>
      <c r="V35" s="87">
        <v>382</v>
      </c>
      <c r="W35" s="99">
        <v>32</v>
      </c>
      <c r="X35" s="88">
        <v>18</v>
      </c>
      <c r="Y35" s="100">
        <v>34</v>
      </c>
      <c r="Z35" s="89">
        <v>46</v>
      </c>
      <c r="AA35" s="95">
        <v>468</v>
      </c>
      <c r="AB35" s="102">
        <v>151</v>
      </c>
      <c r="AC35" s="96">
        <v>142</v>
      </c>
      <c r="AD35" s="96">
        <v>71</v>
      </c>
      <c r="AE35" s="192">
        <v>20</v>
      </c>
      <c r="AF35" s="192">
        <v>101</v>
      </c>
    </row>
    <row r="36" spans="1:32" x14ac:dyDescent="0.25">
      <c r="A36" s="81">
        <v>40763</v>
      </c>
      <c r="B36" s="82">
        <v>47</v>
      </c>
      <c r="C36" s="78">
        <v>0</v>
      </c>
      <c r="D36" s="90">
        <v>270</v>
      </c>
      <c r="E36" s="97">
        <v>220</v>
      </c>
      <c r="F36" s="91">
        <v>28</v>
      </c>
      <c r="G36" s="92">
        <v>20</v>
      </c>
      <c r="H36" s="83">
        <v>133</v>
      </c>
      <c r="I36" s="85">
        <v>56</v>
      </c>
      <c r="J36" s="84">
        <v>0</v>
      </c>
      <c r="K36" s="93">
        <v>20</v>
      </c>
      <c r="L36" s="93"/>
      <c r="M36" s="93"/>
      <c r="N36" s="106">
        <v>43</v>
      </c>
      <c r="O36" s="94">
        <v>81</v>
      </c>
      <c r="P36" s="101">
        <v>42</v>
      </c>
      <c r="Q36" s="104">
        <v>50</v>
      </c>
      <c r="R36" s="103">
        <v>103</v>
      </c>
      <c r="S36" s="86">
        <v>3432</v>
      </c>
      <c r="T36" s="105">
        <v>628</v>
      </c>
      <c r="U36" s="98">
        <v>499</v>
      </c>
      <c r="V36" s="87">
        <v>156</v>
      </c>
      <c r="W36" s="99">
        <v>110</v>
      </c>
      <c r="X36" s="88">
        <v>48</v>
      </c>
      <c r="Y36" s="100">
        <v>24</v>
      </c>
      <c r="Z36" s="89">
        <v>56</v>
      </c>
      <c r="AA36" s="95">
        <v>4</v>
      </c>
      <c r="AB36" s="102">
        <v>86</v>
      </c>
      <c r="AC36" s="96">
        <v>109</v>
      </c>
      <c r="AD36" s="96">
        <v>71</v>
      </c>
      <c r="AE36" s="192">
        <v>58</v>
      </c>
      <c r="AF36" s="192">
        <v>125</v>
      </c>
    </row>
    <row r="37" spans="1:32" x14ac:dyDescent="0.25">
      <c r="A37" s="81">
        <v>40764</v>
      </c>
      <c r="B37" s="82">
        <v>74</v>
      </c>
      <c r="C37" s="78">
        <v>622</v>
      </c>
      <c r="D37" s="90">
        <v>296</v>
      </c>
      <c r="E37" s="97">
        <v>39</v>
      </c>
      <c r="F37" s="91">
        <v>8</v>
      </c>
      <c r="G37" s="92">
        <v>41</v>
      </c>
      <c r="H37" s="83">
        <v>222</v>
      </c>
      <c r="I37" s="85">
        <v>2239</v>
      </c>
      <c r="J37" s="84">
        <v>0</v>
      </c>
      <c r="K37" s="93">
        <v>252</v>
      </c>
      <c r="L37" s="93"/>
      <c r="M37" s="93"/>
      <c r="N37" s="106">
        <v>1</v>
      </c>
      <c r="O37" s="94">
        <v>104</v>
      </c>
      <c r="P37" s="101">
        <v>96</v>
      </c>
      <c r="Q37" s="104">
        <v>26</v>
      </c>
      <c r="R37" s="103">
        <v>311</v>
      </c>
      <c r="S37" s="86">
        <v>204</v>
      </c>
      <c r="T37" s="105">
        <v>626</v>
      </c>
      <c r="U37" s="98">
        <v>103</v>
      </c>
      <c r="V37" s="87">
        <v>71</v>
      </c>
      <c r="W37" s="99">
        <v>164</v>
      </c>
      <c r="X37" s="88">
        <v>86</v>
      </c>
      <c r="Y37" s="100">
        <v>70</v>
      </c>
      <c r="Z37" s="89">
        <v>2</v>
      </c>
      <c r="AA37" s="95">
        <v>154</v>
      </c>
      <c r="AB37" s="102">
        <v>44</v>
      </c>
      <c r="AC37" s="96">
        <v>51</v>
      </c>
      <c r="AD37" s="96">
        <v>93</v>
      </c>
      <c r="AE37" s="192">
        <v>88</v>
      </c>
      <c r="AF37" s="192">
        <v>133</v>
      </c>
    </row>
    <row r="38" spans="1:32" x14ac:dyDescent="0.25">
      <c r="A38" s="81">
        <v>40765</v>
      </c>
      <c r="B38" s="82">
        <v>2237</v>
      </c>
      <c r="C38" s="78">
        <v>3860</v>
      </c>
      <c r="D38" s="90">
        <v>402</v>
      </c>
      <c r="E38" s="97">
        <v>649</v>
      </c>
      <c r="F38" s="91">
        <v>994</v>
      </c>
      <c r="G38" s="92">
        <v>42</v>
      </c>
      <c r="H38" s="83">
        <v>229</v>
      </c>
      <c r="I38" s="85">
        <v>23</v>
      </c>
      <c r="J38" s="84">
        <v>0</v>
      </c>
      <c r="K38" s="93">
        <v>56</v>
      </c>
      <c r="L38" s="93"/>
      <c r="M38" s="93"/>
      <c r="N38" s="106">
        <v>47</v>
      </c>
      <c r="O38" s="94">
        <v>78</v>
      </c>
      <c r="P38" s="101">
        <v>100</v>
      </c>
      <c r="Q38" s="104">
        <v>234</v>
      </c>
      <c r="R38" s="103">
        <v>39</v>
      </c>
      <c r="S38" s="86">
        <v>27</v>
      </c>
      <c r="T38" s="105">
        <v>215</v>
      </c>
      <c r="U38" s="98">
        <v>127</v>
      </c>
      <c r="V38" s="87">
        <v>4</v>
      </c>
      <c r="W38" s="99">
        <v>26</v>
      </c>
      <c r="X38" s="88">
        <v>66</v>
      </c>
      <c r="Y38" s="100">
        <v>207</v>
      </c>
      <c r="Z38" s="89">
        <v>22</v>
      </c>
      <c r="AA38" s="95">
        <v>1</v>
      </c>
      <c r="AB38" s="102">
        <v>62</v>
      </c>
      <c r="AC38" s="96">
        <v>16</v>
      </c>
      <c r="AD38" s="96">
        <v>62</v>
      </c>
      <c r="AE38" s="192">
        <v>99</v>
      </c>
      <c r="AF38" s="192">
        <v>108</v>
      </c>
    </row>
    <row r="39" spans="1:32" x14ac:dyDescent="0.25">
      <c r="A39" s="81">
        <v>40766</v>
      </c>
      <c r="B39" s="82">
        <v>587</v>
      </c>
      <c r="C39" s="78">
        <v>0</v>
      </c>
      <c r="D39" s="90">
        <v>408</v>
      </c>
      <c r="E39" s="97">
        <v>269</v>
      </c>
      <c r="F39" s="91">
        <v>44</v>
      </c>
      <c r="G39" s="92">
        <v>26</v>
      </c>
      <c r="H39" s="83">
        <v>182</v>
      </c>
      <c r="I39" s="85">
        <v>522</v>
      </c>
      <c r="J39" s="84">
        <v>0</v>
      </c>
      <c r="K39" s="93">
        <v>77</v>
      </c>
      <c r="L39" s="93"/>
      <c r="M39" s="93"/>
      <c r="N39" s="106">
        <v>169</v>
      </c>
      <c r="O39" s="94">
        <v>68</v>
      </c>
      <c r="P39" s="101">
        <v>124</v>
      </c>
      <c r="Q39" s="104">
        <v>69</v>
      </c>
      <c r="R39" s="103">
        <v>30</v>
      </c>
      <c r="S39" s="86">
        <v>65</v>
      </c>
      <c r="T39" s="105">
        <v>677</v>
      </c>
      <c r="U39" s="98">
        <v>8</v>
      </c>
      <c r="V39" s="87">
        <v>39</v>
      </c>
      <c r="W39" s="99">
        <v>933</v>
      </c>
      <c r="X39" s="88">
        <v>56</v>
      </c>
      <c r="Y39" s="100">
        <v>18</v>
      </c>
      <c r="Z39" s="89">
        <v>5</v>
      </c>
      <c r="AA39" s="95">
        <v>0</v>
      </c>
      <c r="AB39" s="102">
        <v>8</v>
      </c>
      <c r="AC39" s="96">
        <v>38</v>
      </c>
      <c r="AD39" s="96">
        <v>676</v>
      </c>
      <c r="AE39" s="192">
        <v>35</v>
      </c>
      <c r="AF39" s="192">
        <v>111</v>
      </c>
    </row>
    <row r="40" spans="1:32" x14ac:dyDescent="0.25">
      <c r="A40" s="81">
        <v>40767</v>
      </c>
      <c r="B40" s="82">
        <v>328</v>
      </c>
      <c r="C40" s="78">
        <v>220</v>
      </c>
      <c r="D40" s="90">
        <v>6</v>
      </c>
      <c r="E40" s="97">
        <v>12</v>
      </c>
      <c r="F40" s="91">
        <v>1252</v>
      </c>
      <c r="G40" s="92">
        <v>31</v>
      </c>
      <c r="H40" s="83">
        <v>1188</v>
      </c>
      <c r="I40" s="85">
        <v>305</v>
      </c>
      <c r="J40" s="84">
        <v>0</v>
      </c>
      <c r="K40" s="93">
        <v>371</v>
      </c>
      <c r="L40" s="93"/>
      <c r="M40" s="93"/>
      <c r="N40" s="106">
        <v>282</v>
      </c>
      <c r="O40" s="94">
        <v>112</v>
      </c>
      <c r="P40" s="101">
        <v>103</v>
      </c>
      <c r="Q40" s="104">
        <v>105</v>
      </c>
      <c r="R40" s="103">
        <v>40</v>
      </c>
      <c r="S40" s="86">
        <v>6</v>
      </c>
      <c r="T40" s="105">
        <v>157</v>
      </c>
      <c r="U40" s="98">
        <v>54</v>
      </c>
      <c r="V40" s="87">
        <v>52</v>
      </c>
      <c r="W40" s="99">
        <v>16</v>
      </c>
      <c r="X40" s="88">
        <v>77</v>
      </c>
      <c r="Y40" s="100">
        <v>769</v>
      </c>
      <c r="Z40" s="89">
        <v>117</v>
      </c>
      <c r="AA40" s="95">
        <v>0</v>
      </c>
      <c r="AB40" s="102">
        <v>9</v>
      </c>
      <c r="AC40" s="96">
        <v>78</v>
      </c>
      <c r="AD40" s="96">
        <v>35</v>
      </c>
      <c r="AE40" s="192">
        <v>8</v>
      </c>
      <c r="AF40" s="192">
        <v>57</v>
      </c>
    </row>
    <row r="41" spans="1:32" x14ac:dyDescent="0.25">
      <c r="A41" s="81">
        <v>40768</v>
      </c>
      <c r="B41" s="82">
        <v>75</v>
      </c>
      <c r="C41" s="78">
        <v>1311</v>
      </c>
      <c r="D41" s="90">
        <v>12</v>
      </c>
      <c r="E41" s="97">
        <v>2140</v>
      </c>
      <c r="F41" s="91">
        <v>10</v>
      </c>
      <c r="G41" s="92">
        <v>21</v>
      </c>
      <c r="H41" s="83">
        <v>47</v>
      </c>
      <c r="I41" s="85">
        <v>56</v>
      </c>
      <c r="J41" s="84">
        <v>0</v>
      </c>
      <c r="K41" s="93">
        <v>286</v>
      </c>
      <c r="L41" s="93"/>
      <c r="M41" s="93"/>
      <c r="N41" s="106">
        <v>285</v>
      </c>
      <c r="O41" s="94">
        <v>110</v>
      </c>
      <c r="P41" s="101">
        <v>1017</v>
      </c>
      <c r="Q41" s="104">
        <v>44</v>
      </c>
      <c r="R41" s="103">
        <v>2732</v>
      </c>
      <c r="S41" s="86">
        <v>8</v>
      </c>
      <c r="T41" s="105">
        <v>58</v>
      </c>
      <c r="U41" s="98">
        <v>157</v>
      </c>
      <c r="V41" s="87">
        <v>139</v>
      </c>
      <c r="W41" s="99">
        <v>203</v>
      </c>
      <c r="X41" s="88">
        <v>81</v>
      </c>
      <c r="Y41" s="100">
        <v>272</v>
      </c>
      <c r="Z41" s="89">
        <v>243</v>
      </c>
      <c r="AA41" s="95">
        <v>113</v>
      </c>
      <c r="AB41" s="102">
        <v>7</v>
      </c>
      <c r="AC41" s="96">
        <v>103</v>
      </c>
      <c r="AD41" s="96">
        <v>29</v>
      </c>
      <c r="AE41" s="192">
        <v>57</v>
      </c>
      <c r="AF41" s="192">
        <v>45</v>
      </c>
    </row>
    <row r="42" spans="1:32" x14ac:dyDescent="0.25">
      <c r="A42" s="81">
        <v>40769</v>
      </c>
      <c r="B42" s="82">
        <v>485</v>
      </c>
      <c r="C42" s="78">
        <v>0</v>
      </c>
      <c r="D42" s="90">
        <v>30</v>
      </c>
      <c r="E42" s="97">
        <v>18</v>
      </c>
      <c r="F42" s="91">
        <v>39</v>
      </c>
      <c r="G42" s="92">
        <v>20</v>
      </c>
      <c r="H42" s="83">
        <v>95</v>
      </c>
      <c r="I42" s="85">
        <v>1042</v>
      </c>
      <c r="J42" s="84">
        <v>12</v>
      </c>
      <c r="K42" s="93">
        <v>85</v>
      </c>
      <c r="L42" s="93"/>
      <c r="M42" s="93"/>
      <c r="N42" s="106">
        <v>152</v>
      </c>
      <c r="O42" s="94">
        <v>86</v>
      </c>
      <c r="P42" s="101">
        <v>137</v>
      </c>
      <c r="Q42" s="104">
        <v>195</v>
      </c>
      <c r="R42" s="103">
        <v>1572</v>
      </c>
      <c r="S42" s="86">
        <v>0</v>
      </c>
      <c r="T42" s="105">
        <v>139</v>
      </c>
      <c r="U42" s="98">
        <v>9</v>
      </c>
      <c r="V42" s="87">
        <v>304</v>
      </c>
      <c r="W42" s="99">
        <v>57</v>
      </c>
      <c r="X42" s="88">
        <v>77</v>
      </c>
      <c r="Y42" s="100">
        <v>19</v>
      </c>
      <c r="Z42" s="89">
        <v>42</v>
      </c>
      <c r="AA42" s="95">
        <v>4</v>
      </c>
      <c r="AB42" s="102">
        <v>8</v>
      </c>
      <c r="AC42" s="96">
        <v>239</v>
      </c>
      <c r="AD42" s="96">
        <v>5</v>
      </c>
      <c r="AE42" s="192">
        <v>60</v>
      </c>
      <c r="AF42" s="192">
        <v>7</v>
      </c>
    </row>
    <row r="43" spans="1:32" x14ac:dyDescent="0.25">
      <c r="A43" s="81">
        <v>40770</v>
      </c>
      <c r="B43" s="82">
        <v>1390</v>
      </c>
      <c r="C43" s="78">
        <v>0</v>
      </c>
      <c r="D43" s="90">
        <v>4</v>
      </c>
      <c r="E43" s="97">
        <v>0</v>
      </c>
      <c r="F43" s="91">
        <v>527</v>
      </c>
      <c r="G43" s="92">
        <v>30</v>
      </c>
      <c r="H43" s="83">
        <v>40</v>
      </c>
      <c r="I43" s="85">
        <v>415</v>
      </c>
      <c r="J43" s="84">
        <v>20</v>
      </c>
      <c r="K43" s="93">
        <v>77</v>
      </c>
      <c r="L43" s="93"/>
      <c r="M43" s="93"/>
      <c r="N43" s="106">
        <v>44</v>
      </c>
      <c r="O43" s="94">
        <v>167</v>
      </c>
      <c r="P43" s="101">
        <v>65</v>
      </c>
      <c r="Q43" s="104">
        <v>435</v>
      </c>
      <c r="R43" s="103">
        <v>29</v>
      </c>
      <c r="S43" s="86">
        <v>813</v>
      </c>
      <c r="T43" s="105">
        <v>440</v>
      </c>
      <c r="U43" s="98">
        <v>0</v>
      </c>
      <c r="V43" s="87">
        <v>538</v>
      </c>
      <c r="W43" s="99">
        <v>90</v>
      </c>
      <c r="X43" s="88">
        <v>21</v>
      </c>
      <c r="Y43" s="100">
        <v>3</v>
      </c>
      <c r="Z43" s="89">
        <v>213</v>
      </c>
      <c r="AA43" s="95">
        <v>0</v>
      </c>
      <c r="AB43" s="102">
        <v>34</v>
      </c>
      <c r="AC43" s="96">
        <v>158</v>
      </c>
      <c r="AD43" s="96">
        <v>958</v>
      </c>
      <c r="AE43" s="192">
        <v>847</v>
      </c>
      <c r="AF43" s="192">
        <v>26</v>
      </c>
    </row>
    <row r="44" spans="1:32" x14ac:dyDescent="0.25">
      <c r="A44" s="81">
        <v>40771</v>
      </c>
      <c r="B44" s="82">
        <v>119</v>
      </c>
      <c r="C44" s="78">
        <v>0</v>
      </c>
      <c r="D44" s="90">
        <v>17</v>
      </c>
      <c r="E44" s="97">
        <v>0</v>
      </c>
      <c r="F44" s="91">
        <v>2950</v>
      </c>
      <c r="G44" s="92">
        <v>55</v>
      </c>
      <c r="H44" s="83">
        <v>15</v>
      </c>
      <c r="I44" s="85">
        <v>825</v>
      </c>
      <c r="J44" s="84">
        <v>5</v>
      </c>
      <c r="K44" s="93">
        <v>326</v>
      </c>
      <c r="L44" s="93"/>
      <c r="M44" s="93"/>
      <c r="N44" s="106">
        <v>32</v>
      </c>
      <c r="O44" s="94">
        <v>118</v>
      </c>
      <c r="P44" s="101">
        <v>72</v>
      </c>
      <c r="Q44" s="104">
        <v>145</v>
      </c>
      <c r="R44" s="103">
        <v>91</v>
      </c>
      <c r="S44" s="86">
        <v>0</v>
      </c>
      <c r="T44" s="105">
        <v>607</v>
      </c>
      <c r="U44" s="98">
        <v>0</v>
      </c>
      <c r="V44" s="87">
        <v>360</v>
      </c>
      <c r="W44" s="99">
        <v>34</v>
      </c>
      <c r="X44" s="88">
        <v>56</v>
      </c>
      <c r="Y44" s="100">
        <v>0</v>
      </c>
      <c r="Z44" s="89">
        <v>0</v>
      </c>
      <c r="AA44" s="95">
        <v>2</v>
      </c>
      <c r="AB44" s="102">
        <v>452</v>
      </c>
      <c r="AC44" s="96">
        <v>656</v>
      </c>
      <c r="AD44" s="96">
        <v>214</v>
      </c>
      <c r="AE44" s="194">
        <v>1551</v>
      </c>
      <c r="AF44" s="192">
        <v>74</v>
      </c>
    </row>
    <row r="45" spans="1:32" x14ac:dyDescent="0.25">
      <c r="A45" s="81">
        <v>40772</v>
      </c>
      <c r="B45" s="82">
        <v>19</v>
      </c>
      <c r="C45" s="78">
        <v>44</v>
      </c>
      <c r="D45" s="90">
        <v>9</v>
      </c>
      <c r="E45" s="97">
        <v>18</v>
      </c>
      <c r="F45" s="91">
        <v>277</v>
      </c>
      <c r="G45" s="92">
        <v>12</v>
      </c>
      <c r="H45" s="83">
        <v>93</v>
      </c>
      <c r="I45" s="85">
        <v>176</v>
      </c>
      <c r="J45" s="84">
        <v>0</v>
      </c>
      <c r="K45" s="93">
        <v>71</v>
      </c>
      <c r="L45" s="93"/>
      <c r="M45" s="93"/>
      <c r="N45" s="106">
        <v>17</v>
      </c>
      <c r="O45" s="94">
        <v>76</v>
      </c>
      <c r="P45" s="101">
        <v>57</v>
      </c>
      <c r="Q45" s="104">
        <v>196</v>
      </c>
      <c r="R45" s="103">
        <v>195</v>
      </c>
      <c r="S45" s="86">
        <v>31</v>
      </c>
      <c r="T45" s="105">
        <v>291</v>
      </c>
      <c r="U45" s="98">
        <v>0</v>
      </c>
      <c r="V45" s="87">
        <v>32</v>
      </c>
      <c r="W45" s="99">
        <v>42</v>
      </c>
      <c r="X45" s="88">
        <v>267</v>
      </c>
      <c r="Y45" s="100">
        <v>750</v>
      </c>
      <c r="Z45" s="89">
        <v>275</v>
      </c>
      <c r="AA45" s="95">
        <v>4</v>
      </c>
      <c r="AB45" s="102">
        <v>77</v>
      </c>
      <c r="AC45" s="96">
        <v>139</v>
      </c>
      <c r="AD45" s="96">
        <v>63</v>
      </c>
      <c r="AE45" s="192">
        <v>304</v>
      </c>
      <c r="AF45" s="192">
        <v>92</v>
      </c>
    </row>
    <row r="46" spans="1:32" x14ac:dyDescent="0.25">
      <c r="A46" s="81">
        <v>40773</v>
      </c>
      <c r="B46" s="82">
        <v>29</v>
      </c>
      <c r="C46" s="78">
        <v>70</v>
      </c>
      <c r="D46" s="90">
        <v>9</v>
      </c>
      <c r="E46" s="97">
        <v>32</v>
      </c>
      <c r="F46" s="91">
        <v>70</v>
      </c>
      <c r="G46" s="92">
        <v>7</v>
      </c>
      <c r="H46" s="83">
        <v>8</v>
      </c>
      <c r="I46" s="85">
        <v>208</v>
      </c>
      <c r="J46" s="84">
        <v>21</v>
      </c>
      <c r="K46" s="93">
        <v>31</v>
      </c>
      <c r="L46" s="93"/>
      <c r="M46" s="93"/>
      <c r="N46" s="106">
        <v>11</v>
      </c>
      <c r="O46" s="94">
        <v>62</v>
      </c>
      <c r="P46" s="101">
        <v>92</v>
      </c>
      <c r="Q46" s="104">
        <v>166</v>
      </c>
      <c r="R46" s="103">
        <v>594</v>
      </c>
      <c r="S46" s="86">
        <v>19</v>
      </c>
      <c r="T46" s="105">
        <v>75</v>
      </c>
      <c r="U46" s="98">
        <v>0</v>
      </c>
      <c r="V46" s="87">
        <v>0</v>
      </c>
      <c r="W46" s="99">
        <v>20</v>
      </c>
      <c r="X46" s="88">
        <v>2287</v>
      </c>
      <c r="Y46" s="100">
        <v>32</v>
      </c>
      <c r="Z46" s="89">
        <v>70</v>
      </c>
      <c r="AA46" s="95">
        <v>0</v>
      </c>
      <c r="AB46" s="102">
        <v>0</v>
      </c>
      <c r="AC46" s="96">
        <v>1015</v>
      </c>
      <c r="AD46" s="96">
        <v>24</v>
      </c>
      <c r="AE46" s="192">
        <v>514</v>
      </c>
      <c r="AF46" s="192">
        <v>63</v>
      </c>
    </row>
    <row r="47" spans="1:32" x14ac:dyDescent="0.25">
      <c r="A47" s="81">
        <v>40774</v>
      </c>
      <c r="B47" s="82">
        <v>62</v>
      </c>
      <c r="C47" s="78">
        <v>61</v>
      </c>
      <c r="D47" s="90">
        <v>21</v>
      </c>
      <c r="E47" s="97">
        <v>112</v>
      </c>
      <c r="F47" s="91">
        <v>23</v>
      </c>
      <c r="G47" s="92">
        <v>121</v>
      </c>
      <c r="H47" s="83">
        <v>10</v>
      </c>
      <c r="I47" s="85">
        <v>818</v>
      </c>
      <c r="J47" s="84">
        <v>30</v>
      </c>
      <c r="K47" s="93">
        <v>28</v>
      </c>
      <c r="L47" s="93"/>
      <c r="M47" s="93"/>
      <c r="N47" s="106">
        <v>32</v>
      </c>
      <c r="O47" s="94">
        <v>64</v>
      </c>
      <c r="P47" s="101">
        <v>33</v>
      </c>
      <c r="Q47" s="104">
        <v>40</v>
      </c>
      <c r="R47" s="103">
        <v>112</v>
      </c>
      <c r="S47" s="86">
        <v>3</v>
      </c>
      <c r="T47" s="105">
        <v>1383</v>
      </c>
      <c r="U47" s="98">
        <v>1</v>
      </c>
      <c r="V47" s="87">
        <v>21</v>
      </c>
      <c r="W47" s="99">
        <v>14</v>
      </c>
      <c r="X47" s="88">
        <v>135</v>
      </c>
      <c r="Y47" s="100">
        <v>8</v>
      </c>
      <c r="Z47" s="89">
        <v>12</v>
      </c>
      <c r="AA47" s="95">
        <v>1</v>
      </c>
      <c r="AB47" s="102">
        <v>0</v>
      </c>
      <c r="AC47" s="96">
        <v>44</v>
      </c>
      <c r="AD47" s="96">
        <v>20</v>
      </c>
      <c r="AE47" s="192">
        <v>300</v>
      </c>
      <c r="AF47" s="192">
        <v>21</v>
      </c>
    </row>
    <row r="48" spans="1:32" x14ac:dyDescent="0.25">
      <c r="A48" s="81">
        <v>40775</v>
      </c>
      <c r="B48" s="82">
        <v>38</v>
      </c>
      <c r="C48" s="78">
        <v>0</v>
      </c>
      <c r="D48" s="90">
        <v>31</v>
      </c>
      <c r="E48" s="97">
        <v>28</v>
      </c>
      <c r="F48" s="91">
        <v>42</v>
      </c>
      <c r="G48" s="92">
        <v>15</v>
      </c>
      <c r="H48" s="83">
        <v>88</v>
      </c>
      <c r="I48" s="85">
        <v>677</v>
      </c>
      <c r="J48" s="84">
        <v>7</v>
      </c>
      <c r="K48" s="93">
        <v>164</v>
      </c>
      <c r="L48" s="93"/>
      <c r="M48" s="93"/>
      <c r="N48" s="106">
        <v>25</v>
      </c>
      <c r="O48" s="94">
        <v>83</v>
      </c>
      <c r="P48" s="101">
        <v>240</v>
      </c>
      <c r="Q48" s="104">
        <v>152</v>
      </c>
      <c r="R48" s="103">
        <v>22</v>
      </c>
      <c r="S48" s="86">
        <v>49</v>
      </c>
      <c r="T48" s="105">
        <v>111</v>
      </c>
      <c r="U48" s="98">
        <v>3</v>
      </c>
      <c r="V48" s="87">
        <v>48</v>
      </c>
      <c r="W48" s="99">
        <v>67</v>
      </c>
      <c r="X48" s="88">
        <v>40</v>
      </c>
      <c r="Y48" s="100">
        <v>64</v>
      </c>
      <c r="Z48" s="89">
        <v>0</v>
      </c>
      <c r="AA48" s="95">
        <v>0</v>
      </c>
      <c r="AB48" s="102">
        <v>0</v>
      </c>
      <c r="AC48" s="96">
        <v>52</v>
      </c>
      <c r="AD48" s="96">
        <v>125</v>
      </c>
      <c r="AE48" s="192">
        <v>191</v>
      </c>
      <c r="AF48" s="192">
        <v>41</v>
      </c>
    </row>
    <row r="49" spans="1:32" x14ac:dyDescent="0.25">
      <c r="A49" s="81">
        <v>40776</v>
      </c>
      <c r="B49" s="82">
        <v>70</v>
      </c>
      <c r="C49" s="78">
        <v>764</v>
      </c>
      <c r="D49" s="90">
        <v>3431</v>
      </c>
      <c r="E49" s="97">
        <v>23</v>
      </c>
      <c r="F49" s="91">
        <v>16</v>
      </c>
      <c r="G49" s="92">
        <v>16</v>
      </c>
      <c r="H49" s="83">
        <v>894</v>
      </c>
      <c r="I49" s="85">
        <v>93</v>
      </c>
      <c r="J49" s="84">
        <v>5</v>
      </c>
      <c r="K49" s="93">
        <v>219</v>
      </c>
      <c r="L49" s="93"/>
      <c r="M49" s="93"/>
      <c r="N49" s="106">
        <v>4</v>
      </c>
      <c r="O49" s="94">
        <v>332</v>
      </c>
      <c r="P49" s="101">
        <v>80</v>
      </c>
      <c r="Q49" s="104">
        <v>63</v>
      </c>
      <c r="R49" s="103">
        <v>25</v>
      </c>
      <c r="S49" s="86">
        <v>30</v>
      </c>
      <c r="T49" s="105">
        <v>50</v>
      </c>
      <c r="U49" s="98">
        <v>15</v>
      </c>
      <c r="V49" s="87">
        <v>35</v>
      </c>
      <c r="W49" s="99">
        <v>11</v>
      </c>
      <c r="X49" s="88">
        <v>27</v>
      </c>
      <c r="Y49" s="100">
        <v>2</v>
      </c>
      <c r="Z49" s="89">
        <v>143</v>
      </c>
      <c r="AA49" s="95">
        <v>1</v>
      </c>
      <c r="AB49" s="102">
        <v>45</v>
      </c>
      <c r="AC49" s="96">
        <v>15</v>
      </c>
      <c r="AD49" s="96">
        <v>0</v>
      </c>
      <c r="AE49" s="192">
        <v>115</v>
      </c>
      <c r="AF49" s="192">
        <v>20</v>
      </c>
    </row>
    <row r="50" spans="1:32" x14ac:dyDescent="0.25">
      <c r="A50" s="81">
        <v>40777</v>
      </c>
      <c r="B50" s="82">
        <v>805</v>
      </c>
      <c r="C50" s="78">
        <v>94</v>
      </c>
      <c r="D50" s="90">
        <v>101</v>
      </c>
      <c r="E50" s="97">
        <v>6</v>
      </c>
      <c r="F50" s="91">
        <v>218</v>
      </c>
      <c r="G50" s="92">
        <v>69</v>
      </c>
      <c r="H50" s="83">
        <v>400</v>
      </c>
      <c r="I50" s="85">
        <v>170</v>
      </c>
      <c r="J50" s="84">
        <v>33</v>
      </c>
      <c r="K50" s="93">
        <v>278</v>
      </c>
      <c r="L50" s="93"/>
      <c r="M50" s="93"/>
      <c r="N50" s="106">
        <v>30</v>
      </c>
      <c r="O50" s="94">
        <v>1163</v>
      </c>
      <c r="P50" s="101">
        <v>254</v>
      </c>
      <c r="Q50" s="104">
        <v>1</v>
      </c>
      <c r="R50" s="103">
        <v>691</v>
      </c>
      <c r="S50" s="86">
        <v>2</v>
      </c>
      <c r="T50" s="105">
        <v>17</v>
      </c>
      <c r="U50" s="98">
        <v>43</v>
      </c>
      <c r="V50" s="87">
        <v>11</v>
      </c>
      <c r="W50" s="99">
        <v>53</v>
      </c>
      <c r="X50" s="88">
        <v>318</v>
      </c>
      <c r="Y50" s="100">
        <v>373</v>
      </c>
      <c r="Z50" s="89">
        <v>10</v>
      </c>
      <c r="AA50" s="95">
        <v>0</v>
      </c>
      <c r="AB50" s="102">
        <v>118</v>
      </c>
      <c r="AC50" s="96">
        <v>10</v>
      </c>
      <c r="AD50" s="96">
        <v>0</v>
      </c>
      <c r="AE50" s="192">
        <v>34</v>
      </c>
      <c r="AF50" s="192">
        <v>36</v>
      </c>
    </row>
    <row r="51" spans="1:32" x14ac:dyDescent="0.25">
      <c r="A51" s="81">
        <v>40778</v>
      </c>
      <c r="B51" s="82">
        <v>100</v>
      </c>
      <c r="C51" s="78">
        <v>0</v>
      </c>
      <c r="D51" s="90">
        <v>14</v>
      </c>
      <c r="E51" s="97">
        <v>30</v>
      </c>
      <c r="F51" s="91">
        <v>0</v>
      </c>
      <c r="G51" s="92">
        <v>34</v>
      </c>
      <c r="H51" s="83">
        <v>123</v>
      </c>
      <c r="I51" s="85">
        <v>476</v>
      </c>
      <c r="J51" s="84">
        <v>17</v>
      </c>
      <c r="K51" s="93">
        <v>130</v>
      </c>
      <c r="L51" s="93"/>
      <c r="M51" s="93"/>
      <c r="N51" s="106">
        <v>50</v>
      </c>
      <c r="O51" s="94">
        <v>1354</v>
      </c>
      <c r="P51" s="101">
        <v>200</v>
      </c>
      <c r="Q51" s="104">
        <v>188</v>
      </c>
      <c r="R51" s="103">
        <v>45</v>
      </c>
      <c r="S51" s="86">
        <v>47</v>
      </c>
      <c r="T51" s="105">
        <v>2</v>
      </c>
      <c r="U51" s="98">
        <v>228</v>
      </c>
      <c r="V51" s="87">
        <v>14</v>
      </c>
      <c r="W51" s="99">
        <v>5</v>
      </c>
      <c r="X51" s="88">
        <v>92</v>
      </c>
      <c r="Y51" s="100">
        <v>56</v>
      </c>
      <c r="Z51" s="89">
        <v>0</v>
      </c>
      <c r="AA51" s="95">
        <v>360</v>
      </c>
      <c r="AB51" s="102">
        <v>27</v>
      </c>
      <c r="AC51" s="96">
        <v>21</v>
      </c>
      <c r="AD51" s="96">
        <v>0</v>
      </c>
      <c r="AE51" s="192">
        <v>51</v>
      </c>
      <c r="AF51" s="192">
        <v>6</v>
      </c>
    </row>
    <row r="52" spans="1:32" x14ac:dyDescent="0.25">
      <c r="A52" s="81">
        <v>40779</v>
      </c>
      <c r="B52" s="82">
        <v>53</v>
      </c>
      <c r="C52" s="78">
        <v>16</v>
      </c>
      <c r="D52" s="90">
        <v>29</v>
      </c>
      <c r="E52" s="97">
        <v>16</v>
      </c>
      <c r="F52" s="91">
        <v>38</v>
      </c>
      <c r="G52" s="92">
        <v>11</v>
      </c>
      <c r="H52" s="83">
        <v>60</v>
      </c>
      <c r="I52" s="85">
        <v>488</v>
      </c>
      <c r="J52" s="84">
        <v>21</v>
      </c>
      <c r="K52" s="93">
        <v>156</v>
      </c>
      <c r="L52" s="93"/>
      <c r="M52" s="93"/>
      <c r="N52" s="106">
        <v>4</v>
      </c>
      <c r="O52" s="94">
        <v>11</v>
      </c>
      <c r="P52" s="101">
        <v>41</v>
      </c>
      <c r="Q52" s="104">
        <v>675</v>
      </c>
      <c r="R52" s="103">
        <v>13</v>
      </c>
      <c r="S52" s="86">
        <v>1</v>
      </c>
      <c r="T52" s="105">
        <v>35</v>
      </c>
      <c r="U52" s="98">
        <v>5</v>
      </c>
      <c r="V52" s="87">
        <v>10</v>
      </c>
      <c r="W52" s="99">
        <v>42</v>
      </c>
      <c r="X52" s="88">
        <v>27</v>
      </c>
      <c r="Y52" s="100">
        <v>17</v>
      </c>
      <c r="Z52" s="89">
        <v>0</v>
      </c>
      <c r="AA52" s="95">
        <v>1</v>
      </c>
      <c r="AB52" s="102">
        <v>20</v>
      </c>
      <c r="AC52" s="96">
        <v>74</v>
      </c>
      <c r="AD52" s="96">
        <v>0</v>
      </c>
      <c r="AE52" s="192">
        <v>24</v>
      </c>
      <c r="AF52" s="192">
        <v>26</v>
      </c>
    </row>
    <row r="53" spans="1:32" x14ac:dyDescent="0.25">
      <c r="A53" s="81">
        <v>40780</v>
      </c>
      <c r="B53" s="82">
        <v>6</v>
      </c>
      <c r="C53" s="78">
        <v>2540</v>
      </c>
      <c r="D53" s="90">
        <v>1</v>
      </c>
      <c r="E53" s="97">
        <v>13</v>
      </c>
      <c r="F53" s="91">
        <v>2</v>
      </c>
      <c r="G53" s="92">
        <v>66</v>
      </c>
      <c r="H53" s="83">
        <v>138</v>
      </c>
      <c r="I53" s="85">
        <v>162</v>
      </c>
      <c r="J53" s="84">
        <v>0</v>
      </c>
      <c r="K53" s="93">
        <v>171</v>
      </c>
      <c r="L53" s="93"/>
      <c r="M53" s="93"/>
      <c r="N53" s="106">
        <v>33</v>
      </c>
      <c r="O53" s="94">
        <v>110</v>
      </c>
      <c r="P53" s="101">
        <v>63</v>
      </c>
      <c r="Q53" s="104">
        <v>30</v>
      </c>
      <c r="R53" s="103">
        <v>106</v>
      </c>
      <c r="S53" s="86">
        <v>3</v>
      </c>
      <c r="T53" s="105">
        <v>22</v>
      </c>
      <c r="U53" s="98">
        <v>13</v>
      </c>
      <c r="V53" s="87">
        <v>19</v>
      </c>
      <c r="W53" s="99">
        <v>9</v>
      </c>
      <c r="X53" s="88">
        <v>295</v>
      </c>
      <c r="Y53" s="100">
        <v>968</v>
      </c>
      <c r="Z53" s="89">
        <v>6</v>
      </c>
      <c r="AA53" s="95">
        <v>25</v>
      </c>
      <c r="AB53" s="102">
        <v>34</v>
      </c>
      <c r="AC53" s="96">
        <v>41</v>
      </c>
      <c r="AD53" s="96">
        <v>1</v>
      </c>
      <c r="AE53" s="192">
        <v>14</v>
      </c>
      <c r="AF53" s="192">
        <v>4</v>
      </c>
    </row>
    <row r="54" spans="1:32" x14ac:dyDescent="0.25">
      <c r="A54" s="81">
        <v>40781</v>
      </c>
      <c r="B54" s="82">
        <v>1</v>
      </c>
      <c r="C54" s="78">
        <v>64</v>
      </c>
      <c r="D54" s="90">
        <v>1</v>
      </c>
      <c r="E54" s="97">
        <v>18</v>
      </c>
      <c r="F54" s="91">
        <v>0</v>
      </c>
      <c r="G54" s="92">
        <v>29</v>
      </c>
      <c r="H54" s="83">
        <v>166</v>
      </c>
      <c r="I54" s="85">
        <v>139</v>
      </c>
      <c r="J54" s="84">
        <v>0</v>
      </c>
      <c r="K54" s="93">
        <v>60</v>
      </c>
      <c r="L54" s="93"/>
      <c r="M54" s="93"/>
      <c r="N54" s="106">
        <v>54</v>
      </c>
      <c r="O54" s="94">
        <v>106</v>
      </c>
      <c r="P54" s="101">
        <v>63</v>
      </c>
      <c r="Q54" s="104">
        <v>108</v>
      </c>
      <c r="R54" s="103">
        <v>71</v>
      </c>
      <c r="S54" s="86">
        <v>0</v>
      </c>
      <c r="T54" s="105">
        <v>42</v>
      </c>
      <c r="U54" s="98">
        <v>9</v>
      </c>
      <c r="V54" s="87">
        <v>15</v>
      </c>
      <c r="W54" s="99">
        <v>4</v>
      </c>
      <c r="X54" s="88">
        <v>407</v>
      </c>
      <c r="Y54" s="100">
        <v>8</v>
      </c>
      <c r="Z54" s="89">
        <v>5</v>
      </c>
      <c r="AA54" s="95">
        <v>50</v>
      </c>
      <c r="AB54" s="102">
        <v>5</v>
      </c>
      <c r="AC54" s="96">
        <v>40</v>
      </c>
      <c r="AD54" s="96">
        <v>2</v>
      </c>
      <c r="AE54" s="192">
        <v>28</v>
      </c>
      <c r="AF54" s="192">
        <v>9</v>
      </c>
    </row>
    <row r="55" spans="1:32" x14ac:dyDescent="0.25">
      <c r="A55" s="81">
        <v>40782</v>
      </c>
      <c r="B55" s="82">
        <v>0</v>
      </c>
      <c r="C55" s="78">
        <v>42</v>
      </c>
      <c r="D55" s="90">
        <v>31</v>
      </c>
      <c r="E55" s="97">
        <v>6</v>
      </c>
      <c r="F55" s="91">
        <v>150</v>
      </c>
      <c r="G55" s="92">
        <v>18</v>
      </c>
      <c r="H55" s="83">
        <v>85</v>
      </c>
      <c r="I55" s="85">
        <v>91</v>
      </c>
      <c r="J55" s="84">
        <v>36</v>
      </c>
      <c r="K55" s="78"/>
      <c r="L55" s="78"/>
      <c r="M55" s="78"/>
      <c r="N55" s="106">
        <v>16</v>
      </c>
      <c r="O55" s="94">
        <v>137</v>
      </c>
      <c r="P55" s="101">
        <v>80</v>
      </c>
      <c r="Q55" s="104">
        <v>553</v>
      </c>
      <c r="R55" s="103">
        <v>20</v>
      </c>
      <c r="S55" s="86">
        <v>0</v>
      </c>
      <c r="T55" s="105">
        <v>751</v>
      </c>
      <c r="U55" s="98">
        <v>3</v>
      </c>
      <c r="V55" s="87">
        <v>13</v>
      </c>
      <c r="W55" s="99">
        <v>511</v>
      </c>
      <c r="X55" s="88">
        <v>68</v>
      </c>
      <c r="Y55" s="100">
        <v>1</v>
      </c>
      <c r="Z55" s="89">
        <v>11</v>
      </c>
      <c r="AA55" s="95">
        <v>0</v>
      </c>
      <c r="AB55" s="102">
        <v>27</v>
      </c>
      <c r="AC55" s="96">
        <v>4</v>
      </c>
      <c r="AD55" s="96">
        <v>4</v>
      </c>
      <c r="AE55" s="192">
        <v>11</v>
      </c>
      <c r="AF55" s="192">
        <v>6</v>
      </c>
    </row>
    <row r="56" spans="1:32" x14ac:dyDescent="0.25">
      <c r="A56" s="81">
        <v>40783</v>
      </c>
      <c r="B56" s="82">
        <v>1</v>
      </c>
      <c r="C56" s="78">
        <v>14</v>
      </c>
      <c r="D56" s="90">
        <v>1</v>
      </c>
      <c r="E56" s="97">
        <v>0</v>
      </c>
      <c r="F56" s="78"/>
      <c r="G56" s="92">
        <v>29</v>
      </c>
      <c r="H56" s="83">
        <v>38</v>
      </c>
      <c r="I56" s="85">
        <v>713</v>
      </c>
      <c r="J56" s="84">
        <v>8</v>
      </c>
      <c r="K56" s="78"/>
      <c r="L56" s="78"/>
      <c r="M56" s="78"/>
      <c r="N56" s="106">
        <v>7</v>
      </c>
      <c r="O56" s="94">
        <v>44</v>
      </c>
      <c r="P56" s="101">
        <v>100</v>
      </c>
      <c r="Q56" s="78"/>
      <c r="R56" s="103">
        <v>2189</v>
      </c>
      <c r="S56" s="86">
        <v>35</v>
      </c>
      <c r="T56" s="105">
        <v>37</v>
      </c>
      <c r="U56" s="98">
        <v>56</v>
      </c>
      <c r="V56" s="87">
        <v>4</v>
      </c>
      <c r="W56" s="99">
        <v>410</v>
      </c>
      <c r="X56" s="88">
        <v>55</v>
      </c>
      <c r="Y56" s="100">
        <v>0</v>
      </c>
      <c r="Z56" s="89">
        <v>1</v>
      </c>
      <c r="AA56" s="95">
        <v>2</v>
      </c>
      <c r="AB56" s="102">
        <v>0</v>
      </c>
      <c r="AC56" s="96">
        <v>2</v>
      </c>
      <c r="AD56" s="96">
        <v>0</v>
      </c>
      <c r="AE56" s="192">
        <v>471</v>
      </c>
      <c r="AF56" s="192">
        <v>5</v>
      </c>
    </row>
    <row r="57" spans="1:32" x14ac:dyDescent="0.25">
      <c r="A57" s="81">
        <v>40784</v>
      </c>
      <c r="B57" s="82">
        <v>3</v>
      </c>
      <c r="C57" s="78">
        <v>2</v>
      </c>
      <c r="D57" s="90">
        <v>25</v>
      </c>
      <c r="E57" s="97">
        <v>30</v>
      </c>
      <c r="F57" s="78"/>
      <c r="G57" s="92">
        <v>34</v>
      </c>
      <c r="H57" s="83">
        <v>3</v>
      </c>
      <c r="I57" s="85">
        <v>31</v>
      </c>
      <c r="J57" s="91">
        <v>30</v>
      </c>
      <c r="K57" s="78"/>
      <c r="L57" s="78"/>
      <c r="M57" s="78"/>
      <c r="N57" s="106">
        <v>233</v>
      </c>
      <c r="O57" s="94">
        <v>32</v>
      </c>
      <c r="P57" s="101">
        <v>64</v>
      </c>
      <c r="Q57" s="78"/>
      <c r="R57" s="103">
        <v>187</v>
      </c>
      <c r="S57" s="86">
        <v>0</v>
      </c>
      <c r="T57" s="105">
        <v>4</v>
      </c>
      <c r="U57" s="98">
        <v>21</v>
      </c>
      <c r="V57" s="87">
        <v>0</v>
      </c>
      <c r="W57" s="99">
        <v>44</v>
      </c>
      <c r="X57" s="88">
        <v>12</v>
      </c>
      <c r="Y57" s="100">
        <v>109</v>
      </c>
      <c r="Z57" s="89">
        <v>19</v>
      </c>
      <c r="AA57" s="95">
        <v>0</v>
      </c>
      <c r="AB57" s="102">
        <v>142</v>
      </c>
      <c r="AC57" s="96">
        <v>7</v>
      </c>
      <c r="AD57" s="96">
        <v>2</v>
      </c>
      <c r="AE57" s="192">
        <v>28</v>
      </c>
      <c r="AF57" s="192">
        <v>21</v>
      </c>
    </row>
    <row r="58" spans="1:32" x14ac:dyDescent="0.25">
      <c r="A58" s="81">
        <v>40785</v>
      </c>
      <c r="B58" s="82">
        <v>16</v>
      </c>
      <c r="C58" s="78">
        <v>3</v>
      </c>
      <c r="D58" s="78"/>
      <c r="E58" s="78"/>
      <c r="F58" s="78"/>
      <c r="G58" s="92">
        <v>11</v>
      </c>
      <c r="H58" s="83">
        <v>0</v>
      </c>
      <c r="I58" s="78"/>
      <c r="J58" s="78"/>
      <c r="K58" s="78"/>
      <c r="L58" s="78"/>
      <c r="M58" s="78"/>
      <c r="N58" s="106">
        <v>56</v>
      </c>
      <c r="O58" s="94">
        <v>72</v>
      </c>
      <c r="P58" s="101">
        <v>64</v>
      </c>
      <c r="Q58" s="78"/>
      <c r="R58" s="103">
        <v>485</v>
      </c>
      <c r="S58" s="86">
        <v>11</v>
      </c>
      <c r="T58" s="105">
        <v>5</v>
      </c>
      <c r="U58" s="98">
        <v>0</v>
      </c>
      <c r="V58" s="87">
        <v>3</v>
      </c>
      <c r="W58" s="99">
        <v>31</v>
      </c>
      <c r="X58" s="88">
        <v>257</v>
      </c>
      <c r="Y58" s="100">
        <v>0</v>
      </c>
      <c r="Z58" s="89">
        <v>3</v>
      </c>
      <c r="AA58" s="95">
        <v>2</v>
      </c>
      <c r="AB58" s="102">
        <v>101</v>
      </c>
      <c r="AC58" s="96">
        <v>4</v>
      </c>
      <c r="AD58" s="96">
        <v>0</v>
      </c>
      <c r="AE58" s="192">
        <v>1</v>
      </c>
      <c r="AF58" s="192">
        <v>21</v>
      </c>
    </row>
    <row r="59" spans="1:32" x14ac:dyDescent="0.25">
      <c r="A59" s="81">
        <v>40786</v>
      </c>
      <c r="B59" s="82">
        <v>18</v>
      </c>
      <c r="C59" s="78">
        <v>6</v>
      </c>
      <c r="D59" s="78"/>
      <c r="E59" s="78"/>
      <c r="F59" s="78"/>
      <c r="G59" s="92">
        <v>0</v>
      </c>
      <c r="H59" s="83">
        <v>34</v>
      </c>
      <c r="I59" s="78"/>
      <c r="J59" s="78"/>
      <c r="K59" s="78"/>
      <c r="L59" s="78"/>
      <c r="M59" s="78"/>
      <c r="N59" s="106">
        <v>1386</v>
      </c>
      <c r="O59" s="94">
        <v>28</v>
      </c>
      <c r="P59" s="101">
        <v>49</v>
      </c>
      <c r="Q59" s="78"/>
      <c r="R59" s="78"/>
      <c r="S59" s="86">
        <v>0</v>
      </c>
      <c r="T59" s="105">
        <v>12</v>
      </c>
      <c r="U59" s="98">
        <v>14</v>
      </c>
      <c r="V59" s="87">
        <v>130</v>
      </c>
      <c r="W59" s="99">
        <v>34</v>
      </c>
      <c r="X59" s="88">
        <v>170</v>
      </c>
      <c r="Y59" s="100">
        <v>131</v>
      </c>
      <c r="Z59" s="89">
        <v>39</v>
      </c>
      <c r="AA59" s="95">
        <v>2</v>
      </c>
      <c r="AB59" s="102">
        <v>30</v>
      </c>
      <c r="AC59" s="96">
        <v>3</v>
      </c>
      <c r="AD59" s="96">
        <v>3</v>
      </c>
      <c r="AE59" s="192">
        <v>25</v>
      </c>
      <c r="AF59" s="192">
        <v>22</v>
      </c>
    </row>
    <row r="60" spans="1:32" x14ac:dyDescent="0.25">
      <c r="A60" s="81">
        <v>40787</v>
      </c>
      <c r="B60" s="82">
        <v>13</v>
      </c>
      <c r="C60" s="78">
        <v>1</v>
      </c>
      <c r="D60" s="78"/>
      <c r="E60" s="78"/>
      <c r="F60" s="78"/>
      <c r="G60" s="78"/>
      <c r="H60" s="83">
        <v>0</v>
      </c>
      <c r="I60" s="78"/>
      <c r="J60" s="78"/>
      <c r="K60" s="78"/>
      <c r="L60" s="78"/>
      <c r="M60" s="78"/>
      <c r="N60" s="106">
        <v>2283</v>
      </c>
      <c r="O60" s="94">
        <v>12</v>
      </c>
      <c r="P60" s="101">
        <v>32</v>
      </c>
      <c r="Q60" s="78"/>
      <c r="R60" s="78"/>
      <c r="S60" s="78"/>
      <c r="T60" s="105">
        <v>73</v>
      </c>
      <c r="U60" s="98">
        <v>4</v>
      </c>
      <c r="V60" s="87">
        <v>223</v>
      </c>
      <c r="W60" s="99">
        <v>35</v>
      </c>
      <c r="X60" s="88">
        <v>74</v>
      </c>
      <c r="Y60" s="100">
        <v>0</v>
      </c>
      <c r="Z60" s="89">
        <v>3</v>
      </c>
      <c r="AA60" s="95">
        <v>3</v>
      </c>
      <c r="AB60" s="102">
        <v>13</v>
      </c>
      <c r="AC60" s="96">
        <v>303</v>
      </c>
      <c r="AD60" s="96">
        <v>0</v>
      </c>
      <c r="AE60" s="192">
        <v>25</v>
      </c>
      <c r="AF60" s="192">
        <v>813</v>
      </c>
    </row>
    <row r="61" spans="1:32" x14ac:dyDescent="0.25">
      <c r="A61" s="81">
        <v>40788</v>
      </c>
      <c r="B61" s="82">
        <v>117</v>
      </c>
      <c r="C61" s="78">
        <v>3</v>
      </c>
      <c r="D61" s="78"/>
      <c r="E61" s="78"/>
      <c r="F61" s="78"/>
      <c r="G61" s="78"/>
      <c r="H61" s="83">
        <v>20</v>
      </c>
      <c r="I61" s="78"/>
      <c r="J61" s="78"/>
      <c r="K61" s="78"/>
      <c r="L61" s="78"/>
      <c r="M61" s="78"/>
      <c r="N61" s="106">
        <v>357</v>
      </c>
      <c r="O61" s="78"/>
      <c r="P61" s="78"/>
      <c r="Q61" s="78"/>
      <c r="R61" s="78"/>
      <c r="S61" s="78"/>
      <c r="T61" s="78"/>
      <c r="U61" s="98">
        <v>0</v>
      </c>
      <c r="V61" s="87">
        <v>710</v>
      </c>
      <c r="W61" s="99">
        <v>6</v>
      </c>
      <c r="X61" s="88">
        <v>42</v>
      </c>
      <c r="Y61" s="100">
        <v>0</v>
      </c>
      <c r="Z61" s="89">
        <v>4</v>
      </c>
      <c r="AA61" s="95">
        <v>0</v>
      </c>
      <c r="AB61" s="102">
        <v>20</v>
      </c>
      <c r="AC61" s="96">
        <v>187</v>
      </c>
      <c r="AD61" s="96">
        <v>3</v>
      </c>
      <c r="AE61" s="192">
        <v>2</v>
      </c>
      <c r="AF61" s="192">
        <v>57</v>
      </c>
    </row>
    <row r="62" spans="1:32" x14ac:dyDescent="0.25">
      <c r="A62" s="81">
        <v>40789</v>
      </c>
      <c r="B62" s="82">
        <v>67</v>
      </c>
      <c r="C62" s="78">
        <v>1</v>
      </c>
      <c r="D62" s="78"/>
      <c r="E62" s="78"/>
      <c r="F62" s="78"/>
      <c r="G62" s="78"/>
      <c r="H62" s="83">
        <v>1114</v>
      </c>
      <c r="I62" s="78"/>
      <c r="J62" s="78"/>
      <c r="K62" s="78"/>
      <c r="L62" s="78"/>
      <c r="M62" s="78"/>
      <c r="N62" s="106">
        <v>210</v>
      </c>
      <c r="O62" s="78"/>
      <c r="P62" s="78"/>
      <c r="Q62" s="78"/>
      <c r="R62" s="78"/>
      <c r="S62" s="78"/>
      <c r="T62" s="78"/>
      <c r="U62" s="98">
        <v>5</v>
      </c>
      <c r="V62" s="87">
        <v>67</v>
      </c>
      <c r="W62" s="99">
        <v>576</v>
      </c>
      <c r="X62" s="88">
        <v>33</v>
      </c>
      <c r="Y62" s="100">
        <v>0</v>
      </c>
      <c r="Z62" s="89">
        <v>1</v>
      </c>
      <c r="AA62" s="95">
        <v>0</v>
      </c>
      <c r="AB62" s="78">
        <v>5</v>
      </c>
      <c r="AC62" s="96">
        <v>75</v>
      </c>
      <c r="AD62" s="96">
        <v>9</v>
      </c>
      <c r="AE62" s="192">
        <v>3</v>
      </c>
      <c r="AF62" s="192">
        <v>16</v>
      </c>
    </row>
    <row r="63" spans="1:32" x14ac:dyDescent="0.25">
      <c r="A63" s="81">
        <v>40790</v>
      </c>
      <c r="B63" s="82">
        <v>270</v>
      </c>
      <c r="C63" s="78">
        <v>1</v>
      </c>
      <c r="D63" s="78"/>
      <c r="E63" s="78"/>
      <c r="F63" s="78"/>
      <c r="G63" s="78"/>
      <c r="H63" s="83">
        <v>18</v>
      </c>
      <c r="I63" s="78"/>
      <c r="J63" s="78"/>
      <c r="K63" s="78"/>
      <c r="L63" s="78"/>
      <c r="M63" s="78"/>
      <c r="N63" s="106">
        <v>33</v>
      </c>
      <c r="O63" s="78"/>
      <c r="P63" s="78"/>
      <c r="Q63" s="78"/>
      <c r="R63" s="78"/>
      <c r="S63" s="78"/>
      <c r="T63" s="78"/>
      <c r="U63" s="98">
        <v>34</v>
      </c>
      <c r="V63" s="87">
        <v>42</v>
      </c>
      <c r="W63" s="99">
        <v>466</v>
      </c>
      <c r="X63" s="88">
        <v>39</v>
      </c>
      <c r="Y63" s="100">
        <v>0</v>
      </c>
      <c r="Z63" s="89">
        <v>79</v>
      </c>
      <c r="AA63" s="95">
        <v>3</v>
      </c>
      <c r="AB63" s="78">
        <v>53</v>
      </c>
      <c r="AC63" s="96">
        <v>45</v>
      </c>
      <c r="AD63" s="96">
        <v>9</v>
      </c>
      <c r="AE63" s="192">
        <v>29</v>
      </c>
      <c r="AF63" s="192">
        <v>24</v>
      </c>
    </row>
    <row r="64" spans="1:32" x14ac:dyDescent="0.25">
      <c r="A64" s="81">
        <v>40791</v>
      </c>
      <c r="B64" s="82">
        <v>60</v>
      </c>
      <c r="C64" s="78">
        <v>2</v>
      </c>
      <c r="D64" s="78"/>
      <c r="E64" s="78"/>
      <c r="F64" s="78"/>
      <c r="G64" s="78"/>
      <c r="H64" s="91">
        <v>685</v>
      </c>
      <c r="I64" s="78"/>
      <c r="J64" s="78"/>
      <c r="K64" s="78"/>
      <c r="L64" s="78"/>
      <c r="M64" s="78"/>
      <c r="N64" s="106">
        <v>22</v>
      </c>
      <c r="O64" s="78"/>
      <c r="P64" s="78"/>
      <c r="Q64" s="78"/>
      <c r="R64" s="78"/>
      <c r="S64" s="78"/>
      <c r="T64" s="78"/>
      <c r="U64" s="98">
        <v>73</v>
      </c>
      <c r="V64" s="87">
        <v>35</v>
      </c>
      <c r="W64" s="99">
        <v>136</v>
      </c>
      <c r="X64" s="88">
        <v>43</v>
      </c>
      <c r="Y64" s="100">
        <v>0</v>
      </c>
      <c r="Z64" s="89">
        <v>567</v>
      </c>
      <c r="AA64" s="95">
        <v>3</v>
      </c>
      <c r="AB64" s="78">
        <v>36</v>
      </c>
      <c r="AC64" s="96">
        <v>34</v>
      </c>
      <c r="AD64" s="96">
        <v>0</v>
      </c>
      <c r="AE64" s="192">
        <v>15</v>
      </c>
      <c r="AF64" s="192">
        <v>114</v>
      </c>
    </row>
    <row r="65" spans="1:32" x14ac:dyDescent="0.25">
      <c r="A65" s="81">
        <v>40792</v>
      </c>
      <c r="B65" s="82">
        <v>18</v>
      </c>
      <c r="C65" s="78">
        <v>0</v>
      </c>
      <c r="D65" s="78"/>
      <c r="E65" s="78"/>
      <c r="F65" s="78"/>
      <c r="G65" s="78"/>
      <c r="H65" s="78"/>
      <c r="I65" s="78"/>
      <c r="J65" s="78"/>
      <c r="K65" s="78"/>
      <c r="L65" s="78"/>
      <c r="M65" s="78"/>
      <c r="N65" s="106">
        <v>3</v>
      </c>
      <c r="O65" s="78"/>
      <c r="P65" s="78"/>
      <c r="Q65" s="78"/>
      <c r="R65" s="78"/>
      <c r="S65" s="78"/>
      <c r="T65" s="78"/>
      <c r="U65" s="98">
        <v>34</v>
      </c>
      <c r="V65" s="87">
        <v>45</v>
      </c>
      <c r="W65" s="99">
        <v>125</v>
      </c>
      <c r="X65" s="88">
        <v>55</v>
      </c>
      <c r="Y65" s="100">
        <v>0</v>
      </c>
      <c r="Z65" s="89">
        <v>317</v>
      </c>
      <c r="AA65" s="95">
        <v>8</v>
      </c>
      <c r="AB65" s="78">
        <v>23</v>
      </c>
      <c r="AC65" s="96">
        <v>15</v>
      </c>
      <c r="AD65" s="96">
        <v>0</v>
      </c>
      <c r="AE65" s="192">
        <v>1</v>
      </c>
      <c r="AF65" s="192">
        <v>27</v>
      </c>
    </row>
    <row r="66" spans="1:32" x14ac:dyDescent="0.25">
      <c r="A66" s="81">
        <v>40793</v>
      </c>
      <c r="B66" s="82">
        <v>2</v>
      </c>
      <c r="C66" s="78">
        <v>0</v>
      </c>
      <c r="D66" s="78"/>
      <c r="E66" s="78"/>
      <c r="F66" s="78"/>
      <c r="G66" s="78"/>
      <c r="H66" s="78"/>
      <c r="I66" s="78"/>
      <c r="J66" s="78"/>
      <c r="K66" s="78"/>
      <c r="L66" s="78"/>
      <c r="M66" s="78"/>
      <c r="N66" s="106">
        <v>11</v>
      </c>
      <c r="O66" s="78"/>
      <c r="P66" s="78"/>
      <c r="Q66" s="78"/>
      <c r="R66" s="78"/>
      <c r="S66" s="78"/>
      <c r="T66" s="78"/>
      <c r="U66" s="98">
        <v>26</v>
      </c>
      <c r="V66" s="87">
        <v>30</v>
      </c>
      <c r="W66" s="99">
        <v>235</v>
      </c>
      <c r="X66" s="88">
        <v>128</v>
      </c>
      <c r="Y66" s="100">
        <v>2</v>
      </c>
      <c r="Z66" s="89">
        <v>45</v>
      </c>
      <c r="AA66" s="95">
        <v>0</v>
      </c>
      <c r="AB66" s="78">
        <v>0</v>
      </c>
      <c r="AC66" s="96">
        <v>20</v>
      </c>
      <c r="AD66" s="96">
        <v>0</v>
      </c>
      <c r="AE66" s="192">
        <v>2</v>
      </c>
      <c r="AF66" s="192">
        <v>22</v>
      </c>
    </row>
    <row r="67" spans="1:32" x14ac:dyDescent="0.25">
      <c r="A67" s="81">
        <v>40794</v>
      </c>
      <c r="B67" s="82">
        <v>13</v>
      </c>
      <c r="C67" s="78">
        <v>0</v>
      </c>
      <c r="D67" s="78"/>
      <c r="E67" s="78"/>
      <c r="F67" s="78"/>
      <c r="G67" s="78"/>
      <c r="H67" s="78"/>
      <c r="I67" s="78"/>
      <c r="J67" s="78"/>
      <c r="K67" s="78"/>
      <c r="L67" s="78"/>
      <c r="M67" s="78"/>
      <c r="N67" s="106">
        <v>11</v>
      </c>
      <c r="O67" s="78"/>
      <c r="P67" s="78"/>
      <c r="Q67" s="78"/>
      <c r="R67" s="78"/>
      <c r="S67" s="78"/>
      <c r="T67" s="78"/>
      <c r="U67" s="98">
        <v>8</v>
      </c>
      <c r="V67" s="87">
        <v>26</v>
      </c>
      <c r="W67" s="99">
        <v>149</v>
      </c>
      <c r="X67" s="88">
        <v>26</v>
      </c>
      <c r="Y67" s="100">
        <v>4</v>
      </c>
      <c r="Z67" s="89">
        <v>17</v>
      </c>
      <c r="AA67" s="95">
        <v>10</v>
      </c>
      <c r="AB67" s="78">
        <v>36</v>
      </c>
      <c r="AC67" s="96">
        <v>19</v>
      </c>
      <c r="AD67" s="96">
        <v>9</v>
      </c>
      <c r="AE67" s="192">
        <v>13</v>
      </c>
      <c r="AF67" s="192">
        <v>8</v>
      </c>
    </row>
    <row r="68" spans="1:32" x14ac:dyDescent="0.25">
      <c r="A68" s="81">
        <v>40795</v>
      </c>
      <c r="B68" s="82">
        <v>14</v>
      </c>
      <c r="C68" s="78"/>
      <c r="D68" s="78"/>
      <c r="E68" s="78"/>
      <c r="F68" s="78"/>
      <c r="G68" s="78"/>
      <c r="H68" s="78"/>
      <c r="I68" s="78"/>
      <c r="J68" s="78"/>
      <c r="K68" s="78"/>
      <c r="L68" s="78"/>
      <c r="M68" s="78"/>
      <c r="N68" s="106">
        <v>194</v>
      </c>
      <c r="O68" s="78"/>
      <c r="P68" s="78"/>
      <c r="Q68" s="78"/>
      <c r="R68" s="78"/>
      <c r="S68" s="78"/>
      <c r="T68" s="78"/>
      <c r="U68" s="98">
        <v>15</v>
      </c>
      <c r="V68" s="87">
        <v>54</v>
      </c>
      <c r="W68" s="99">
        <v>76</v>
      </c>
      <c r="X68" s="88">
        <v>31</v>
      </c>
      <c r="Y68" s="100">
        <v>6</v>
      </c>
      <c r="Z68" s="89">
        <v>18</v>
      </c>
      <c r="AA68" s="95">
        <v>0</v>
      </c>
      <c r="AB68" s="78">
        <v>5</v>
      </c>
      <c r="AC68" s="96">
        <v>2</v>
      </c>
      <c r="AD68" s="96">
        <v>8</v>
      </c>
      <c r="AE68" s="192">
        <v>106</v>
      </c>
      <c r="AF68" s="192">
        <v>28</v>
      </c>
    </row>
    <row r="69" spans="1:32" x14ac:dyDescent="0.25">
      <c r="A69" s="81">
        <v>40796</v>
      </c>
      <c r="B69" s="82">
        <v>6</v>
      </c>
      <c r="C69" s="78"/>
      <c r="D69" s="78"/>
      <c r="E69" s="78"/>
      <c r="F69" s="78"/>
      <c r="G69" s="78"/>
      <c r="H69" s="78"/>
      <c r="I69" s="78"/>
      <c r="J69" s="78"/>
      <c r="K69" s="78"/>
      <c r="L69" s="78"/>
      <c r="M69" s="78"/>
      <c r="N69" s="106">
        <v>1185</v>
      </c>
      <c r="O69" s="78"/>
      <c r="P69" s="78"/>
      <c r="Q69" s="78"/>
      <c r="R69" s="78"/>
      <c r="S69" s="78"/>
      <c r="T69" s="78"/>
      <c r="U69" s="98">
        <v>7</v>
      </c>
      <c r="V69" s="87">
        <v>78</v>
      </c>
      <c r="W69" s="99">
        <v>28</v>
      </c>
      <c r="X69" s="88">
        <v>20</v>
      </c>
      <c r="Y69" s="100">
        <v>1</v>
      </c>
      <c r="Z69" s="89">
        <v>3</v>
      </c>
      <c r="AA69" s="95">
        <v>1</v>
      </c>
      <c r="AB69" s="78">
        <v>0</v>
      </c>
      <c r="AC69" s="96">
        <v>21</v>
      </c>
      <c r="AD69" s="96">
        <v>0</v>
      </c>
      <c r="AE69" s="192">
        <v>5</v>
      </c>
      <c r="AF69" s="192">
        <v>20</v>
      </c>
    </row>
    <row r="70" spans="1:32" x14ac:dyDescent="0.25">
      <c r="A70" s="81">
        <v>40797</v>
      </c>
      <c r="B70" s="82">
        <v>5</v>
      </c>
      <c r="C70" s="78"/>
      <c r="D70" s="78"/>
      <c r="E70" s="78"/>
      <c r="F70" s="78"/>
      <c r="G70" s="78"/>
      <c r="H70" s="78"/>
      <c r="I70" s="78"/>
      <c r="J70" s="78"/>
      <c r="K70" s="78"/>
      <c r="L70" s="78"/>
      <c r="M70" s="78"/>
      <c r="N70" s="106">
        <v>98</v>
      </c>
      <c r="O70" s="78"/>
      <c r="P70" s="78"/>
      <c r="Q70" s="78"/>
      <c r="R70" s="78"/>
      <c r="S70" s="78"/>
      <c r="T70" s="78"/>
      <c r="U70" s="98">
        <v>58</v>
      </c>
      <c r="V70" s="87">
        <v>12</v>
      </c>
      <c r="W70" s="99">
        <v>26</v>
      </c>
      <c r="X70" s="88">
        <v>41</v>
      </c>
      <c r="Y70" s="100">
        <v>2</v>
      </c>
      <c r="Z70" s="89">
        <v>0</v>
      </c>
      <c r="AA70" s="95">
        <v>47</v>
      </c>
      <c r="AB70" s="78">
        <v>65</v>
      </c>
      <c r="AC70" s="96">
        <v>13</v>
      </c>
      <c r="AD70" s="96">
        <v>0</v>
      </c>
      <c r="AE70" s="192">
        <v>12</v>
      </c>
      <c r="AF70" s="192">
        <v>16</v>
      </c>
    </row>
    <row r="71" spans="1:32" x14ac:dyDescent="0.25">
      <c r="A71" s="81">
        <v>40798</v>
      </c>
      <c r="B71" s="82">
        <v>22</v>
      </c>
      <c r="C71" s="78"/>
      <c r="D71" s="78"/>
      <c r="E71" s="78"/>
      <c r="F71" s="78"/>
      <c r="G71" s="78"/>
      <c r="H71" s="78"/>
      <c r="I71" s="78"/>
      <c r="J71" s="78"/>
      <c r="K71" s="78"/>
      <c r="L71" s="78"/>
      <c r="M71" s="78"/>
      <c r="N71" s="106">
        <v>11</v>
      </c>
      <c r="O71" s="78"/>
      <c r="P71" s="78"/>
      <c r="Q71" s="78"/>
      <c r="R71" s="78"/>
      <c r="S71" s="78"/>
      <c r="T71" s="78"/>
      <c r="U71" s="98">
        <v>210</v>
      </c>
      <c r="V71" s="87">
        <v>18</v>
      </c>
      <c r="W71" s="99">
        <v>80</v>
      </c>
      <c r="X71" s="88">
        <v>70</v>
      </c>
      <c r="Y71" s="100">
        <v>0</v>
      </c>
      <c r="Z71" s="89">
        <v>0</v>
      </c>
      <c r="AA71" s="95">
        <v>67</v>
      </c>
      <c r="AB71" s="78">
        <v>34</v>
      </c>
      <c r="AC71" s="96">
        <v>1</v>
      </c>
      <c r="AD71" s="96">
        <v>0</v>
      </c>
      <c r="AE71" s="192">
        <v>22</v>
      </c>
      <c r="AF71" s="192">
        <v>5</v>
      </c>
    </row>
    <row r="72" spans="1:32" x14ac:dyDescent="0.25">
      <c r="A72" s="81">
        <v>40799</v>
      </c>
      <c r="B72" s="82">
        <v>20</v>
      </c>
      <c r="C72" s="78"/>
      <c r="D72" s="78"/>
      <c r="E72" s="78"/>
      <c r="F72" s="78"/>
      <c r="G72" s="78"/>
      <c r="H72" s="78"/>
      <c r="I72" s="78"/>
      <c r="J72" s="78"/>
      <c r="K72" s="78"/>
      <c r="L72" s="78"/>
      <c r="M72" s="78"/>
      <c r="N72" s="78"/>
      <c r="O72" s="78"/>
      <c r="P72" s="78"/>
      <c r="Q72" s="78"/>
      <c r="R72" s="78"/>
      <c r="S72" s="78"/>
      <c r="T72" s="78"/>
      <c r="U72" s="98">
        <v>86</v>
      </c>
      <c r="V72" s="87">
        <v>67</v>
      </c>
      <c r="W72" s="99">
        <v>58</v>
      </c>
      <c r="X72" s="88">
        <v>47</v>
      </c>
      <c r="Y72" s="100">
        <v>0</v>
      </c>
      <c r="Z72" s="89">
        <v>0</v>
      </c>
      <c r="AA72" s="95">
        <v>2</v>
      </c>
      <c r="AB72" s="78">
        <v>19</v>
      </c>
      <c r="AC72" s="96">
        <v>9</v>
      </c>
      <c r="AD72" s="96">
        <v>0</v>
      </c>
      <c r="AE72" s="192">
        <v>1</v>
      </c>
      <c r="AF72" s="192">
        <v>16</v>
      </c>
    </row>
    <row r="73" spans="1:32" x14ac:dyDescent="0.25">
      <c r="A73" s="81">
        <v>40800</v>
      </c>
      <c r="B73" s="82">
        <v>70</v>
      </c>
      <c r="C73" s="78"/>
      <c r="D73" s="78"/>
      <c r="E73" s="78"/>
      <c r="F73" s="78"/>
      <c r="G73" s="78"/>
      <c r="H73" s="78"/>
      <c r="I73" s="78"/>
      <c r="J73" s="78"/>
      <c r="K73" s="78"/>
      <c r="L73" s="78"/>
      <c r="M73" s="78"/>
      <c r="N73" s="78"/>
      <c r="O73" s="78"/>
      <c r="P73" s="78"/>
      <c r="Q73" s="78"/>
      <c r="R73" s="78"/>
      <c r="S73" s="78"/>
      <c r="T73" s="78"/>
      <c r="U73" s="98">
        <v>51</v>
      </c>
      <c r="V73" s="87">
        <v>159</v>
      </c>
      <c r="W73" s="99">
        <v>80</v>
      </c>
      <c r="X73" s="88">
        <v>51</v>
      </c>
      <c r="Y73" s="100">
        <v>4</v>
      </c>
      <c r="Z73" s="89">
        <v>0</v>
      </c>
      <c r="AA73" s="95">
        <v>0</v>
      </c>
      <c r="AB73" s="78">
        <v>20</v>
      </c>
      <c r="AC73" s="96">
        <v>6</v>
      </c>
      <c r="AD73" s="96">
        <v>0</v>
      </c>
      <c r="AE73" s="192">
        <v>0</v>
      </c>
      <c r="AF73" s="192">
        <v>4</v>
      </c>
    </row>
    <row r="74" spans="1:32" x14ac:dyDescent="0.25">
      <c r="A74" s="81">
        <v>40801</v>
      </c>
      <c r="B74" s="82">
        <v>120</v>
      </c>
      <c r="C74" s="78"/>
      <c r="D74" s="78"/>
      <c r="E74" s="78"/>
      <c r="F74" s="78"/>
      <c r="G74" s="78"/>
      <c r="H74" s="78"/>
      <c r="I74" s="78"/>
      <c r="J74" s="78"/>
      <c r="K74" s="78"/>
      <c r="L74" s="78"/>
      <c r="M74" s="78"/>
      <c r="N74" s="78"/>
      <c r="O74" s="78"/>
      <c r="P74" s="78"/>
      <c r="Q74" s="78"/>
      <c r="R74" s="78"/>
      <c r="S74" s="78"/>
      <c r="T74" s="78"/>
      <c r="U74" s="98">
        <v>2</v>
      </c>
      <c r="V74" s="87">
        <v>31</v>
      </c>
      <c r="W74" s="99">
        <v>170</v>
      </c>
      <c r="X74" s="88">
        <v>19</v>
      </c>
      <c r="Y74" s="100">
        <v>2</v>
      </c>
      <c r="Z74" s="89">
        <v>0</v>
      </c>
      <c r="AA74" s="95">
        <v>21</v>
      </c>
      <c r="AB74" s="78">
        <v>17</v>
      </c>
      <c r="AC74" s="96">
        <v>7</v>
      </c>
      <c r="AD74" s="96">
        <v>0</v>
      </c>
      <c r="AE74" s="192">
        <v>0</v>
      </c>
      <c r="AF74" s="192">
        <v>2</v>
      </c>
    </row>
    <row r="75" spans="1:32" x14ac:dyDescent="0.25">
      <c r="A75" s="81">
        <v>40802</v>
      </c>
      <c r="B75" s="82">
        <v>27</v>
      </c>
      <c r="C75" s="78"/>
      <c r="D75" s="78"/>
      <c r="E75" s="78"/>
      <c r="F75" s="78"/>
      <c r="G75" s="78"/>
      <c r="H75" s="78"/>
      <c r="I75" s="78"/>
      <c r="J75" s="78"/>
      <c r="K75" s="78"/>
      <c r="L75" s="78"/>
      <c r="M75" s="78"/>
      <c r="N75" s="78"/>
      <c r="O75" s="78"/>
      <c r="P75" s="78"/>
      <c r="Q75" s="78"/>
      <c r="R75" s="78"/>
      <c r="S75" s="78"/>
      <c r="T75" s="78"/>
      <c r="U75" s="98">
        <v>0</v>
      </c>
      <c r="V75" s="87">
        <v>4</v>
      </c>
      <c r="W75" s="99">
        <v>54</v>
      </c>
      <c r="X75" s="88">
        <v>6</v>
      </c>
      <c r="Y75" s="107">
        <v>0</v>
      </c>
      <c r="Z75" s="89">
        <v>0</v>
      </c>
      <c r="AA75" s="95">
        <v>2</v>
      </c>
      <c r="AB75" s="78">
        <v>2</v>
      </c>
      <c r="AC75" s="96">
        <v>6</v>
      </c>
      <c r="AD75" s="96">
        <v>0</v>
      </c>
      <c r="AE75" s="192">
        <v>2</v>
      </c>
      <c r="AF75" s="192">
        <v>5</v>
      </c>
    </row>
    <row r="76" spans="1:32" x14ac:dyDescent="0.25">
      <c r="A76" s="81">
        <v>40803</v>
      </c>
      <c r="B76" s="82">
        <v>36</v>
      </c>
      <c r="C76" s="78"/>
      <c r="D76" s="78"/>
      <c r="E76" s="78"/>
      <c r="F76" s="78"/>
      <c r="G76" s="78"/>
      <c r="H76" s="78"/>
      <c r="I76" s="78"/>
      <c r="J76" s="78"/>
      <c r="K76" s="78"/>
      <c r="L76" s="78"/>
      <c r="M76" s="78"/>
      <c r="N76" s="78"/>
      <c r="O76" s="78"/>
      <c r="P76" s="78"/>
      <c r="Q76" s="78"/>
      <c r="R76" s="78"/>
      <c r="S76" s="78"/>
      <c r="T76" s="78"/>
      <c r="U76" s="98">
        <v>18</v>
      </c>
      <c r="V76" s="87">
        <v>2</v>
      </c>
      <c r="W76" s="99">
        <v>24</v>
      </c>
      <c r="X76" s="88">
        <v>9</v>
      </c>
      <c r="Y76" s="78"/>
      <c r="Z76" s="89">
        <v>0</v>
      </c>
      <c r="AA76" s="95">
        <v>5</v>
      </c>
      <c r="AB76" s="78">
        <v>4</v>
      </c>
      <c r="AC76" s="96">
        <v>3</v>
      </c>
      <c r="AD76" s="96">
        <v>0</v>
      </c>
      <c r="AE76" s="192">
        <v>1</v>
      </c>
      <c r="AF76" s="192">
        <v>0</v>
      </c>
    </row>
    <row r="77" spans="1:32" x14ac:dyDescent="0.25">
      <c r="A77" s="81">
        <v>40804</v>
      </c>
      <c r="B77" s="82">
        <v>6</v>
      </c>
      <c r="C77" s="78"/>
      <c r="D77" s="78"/>
      <c r="E77" s="78"/>
      <c r="F77" s="78"/>
      <c r="G77" s="78"/>
      <c r="H77" s="78"/>
      <c r="I77" s="78"/>
      <c r="J77" s="78"/>
      <c r="K77" s="78"/>
      <c r="L77" s="78"/>
      <c r="M77" s="78"/>
      <c r="N77" s="78"/>
      <c r="O77" s="78"/>
      <c r="P77" s="78"/>
      <c r="Q77" s="78"/>
      <c r="R77" s="78"/>
      <c r="S77" s="78"/>
      <c r="T77" s="78"/>
      <c r="U77" s="98">
        <v>220</v>
      </c>
      <c r="V77" s="87">
        <v>0</v>
      </c>
      <c r="W77" s="99">
        <v>30</v>
      </c>
      <c r="X77" s="88">
        <v>10</v>
      </c>
      <c r="Y77" s="78"/>
      <c r="Z77" s="89">
        <v>3</v>
      </c>
      <c r="AA77" s="95">
        <v>0</v>
      </c>
      <c r="AB77" s="78">
        <v>3</v>
      </c>
      <c r="AC77" s="96">
        <v>5</v>
      </c>
      <c r="AD77" s="96">
        <v>0</v>
      </c>
      <c r="AE77" s="192">
        <v>0</v>
      </c>
      <c r="AF77" s="192">
        <v>8</v>
      </c>
    </row>
    <row r="78" spans="1:32" x14ac:dyDescent="0.25">
      <c r="A78" s="81">
        <v>40805</v>
      </c>
      <c r="B78" s="82">
        <v>7</v>
      </c>
      <c r="C78" s="78"/>
      <c r="D78" s="78"/>
      <c r="E78" s="78"/>
      <c r="F78" s="78"/>
      <c r="G78" s="78"/>
      <c r="H78" s="78"/>
      <c r="I78" s="78"/>
      <c r="J78" s="78"/>
      <c r="K78" s="78"/>
      <c r="L78" s="78"/>
      <c r="M78" s="78"/>
      <c r="N78" s="78"/>
      <c r="O78" s="78"/>
      <c r="P78" s="78"/>
      <c r="Q78" s="78"/>
      <c r="R78" s="78"/>
      <c r="S78" s="78"/>
      <c r="T78" s="78"/>
      <c r="U78" s="98">
        <v>26</v>
      </c>
      <c r="V78" s="87"/>
      <c r="W78" s="99">
        <v>9</v>
      </c>
      <c r="X78" s="88">
        <v>7</v>
      </c>
      <c r="Y78" s="78"/>
      <c r="Z78" s="89">
        <v>0</v>
      </c>
      <c r="AA78" s="95">
        <v>15</v>
      </c>
      <c r="AB78" s="78">
        <v>28</v>
      </c>
      <c r="AC78" s="96">
        <v>0</v>
      </c>
      <c r="AD78" s="96">
        <v>0</v>
      </c>
      <c r="AE78" s="192">
        <v>1</v>
      </c>
      <c r="AF78" s="192">
        <v>7</v>
      </c>
    </row>
    <row r="79" spans="1:32" x14ac:dyDescent="0.25">
      <c r="A79" s="81">
        <v>40806</v>
      </c>
      <c r="B79" s="82">
        <v>161</v>
      </c>
      <c r="C79" s="78"/>
      <c r="D79" s="78"/>
      <c r="E79" s="78"/>
      <c r="F79" s="78"/>
      <c r="G79" s="78"/>
      <c r="H79" s="78"/>
      <c r="I79" s="78"/>
      <c r="J79" s="78"/>
      <c r="K79" s="78"/>
      <c r="L79" s="78"/>
      <c r="M79" s="78"/>
      <c r="N79" s="78"/>
      <c r="O79" s="78"/>
      <c r="P79" s="78"/>
      <c r="Q79" s="78"/>
      <c r="R79" s="78"/>
      <c r="S79" s="78"/>
      <c r="T79" s="78"/>
      <c r="U79" s="98">
        <v>55</v>
      </c>
      <c r="V79" s="78"/>
      <c r="W79" s="99"/>
      <c r="X79" s="88">
        <v>11</v>
      </c>
      <c r="Y79" s="78"/>
      <c r="Z79" s="89">
        <v>0</v>
      </c>
      <c r="AA79" s="95">
        <v>4</v>
      </c>
      <c r="AB79" s="78">
        <v>32</v>
      </c>
      <c r="AC79" s="78"/>
      <c r="AD79" s="78">
        <v>0</v>
      </c>
      <c r="AE79" s="192">
        <v>0</v>
      </c>
      <c r="AF79" s="192">
        <v>15</v>
      </c>
    </row>
    <row r="80" spans="1:32" x14ac:dyDescent="0.25">
      <c r="A80" s="81">
        <v>40807</v>
      </c>
      <c r="B80" s="82">
        <v>235</v>
      </c>
      <c r="C80" s="78"/>
      <c r="D80" s="78"/>
      <c r="E80" s="78"/>
      <c r="F80" s="78"/>
      <c r="G80" s="78"/>
      <c r="H80" s="78"/>
      <c r="I80" s="78"/>
      <c r="J80" s="78"/>
      <c r="K80" s="78"/>
      <c r="L80" s="78"/>
      <c r="M80" s="78"/>
      <c r="N80" s="78"/>
      <c r="O80" s="78"/>
      <c r="P80" s="78"/>
      <c r="Q80" s="78"/>
      <c r="R80" s="78"/>
      <c r="S80" s="78"/>
      <c r="T80" s="78"/>
      <c r="U80" s="91"/>
      <c r="V80" s="78"/>
      <c r="W80" s="78"/>
      <c r="X80" s="88"/>
      <c r="Y80" s="78"/>
      <c r="Z80" s="89">
        <v>0</v>
      </c>
      <c r="AA80" s="95"/>
      <c r="AB80" s="78"/>
      <c r="AC80" s="78"/>
      <c r="AD80" s="78"/>
      <c r="AF80" s="192">
        <v>0</v>
      </c>
    </row>
    <row r="81" spans="1:32" x14ac:dyDescent="0.25">
      <c r="A81" s="81" t="s">
        <v>60</v>
      </c>
      <c r="B81" s="82">
        <v>182</v>
      </c>
      <c r="C81" s="78"/>
      <c r="D81" s="78"/>
      <c r="E81" s="78"/>
      <c r="F81" s="78"/>
      <c r="G81" s="78"/>
      <c r="H81" s="78"/>
      <c r="I81" s="78"/>
      <c r="J81" s="78"/>
      <c r="K81" s="78"/>
      <c r="L81" s="78"/>
      <c r="M81" s="78"/>
      <c r="N81" s="78"/>
      <c r="O81" s="78"/>
      <c r="P81" s="78"/>
      <c r="Q81" s="78"/>
      <c r="R81" s="78"/>
      <c r="S81" s="78"/>
      <c r="T81" s="78"/>
      <c r="U81" s="98"/>
      <c r="V81" s="78"/>
      <c r="W81" s="78"/>
      <c r="X81" s="78"/>
      <c r="Y81" s="78"/>
      <c r="Z81" s="78"/>
      <c r="AA81" s="78"/>
      <c r="AB81" s="78"/>
      <c r="AC81" s="78"/>
      <c r="AD81" s="78"/>
      <c r="AF81" s="202">
        <v>0</v>
      </c>
    </row>
    <row r="82" spans="1:32" x14ac:dyDescent="0.25">
      <c r="X82" s="111"/>
      <c r="Y82" s="111"/>
      <c r="Z82" s="111"/>
      <c r="AA82" s="111"/>
      <c r="AB82" s="111"/>
      <c r="AC82" s="111"/>
      <c r="AD82" s="111"/>
    </row>
    <row r="83" spans="1:32" s="190" customFormat="1" x14ac:dyDescent="0.25">
      <c r="A83" s="190" t="s">
        <v>108</v>
      </c>
    </row>
    <row r="84" spans="1:32" x14ac:dyDescent="0.25">
      <c r="A84" s="81" t="s">
        <v>59</v>
      </c>
      <c r="B84" s="192">
        <f>B8</f>
        <v>17</v>
      </c>
    </row>
    <row r="85" spans="1:32" x14ac:dyDescent="0.25">
      <c r="A85" s="81">
        <v>40736</v>
      </c>
      <c r="B85" s="192">
        <f>B9+B84</f>
        <v>17</v>
      </c>
      <c r="C85" s="192">
        <f t="shared" ref="C85:AD94" si="1">C9+C84</f>
        <v>0</v>
      </c>
      <c r="D85" s="192">
        <f t="shared" si="1"/>
        <v>0</v>
      </c>
      <c r="E85" s="192">
        <f t="shared" si="1"/>
        <v>0</v>
      </c>
      <c r="F85" s="192">
        <f t="shared" si="1"/>
        <v>0</v>
      </c>
      <c r="G85" s="192">
        <f t="shared" si="1"/>
        <v>0</v>
      </c>
      <c r="H85" s="192">
        <f t="shared" si="1"/>
        <v>0</v>
      </c>
      <c r="I85" s="192">
        <f t="shared" si="1"/>
        <v>0</v>
      </c>
      <c r="J85" s="192">
        <f t="shared" si="1"/>
        <v>0</v>
      </c>
      <c r="K85" s="192">
        <f t="shared" si="1"/>
        <v>0</v>
      </c>
      <c r="L85" s="192">
        <f t="shared" si="1"/>
        <v>0</v>
      </c>
      <c r="M85" s="192">
        <f t="shared" si="1"/>
        <v>0</v>
      </c>
      <c r="N85" s="192">
        <f t="shared" si="1"/>
        <v>0</v>
      </c>
      <c r="O85" s="192">
        <f t="shared" si="1"/>
        <v>0</v>
      </c>
      <c r="P85" s="192">
        <f t="shared" si="1"/>
        <v>0</v>
      </c>
      <c r="Q85" s="192">
        <f t="shared" si="1"/>
        <v>0</v>
      </c>
      <c r="R85" s="192">
        <f t="shared" si="1"/>
        <v>0</v>
      </c>
      <c r="S85" s="192">
        <f t="shared" si="1"/>
        <v>0</v>
      </c>
      <c r="T85" s="192">
        <f t="shared" si="1"/>
        <v>0</v>
      </c>
      <c r="U85" s="192">
        <f t="shared" si="1"/>
        <v>0</v>
      </c>
      <c r="V85" s="192">
        <f t="shared" si="1"/>
        <v>0</v>
      </c>
      <c r="W85" s="192">
        <f t="shared" si="1"/>
        <v>0</v>
      </c>
      <c r="X85" s="192">
        <f t="shared" si="1"/>
        <v>0</v>
      </c>
      <c r="Y85" s="192">
        <f t="shared" si="1"/>
        <v>0</v>
      </c>
      <c r="Z85" s="192">
        <f t="shared" si="1"/>
        <v>0</v>
      </c>
      <c r="AA85" s="192">
        <f t="shared" si="1"/>
        <v>0</v>
      </c>
      <c r="AB85" s="192">
        <f t="shared" si="1"/>
        <v>0</v>
      </c>
      <c r="AC85" s="192">
        <f t="shared" si="1"/>
        <v>0</v>
      </c>
      <c r="AD85" s="192">
        <f t="shared" si="1"/>
        <v>0</v>
      </c>
      <c r="AE85" s="192">
        <f t="shared" ref="AE85:AF93" si="2">AE9+AE84</f>
        <v>0</v>
      </c>
      <c r="AF85" s="192">
        <f t="shared" si="2"/>
        <v>0</v>
      </c>
    </row>
    <row r="86" spans="1:32" x14ac:dyDescent="0.25">
      <c r="A86" s="81">
        <v>40737</v>
      </c>
      <c r="B86" s="192">
        <f t="shared" ref="B86:B149" si="3">B10+B85</f>
        <v>19</v>
      </c>
      <c r="C86" s="192">
        <f t="shared" si="1"/>
        <v>0</v>
      </c>
      <c r="D86" s="192">
        <f t="shared" si="1"/>
        <v>0</v>
      </c>
      <c r="E86" s="192">
        <f t="shared" si="1"/>
        <v>0</v>
      </c>
      <c r="F86" s="192">
        <f t="shared" si="1"/>
        <v>0</v>
      </c>
      <c r="G86" s="192">
        <f t="shared" si="1"/>
        <v>0</v>
      </c>
      <c r="H86" s="192">
        <f t="shared" si="1"/>
        <v>0</v>
      </c>
      <c r="I86" s="192">
        <f t="shared" si="1"/>
        <v>0</v>
      </c>
      <c r="J86" s="192">
        <f t="shared" si="1"/>
        <v>0</v>
      </c>
      <c r="K86" s="192">
        <f t="shared" si="1"/>
        <v>0</v>
      </c>
      <c r="L86" s="192">
        <f t="shared" si="1"/>
        <v>0</v>
      </c>
      <c r="M86" s="192">
        <f t="shared" si="1"/>
        <v>0</v>
      </c>
      <c r="N86" s="192">
        <f t="shared" si="1"/>
        <v>0</v>
      </c>
      <c r="O86" s="192">
        <f t="shared" si="1"/>
        <v>0</v>
      </c>
      <c r="P86" s="192">
        <f t="shared" si="1"/>
        <v>0</v>
      </c>
      <c r="Q86" s="192">
        <f t="shared" si="1"/>
        <v>0</v>
      </c>
      <c r="R86" s="192">
        <f t="shared" si="1"/>
        <v>0</v>
      </c>
      <c r="S86" s="192">
        <f t="shared" si="1"/>
        <v>0</v>
      </c>
      <c r="T86" s="192">
        <f t="shared" si="1"/>
        <v>0</v>
      </c>
      <c r="U86" s="192">
        <f t="shared" si="1"/>
        <v>0</v>
      </c>
      <c r="V86" s="192">
        <f t="shared" si="1"/>
        <v>0</v>
      </c>
      <c r="W86" s="192">
        <f t="shared" si="1"/>
        <v>0</v>
      </c>
      <c r="X86" s="192">
        <f t="shared" si="1"/>
        <v>0</v>
      </c>
      <c r="Y86" s="192">
        <f t="shared" si="1"/>
        <v>0</v>
      </c>
      <c r="Z86" s="192">
        <f t="shared" si="1"/>
        <v>0</v>
      </c>
      <c r="AA86" s="192">
        <f t="shared" si="1"/>
        <v>0</v>
      </c>
      <c r="AB86" s="192">
        <f t="shared" si="1"/>
        <v>0</v>
      </c>
      <c r="AC86" s="192">
        <f t="shared" si="1"/>
        <v>0</v>
      </c>
      <c r="AD86" s="192">
        <f t="shared" si="1"/>
        <v>0</v>
      </c>
      <c r="AE86" s="192">
        <f t="shared" si="2"/>
        <v>0</v>
      </c>
      <c r="AF86" s="192">
        <f t="shared" si="2"/>
        <v>0</v>
      </c>
    </row>
    <row r="87" spans="1:32" x14ac:dyDescent="0.25">
      <c r="A87" s="81">
        <v>40738</v>
      </c>
      <c r="B87" s="192">
        <f t="shared" si="3"/>
        <v>20</v>
      </c>
      <c r="C87" s="192">
        <f t="shared" si="1"/>
        <v>0</v>
      </c>
      <c r="D87" s="192">
        <f t="shared" si="1"/>
        <v>0</v>
      </c>
      <c r="E87" s="192">
        <f t="shared" si="1"/>
        <v>0</v>
      </c>
      <c r="F87" s="192">
        <f t="shared" si="1"/>
        <v>0</v>
      </c>
      <c r="G87" s="192">
        <f t="shared" si="1"/>
        <v>0</v>
      </c>
      <c r="H87" s="192">
        <f t="shared" si="1"/>
        <v>0</v>
      </c>
      <c r="I87" s="192">
        <f t="shared" si="1"/>
        <v>0</v>
      </c>
      <c r="J87" s="192">
        <f t="shared" si="1"/>
        <v>0</v>
      </c>
      <c r="K87" s="192">
        <f t="shared" si="1"/>
        <v>0</v>
      </c>
      <c r="L87" s="192">
        <f t="shared" si="1"/>
        <v>0</v>
      </c>
      <c r="M87" s="192">
        <f t="shared" si="1"/>
        <v>0</v>
      </c>
      <c r="N87" s="192">
        <f t="shared" si="1"/>
        <v>0</v>
      </c>
      <c r="O87" s="192">
        <f t="shared" si="1"/>
        <v>0</v>
      </c>
      <c r="P87" s="192">
        <f t="shared" si="1"/>
        <v>0</v>
      </c>
      <c r="Q87" s="192">
        <f t="shared" si="1"/>
        <v>0</v>
      </c>
      <c r="R87" s="192">
        <f t="shared" si="1"/>
        <v>0</v>
      </c>
      <c r="S87" s="192">
        <f t="shared" si="1"/>
        <v>0</v>
      </c>
      <c r="T87" s="192">
        <f t="shared" si="1"/>
        <v>0</v>
      </c>
      <c r="U87" s="192">
        <f t="shared" si="1"/>
        <v>0</v>
      </c>
      <c r="V87" s="192">
        <f t="shared" si="1"/>
        <v>0</v>
      </c>
      <c r="W87" s="192">
        <f t="shared" si="1"/>
        <v>0</v>
      </c>
      <c r="X87" s="192">
        <f t="shared" si="1"/>
        <v>0</v>
      </c>
      <c r="Y87" s="192">
        <f t="shared" si="1"/>
        <v>0</v>
      </c>
      <c r="Z87" s="192">
        <f t="shared" si="1"/>
        <v>0</v>
      </c>
      <c r="AA87" s="192">
        <f t="shared" si="1"/>
        <v>0</v>
      </c>
      <c r="AB87" s="192">
        <f t="shared" si="1"/>
        <v>0</v>
      </c>
      <c r="AC87" s="192">
        <f t="shared" si="1"/>
        <v>0</v>
      </c>
      <c r="AD87" s="192">
        <f t="shared" si="1"/>
        <v>0</v>
      </c>
      <c r="AE87" s="192">
        <f t="shared" si="2"/>
        <v>0</v>
      </c>
      <c r="AF87" s="192">
        <f t="shared" si="2"/>
        <v>0</v>
      </c>
    </row>
    <row r="88" spans="1:32" x14ac:dyDescent="0.25">
      <c r="A88" s="81">
        <v>40739</v>
      </c>
      <c r="B88" s="192">
        <f t="shared" si="3"/>
        <v>24</v>
      </c>
      <c r="C88" s="192">
        <f t="shared" si="1"/>
        <v>0</v>
      </c>
      <c r="D88" s="192">
        <f t="shared" si="1"/>
        <v>0</v>
      </c>
      <c r="E88" s="192">
        <f t="shared" si="1"/>
        <v>0</v>
      </c>
      <c r="F88" s="192">
        <f t="shared" si="1"/>
        <v>0</v>
      </c>
      <c r="G88" s="192">
        <f t="shared" si="1"/>
        <v>0</v>
      </c>
      <c r="H88" s="192">
        <f t="shared" si="1"/>
        <v>0</v>
      </c>
      <c r="I88" s="192">
        <f t="shared" si="1"/>
        <v>3</v>
      </c>
      <c r="J88" s="192">
        <f t="shared" si="1"/>
        <v>1</v>
      </c>
      <c r="K88" s="192">
        <f t="shared" si="1"/>
        <v>0</v>
      </c>
      <c r="L88" s="192">
        <f t="shared" si="1"/>
        <v>0</v>
      </c>
      <c r="M88" s="192">
        <f t="shared" si="1"/>
        <v>0</v>
      </c>
      <c r="N88" s="192">
        <f t="shared" si="1"/>
        <v>0</v>
      </c>
      <c r="O88" s="192">
        <f t="shared" si="1"/>
        <v>15</v>
      </c>
      <c r="P88" s="192">
        <f t="shared" si="1"/>
        <v>0</v>
      </c>
      <c r="Q88" s="192">
        <f t="shared" si="1"/>
        <v>0</v>
      </c>
      <c r="R88" s="192">
        <f t="shared" si="1"/>
        <v>0</v>
      </c>
      <c r="S88" s="192">
        <f t="shared" si="1"/>
        <v>0</v>
      </c>
      <c r="T88" s="192">
        <f t="shared" si="1"/>
        <v>0</v>
      </c>
      <c r="U88" s="192">
        <f t="shared" si="1"/>
        <v>0</v>
      </c>
      <c r="V88" s="192">
        <f t="shared" si="1"/>
        <v>0</v>
      </c>
      <c r="W88" s="192">
        <f t="shared" si="1"/>
        <v>0</v>
      </c>
      <c r="X88" s="192">
        <f t="shared" si="1"/>
        <v>0</v>
      </c>
      <c r="Y88" s="192">
        <f t="shared" si="1"/>
        <v>0</v>
      </c>
      <c r="Z88" s="192">
        <f t="shared" si="1"/>
        <v>0</v>
      </c>
      <c r="AA88" s="192">
        <f t="shared" si="1"/>
        <v>0</v>
      </c>
      <c r="AB88" s="192">
        <f t="shared" si="1"/>
        <v>0</v>
      </c>
      <c r="AC88" s="192">
        <f t="shared" si="1"/>
        <v>0</v>
      </c>
      <c r="AD88" s="192">
        <f t="shared" si="1"/>
        <v>0</v>
      </c>
      <c r="AE88" s="192">
        <f t="shared" si="2"/>
        <v>0</v>
      </c>
      <c r="AF88" s="192">
        <f t="shared" si="2"/>
        <v>0</v>
      </c>
    </row>
    <row r="89" spans="1:32" x14ac:dyDescent="0.25">
      <c r="A89" s="81">
        <v>40740</v>
      </c>
      <c r="B89" s="192">
        <f t="shared" si="3"/>
        <v>27</v>
      </c>
      <c r="C89" s="192">
        <f t="shared" si="1"/>
        <v>0</v>
      </c>
      <c r="D89" s="192">
        <f t="shared" si="1"/>
        <v>0</v>
      </c>
      <c r="E89" s="192">
        <f t="shared" si="1"/>
        <v>0</v>
      </c>
      <c r="F89" s="192">
        <f t="shared" si="1"/>
        <v>0</v>
      </c>
      <c r="G89" s="192">
        <f t="shared" si="1"/>
        <v>0</v>
      </c>
      <c r="H89" s="192">
        <f t="shared" si="1"/>
        <v>0</v>
      </c>
      <c r="I89" s="192">
        <f t="shared" si="1"/>
        <v>13</v>
      </c>
      <c r="J89" s="192">
        <f t="shared" si="1"/>
        <v>8</v>
      </c>
      <c r="K89" s="192">
        <f t="shared" si="1"/>
        <v>2</v>
      </c>
      <c r="L89" s="192">
        <f t="shared" si="1"/>
        <v>0</v>
      </c>
      <c r="M89" s="192">
        <f t="shared" si="1"/>
        <v>0</v>
      </c>
      <c r="N89" s="192">
        <f t="shared" si="1"/>
        <v>0</v>
      </c>
      <c r="O89" s="192">
        <f t="shared" si="1"/>
        <v>15</v>
      </c>
      <c r="P89" s="192">
        <f t="shared" si="1"/>
        <v>0</v>
      </c>
      <c r="Q89" s="192">
        <f t="shared" si="1"/>
        <v>0</v>
      </c>
      <c r="R89" s="192">
        <f t="shared" si="1"/>
        <v>0</v>
      </c>
      <c r="S89" s="192">
        <f t="shared" si="1"/>
        <v>0</v>
      </c>
      <c r="T89" s="192">
        <f t="shared" si="1"/>
        <v>0</v>
      </c>
      <c r="U89" s="192">
        <f t="shared" si="1"/>
        <v>0</v>
      </c>
      <c r="V89" s="192">
        <f t="shared" si="1"/>
        <v>0</v>
      </c>
      <c r="W89" s="192">
        <f t="shared" si="1"/>
        <v>0</v>
      </c>
      <c r="X89" s="192">
        <f t="shared" si="1"/>
        <v>0</v>
      </c>
      <c r="Y89" s="192">
        <f t="shared" si="1"/>
        <v>0</v>
      </c>
      <c r="Z89" s="192">
        <f t="shared" si="1"/>
        <v>0</v>
      </c>
      <c r="AA89" s="192">
        <f t="shared" si="1"/>
        <v>0</v>
      </c>
      <c r="AB89" s="192">
        <f t="shared" si="1"/>
        <v>0</v>
      </c>
      <c r="AC89" s="192">
        <f t="shared" si="1"/>
        <v>0</v>
      </c>
      <c r="AD89" s="192">
        <f t="shared" si="1"/>
        <v>0</v>
      </c>
      <c r="AE89" s="192">
        <f t="shared" si="2"/>
        <v>0</v>
      </c>
      <c r="AF89" s="192">
        <f t="shared" si="2"/>
        <v>9</v>
      </c>
    </row>
    <row r="90" spans="1:32" x14ac:dyDescent="0.25">
      <c r="A90" s="81">
        <v>40741</v>
      </c>
      <c r="B90" s="192">
        <f t="shared" si="3"/>
        <v>39</v>
      </c>
      <c r="C90" s="192">
        <f t="shared" si="1"/>
        <v>0</v>
      </c>
      <c r="D90" s="192">
        <f t="shared" si="1"/>
        <v>3</v>
      </c>
      <c r="E90" s="192">
        <f t="shared" si="1"/>
        <v>0</v>
      </c>
      <c r="F90" s="192">
        <f t="shared" si="1"/>
        <v>0</v>
      </c>
      <c r="G90" s="192">
        <f t="shared" si="1"/>
        <v>0</v>
      </c>
      <c r="H90" s="192">
        <f t="shared" si="1"/>
        <v>0</v>
      </c>
      <c r="I90" s="192">
        <f t="shared" si="1"/>
        <v>22</v>
      </c>
      <c r="J90" s="192">
        <f t="shared" si="1"/>
        <v>9</v>
      </c>
      <c r="K90" s="192">
        <f t="shared" si="1"/>
        <v>7</v>
      </c>
      <c r="L90" s="192">
        <f t="shared" si="1"/>
        <v>0</v>
      </c>
      <c r="M90" s="192">
        <f t="shared" si="1"/>
        <v>0</v>
      </c>
      <c r="N90" s="192">
        <f t="shared" si="1"/>
        <v>0</v>
      </c>
      <c r="O90" s="192">
        <f t="shared" si="1"/>
        <v>15</v>
      </c>
      <c r="P90" s="192">
        <f t="shared" si="1"/>
        <v>0</v>
      </c>
      <c r="Q90" s="192">
        <f t="shared" si="1"/>
        <v>0</v>
      </c>
      <c r="R90" s="192">
        <f t="shared" si="1"/>
        <v>0</v>
      </c>
      <c r="S90" s="192">
        <f t="shared" si="1"/>
        <v>0</v>
      </c>
      <c r="T90" s="192">
        <f t="shared" si="1"/>
        <v>0</v>
      </c>
      <c r="U90" s="192">
        <f t="shared" si="1"/>
        <v>0</v>
      </c>
      <c r="V90" s="192">
        <f t="shared" si="1"/>
        <v>0</v>
      </c>
      <c r="W90" s="192">
        <f t="shared" si="1"/>
        <v>2</v>
      </c>
      <c r="X90" s="192">
        <f t="shared" si="1"/>
        <v>13</v>
      </c>
      <c r="Y90" s="192">
        <f t="shared" si="1"/>
        <v>14</v>
      </c>
      <c r="Z90" s="192">
        <f t="shared" si="1"/>
        <v>0</v>
      </c>
      <c r="AA90" s="192">
        <f t="shared" si="1"/>
        <v>0</v>
      </c>
      <c r="AB90" s="192">
        <f t="shared" si="1"/>
        <v>0</v>
      </c>
      <c r="AC90" s="192">
        <f t="shared" si="1"/>
        <v>0</v>
      </c>
      <c r="AD90" s="192">
        <f t="shared" si="1"/>
        <v>0</v>
      </c>
      <c r="AE90" s="192">
        <f t="shared" si="2"/>
        <v>0</v>
      </c>
      <c r="AF90" s="192">
        <f t="shared" si="2"/>
        <v>12</v>
      </c>
    </row>
    <row r="91" spans="1:32" x14ac:dyDescent="0.25">
      <c r="A91" s="81">
        <v>40742</v>
      </c>
      <c r="B91" s="192">
        <f t="shared" si="3"/>
        <v>41</v>
      </c>
      <c r="C91" s="192">
        <f t="shared" si="1"/>
        <v>0</v>
      </c>
      <c r="D91" s="192">
        <f t="shared" si="1"/>
        <v>8</v>
      </c>
      <c r="E91" s="192">
        <f t="shared" si="1"/>
        <v>0</v>
      </c>
      <c r="F91" s="192">
        <f t="shared" si="1"/>
        <v>0</v>
      </c>
      <c r="G91" s="192">
        <f t="shared" si="1"/>
        <v>0</v>
      </c>
      <c r="H91" s="192">
        <f t="shared" si="1"/>
        <v>0</v>
      </c>
      <c r="I91" s="192">
        <f t="shared" si="1"/>
        <v>46</v>
      </c>
      <c r="J91" s="192">
        <f t="shared" si="1"/>
        <v>9</v>
      </c>
      <c r="K91" s="192">
        <f t="shared" si="1"/>
        <v>8</v>
      </c>
      <c r="L91" s="192">
        <f t="shared" si="1"/>
        <v>0</v>
      </c>
      <c r="M91" s="192">
        <f t="shared" si="1"/>
        <v>0</v>
      </c>
      <c r="N91" s="192">
        <f t="shared" si="1"/>
        <v>0</v>
      </c>
      <c r="O91" s="192">
        <f t="shared" si="1"/>
        <v>15</v>
      </c>
      <c r="P91" s="192">
        <f t="shared" si="1"/>
        <v>10</v>
      </c>
      <c r="Q91" s="192">
        <f t="shared" si="1"/>
        <v>0</v>
      </c>
      <c r="R91" s="192">
        <f t="shared" si="1"/>
        <v>0</v>
      </c>
      <c r="S91" s="192">
        <f t="shared" si="1"/>
        <v>0</v>
      </c>
      <c r="T91" s="192">
        <f t="shared" si="1"/>
        <v>0</v>
      </c>
      <c r="U91" s="192">
        <f t="shared" si="1"/>
        <v>0</v>
      </c>
      <c r="V91" s="192">
        <f t="shared" si="1"/>
        <v>0</v>
      </c>
      <c r="W91" s="192">
        <f t="shared" si="1"/>
        <v>2</v>
      </c>
      <c r="X91" s="192">
        <f t="shared" si="1"/>
        <v>24</v>
      </c>
      <c r="Y91" s="192">
        <f t="shared" si="1"/>
        <v>14</v>
      </c>
      <c r="Z91" s="192">
        <f t="shared" si="1"/>
        <v>0</v>
      </c>
      <c r="AA91" s="192">
        <f t="shared" si="1"/>
        <v>0</v>
      </c>
      <c r="AB91" s="192">
        <f t="shared" si="1"/>
        <v>0</v>
      </c>
      <c r="AC91" s="192">
        <f t="shared" si="1"/>
        <v>0</v>
      </c>
      <c r="AD91" s="192">
        <f t="shared" si="1"/>
        <v>0</v>
      </c>
      <c r="AE91" s="192">
        <f t="shared" si="2"/>
        <v>0</v>
      </c>
      <c r="AF91" s="192">
        <f t="shared" si="2"/>
        <v>19</v>
      </c>
    </row>
    <row r="92" spans="1:32" x14ac:dyDescent="0.25">
      <c r="A92" s="81">
        <v>40743</v>
      </c>
      <c r="B92" s="192">
        <f t="shared" si="3"/>
        <v>45</v>
      </c>
      <c r="C92" s="192">
        <f t="shared" si="1"/>
        <v>0</v>
      </c>
      <c r="D92" s="192">
        <f t="shared" si="1"/>
        <v>10</v>
      </c>
      <c r="E92" s="192">
        <f t="shared" si="1"/>
        <v>0</v>
      </c>
      <c r="F92" s="192">
        <f t="shared" si="1"/>
        <v>0</v>
      </c>
      <c r="G92" s="192">
        <f t="shared" si="1"/>
        <v>0</v>
      </c>
      <c r="H92" s="192">
        <f t="shared" si="1"/>
        <v>1</v>
      </c>
      <c r="I92" s="192">
        <f t="shared" si="1"/>
        <v>86</v>
      </c>
      <c r="J92" s="192">
        <f t="shared" si="1"/>
        <v>15</v>
      </c>
      <c r="K92" s="192">
        <f t="shared" si="1"/>
        <v>19</v>
      </c>
      <c r="L92" s="192">
        <f t="shared" si="1"/>
        <v>0</v>
      </c>
      <c r="M92" s="192">
        <f t="shared" si="1"/>
        <v>0</v>
      </c>
      <c r="N92" s="192">
        <f t="shared" si="1"/>
        <v>0</v>
      </c>
      <c r="O92" s="192">
        <f t="shared" si="1"/>
        <v>15</v>
      </c>
      <c r="P92" s="192">
        <f t="shared" si="1"/>
        <v>40</v>
      </c>
      <c r="Q92" s="192">
        <f t="shared" si="1"/>
        <v>0</v>
      </c>
      <c r="R92" s="192">
        <f t="shared" si="1"/>
        <v>0</v>
      </c>
      <c r="S92" s="192">
        <f t="shared" si="1"/>
        <v>0</v>
      </c>
      <c r="T92" s="192">
        <f t="shared" si="1"/>
        <v>0</v>
      </c>
      <c r="U92" s="192">
        <f t="shared" si="1"/>
        <v>0</v>
      </c>
      <c r="V92" s="192">
        <f t="shared" si="1"/>
        <v>8</v>
      </c>
      <c r="W92" s="192">
        <f t="shared" si="1"/>
        <v>27</v>
      </c>
      <c r="X92" s="192">
        <f t="shared" si="1"/>
        <v>33</v>
      </c>
      <c r="Y92" s="192">
        <f t="shared" si="1"/>
        <v>14</v>
      </c>
      <c r="Z92" s="192">
        <f t="shared" si="1"/>
        <v>0</v>
      </c>
      <c r="AA92" s="192">
        <f t="shared" si="1"/>
        <v>8</v>
      </c>
      <c r="AB92" s="192">
        <f t="shared" si="1"/>
        <v>1</v>
      </c>
      <c r="AC92" s="192">
        <f t="shared" si="1"/>
        <v>57</v>
      </c>
      <c r="AD92" s="192">
        <f t="shared" si="1"/>
        <v>0</v>
      </c>
      <c r="AE92" s="192">
        <f t="shared" si="2"/>
        <v>0</v>
      </c>
      <c r="AF92" s="192">
        <f t="shared" si="2"/>
        <v>29</v>
      </c>
    </row>
    <row r="93" spans="1:32" x14ac:dyDescent="0.25">
      <c r="A93" s="81">
        <v>40744</v>
      </c>
      <c r="B93" s="192">
        <f t="shared" si="3"/>
        <v>56</v>
      </c>
      <c r="C93" s="192">
        <f t="shared" si="1"/>
        <v>0</v>
      </c>
      <c r="D93" s="192">
        <f t="shared" si="1"/>
        <v>12</v>
      </c>
      <c r="E93" s="192">
        <f t="shared" si="1"/>
        <v>0</v>
      </c>
      <c r="F93" s="192">
        <f t="shared" si="1"/>
        <v>6</v>
      </c>
      <c r="G93" s="192">
        <f t="shared" si="1"/>
        <v>0</v>
      </c>
      <c r="H93" s="192">
        <f t="shared" si="1"/>
        <v>1</v>
      </c>
      <c r="I93" s="192">
        <f t="shared" si="1"/>
        <v>105</v>
      </c>
      <c r="J93" s="192">
        <f t="shared" si="1"/>
        <v>19</v>
      </c>
      <c r="K93" s="192">
        <f t="shared" si="1"/>
        <v>23</v>
      </c>
      <c r="L93" s="192">
        <f t="shared" si="1"/>
        <v>0</v>
      </c>
      <c r="M93" s="192">
        <f t="shared" si="1"/>
        <v>0</v>
      </c>
      <c r="N93" s="192">
        <f t="shared" si="1"/>
        <v>0</v>
      </c>
      <c r="O93" s="192">
        <f t="shared" si="1"/>
        <v>15</v>
      </c>
      <c r="P93" s="192">
        <f t="shared" si="1"/>
        <v>76</v>
      </c>
      <c r="Q93" s="192">
        <f t="shared" si="1"/>
        <v>0</v>
      </c>
      <c r="R93" s="192">
        <f t="shared" si="1"/>
        <v>0</v>
      </c>
      <c r="S93" s="192">
        <f t="shared" si="1"/>
        <v>0</v>
      </c>
      <c r="T93" s="192">
        <f t="shared" si="1"/>
        <v>0</v>
      </c>
      <c r="U93" s="192">
        <f t="shared" si="1"/>
        <v>3</v>
      </c>
      <c r="V93" s="192">
        <f t="shared" si="1"/>
        <v>8</v>
      </c>
      <c r="W93" s="192">
        <f t="shared" si="1"/>
        <v>50</v>
      </c>
      <c r="X93" s="192">
        <f t="shared" si="1"/>
        <v>33</v>
      </c>
      <c r="Y93" s="192">
        <f t="shared" si="1"/>
        <v>14</v>
      </c>
      <c r="Z93" s="192">
        <f t="shared" si="1"/>
        <v>0</v>
      </c>
      <c r="AA93" s="192">
        <f t="shared" si="1"/>
        <v>8</v>
      </c>
      <c r="AB93" s="192">
        <f t="shared" si="1"/>
        <v>1</v>
      </c>
      <c r="AC93" s="192">
        <f t="shared" si="1"/>
        <v>89</v>
      </c>
      <c r="AD93" s="192">
        <f t="shared" si="1"/>
        <v>1</v>
      </c>
      <c r="AE93" s="192">
        <f t="shared" si="2"/>
        <v>20</v>
      </c>
      <c r="AF93" s="192">
        <f t="shared" si="2"/>
        <v>38</v>
      </c>
    </row>
    <row r="94" spans="1:32" x14ac:dyDescent="0.25">
      <c r="A94" s="81">
        <v>40745</v>
      </c>
      <c r="B94" s="192">
        <f t="shared" si="3"/>
        <v>60</v>
      </c>
      <c r="C94" s="192">
        <f t="shared" si="1"/>
        <v>0</v>
      </c>
      <c r="D94" s="192">
        <f t="shared" si="1"/>
        <v>20</v>
      </c>
      <c r="E94" s="192">
        <f t="shared" si="1"/>
        <v>0</v>
      </c>
      <c r="F94" s="192">
        <f t="shared" ref="F94:F157" si="4">F18+F93</f>
        <v>16</v>
      </c>
      <c r="G94" s="192">
        <f t="shared" ref="G94:G157" si="5">G18+G93</f>
        <v>0</v>
      </c>
      <c r="H94" s="192">
        <f t="shared" ref="H94:H157" si="6">H18+H93</f>
        <v>1</v>
      </c>
      <c r="I94" s="192">
        <f t="shared" ref="I94:I157" si="7">I18+I93</f>
        <v>120</v>
      </c>
      <c r="J94" s="192">
        <f t="shared" ref="J94:J157" si="8">J18+J93</f>
        <v>21</v>
      </c>
      <c r="K94" s="192">
        <f t="shared" ref="K94:K157" si="9">K18+K93</f>
        <v>25</v>
      </c>
      <c r="L94" s="192">
        <f t="shared" ref="L94:L157" si="10">L18+L93</f>
        <v>0</v>
      </c>
      <c r="M94" s="192">
        <f t="shared" ref="M94:M157" si="11">M18+M93</f>
        <v>0</v>
      </c>
      <c r="N94" s="192">
        <f t="shared" ref="N94:N156" si="12">N18+N93</f>
        <v>0</v>
      </c>
      <c r="O94" s="192">
        <f t="shared" ref="O94:O157" si="13">O18+O93</f>
        <v>15</v>
      </c>
      <c r="P94" s="192">
        <f t="shared" ref="P94:P157" si="14">P18+P93</f>
        <v>146</v>
      </c>
      <c r="Q94" s="192">
        <f t="shared" ref="Q94:Q157" si="15">Q18+Q93</f>
        <v>0</v>
      </c>
      <c r="R94" s="192">
        <f t="shared" ref="R94:R157" si="16">R18+R93</f>
        <v>35</v>
      </c>
      <c r="S94" s="192">
        <f t="shared" ref="S94:S157" si="17">S18+S93</f>
        <v>0</v>
      </c>
      <c r="T94" s="192">
        <f t="shared" ref="T94:T157" si="18">T18+T93</f>
        <v>0</v>
      </c>
      <c r="U94" s="192">
        <f t="shared" ref="U94:U157" si="19">U18+U93</f>
        <v>3</v>
      </c>
      <c r="V94" s="192">
        <f t="shared" ref="V94:V157" si="20">V18+V93</f>
        <v>13</v>
      </c>
      <c r="W94" s="192">
        <f t="shared" ref="W94:W157" si="21">W18+W93</f>
        <v>72</v>
      </c>
      <c r="X94" s="192">
        <f t="shared" ref="X94:X157" si="22">X18+X93</f>
        <v>42</v>
      </c>
      <c r="Y94" s="192">
        <f t="shared" ref="Y94:Y157" si="23">Y18+Y93</f>
        <v>18</v>
      </c>
      <c r="Z94" s="192">
        <f t="shared" ref="Z94:Z157" si="24">Z18+Z93</f>
        <v>0</v>
      </c>
      <c r="AA94" s="192">
        <f t="shared" ref="AA94:AA157" si="25">AA18+AA93</f>
        <v>14</v>
      </c>
      <c r="AB94" s="192">
        <f t="shared" ref="AB94:AB157" si="26">AB18+AB93</f>
        <v>1</v>
      </c>
      <c r="AC94" s="192">
        <f t="shared" ref="AC94:AC157" si="27">AC18+AC93</f>
        <v>133</v>
      </c>
      <c r="AD94" s="192">
        <f t="shared" ref="AD94:AE157" si="28">AD18+AD93</f>
        <v>33</v>
      </c>
      <c r="AE94" s="192">
        <f t="shared" si="28"/>
        <v>40</v>
      </c>
      <c r="AF94" s="192">
        <f t="shared" ref="AF94:AF157" si="29">AF18+AF93</f>
        <v>86</v>
      </c>
    </row>
    <row r="95" spans="1:32" x14ac:dyDescent="0.25">
      <c r="A95" s="81">
        <v>40746</v>
      </c>
      <c r="B95" s="192">
        <f t="shared" si="3"/>
        <v>67</v>
      </c>
      <c r="C95" s="192">
        <f t="shared" ref="C95:C157" si="30">C19+C94</f>
        <v>0</v>
      </c>
      <c r="D95" s="192">
        <f t="shared" ref="D95:D157" si="31">D19+D94</f>
        <v>21</v>
      </c>
      <c r="E95" s="192">
        <f t="shared" ref="E95:E157" si="32">E19+E94</f>
        <v>0</v>
      </c>
      <c r="F95" s="192">
        <f t="shared" si="4"/>
        <v>28</v>
      </c>
      <c r="G95" s="192">
        <f t="shared" si="5"/>
        <v>1</v>
      </c>
      <c r="H95" s="192">
        <f t="shared" si="6"/>
        <v>4</v>
      </c>
      <c r="I95" s="192">
        <f t="shared" si="7"/>
        <v>141</v>
      </c>
      <c r="J95" s="192">
        <f t="shared" si="8"/>
        <v>22</v>
      </c>
      <c r="K95" s="192">
        <f t="shared" si="9"/>
        <v>26</v>
      </c>
      <c r="L95" s="192">
        <f t="shared" si="10"/>
        <v>0</v>
      </c>
      <c r="M95" s="192">
        <f t="shared" si="11"/>
        <v>0</v>
      </c>
      <c r="N95" s="192">
        <f t="shared" si="12"/>
        <v>0</v>
      </c>
      <c r="O95" s="192">
        <f t="shared" si="13"/>
        <v>15</v>
      </c>
      <c r="P95" s="192">
        <f t="shared" si="14"/>
        <v>192</v>
      </c>
      <c r="Q95" s="192">
        <f t="shared" si="15"/>
        <v>7</v>
      </c>
      <c r="R95" s="192">
        <f t="shared" si="16"/>
        <v>135</v>
      </c>
      <c r="S95" s="192">
        <f t="shared" si="17"/>
        <v>0</v>
      </c>
      <c r="T95" s="192">
        <f t="shared" si="18"/>
        <v>0</v>
      </c>
      <c r="U95" s="192">
        <f t="shared" si="19"/>
        <v>22</v>
      </c>
      <c r="V95" s="192">
        <f t="shared" si="20"/>
        <v>16</v>
      </c>
      <c r="W95" s="192">
        <f t="shared" si="21"/>
        <v>107</v>
      </c>
      <c r="X95" s="192">
        <f t="shared" si="22"/>
        <v>49</v>
      </c>
      <c r="Y95" s="192">
        <f t="shared" si="23"/>
        <v>18</v>
      </c>
      <c r="Z95" s="192">
        <f t="shared" si="24"/>
        <v>38</v>
      </c>
      <c r="AA95" s="192">
        <f t="shared" si="25"/>
        <v>14</v>
      </c>
      <c r="AB95" s="192">
        <f t="shared" si="26"/>
        <v>1</v>
      </c>
      <c r="AC95" s="192">
        <f t="shared" si="27"/>
        <v>212</v>
      </c>
      <c r="AD95" s="192">
        <f t="shared" si="28"/>
        <v>48</v>
      </c>
      <c r="AE95" s="192">
        <f t="shared" si="28"/>
        <v>62</v>
      </c>
      <c r="AF95" s="192">
        <f t="shared" si="29"/>
        <v>106</v>
      </c>
    </row>
    <row r="96" spans="1:32" x14ac:dyDescent="0.25">
      <c r="A96" s="81">
        <v>40747</v>
      </c>
      <c r="B96" s="192">
        <f t="shared" si="3"/>
        <v>78</v>
      </c>
      <c r="C96" s="192">
        <f t="shared" si="30"/>
        <v>0</v>
      </c>
      <c r="D96" s="192">
        <f t="shared" si="31"/>
        <v>21</v>
      </c>
      <c r="E96" s="192">
        <f t="shared" si="32"/>
        <v>0</v>
      </c>
      <c r="F96" s="192">
        <f t="shared" si="4"/>
        <v>34</v>
      </c>
      <c r="G96" s="192">
        <f t="shared" si="5"/>
        <v>1</v>
      </c>
      <c r="H96" s="192">
        <f t="shared" si="6"/>
        <v>4</v>
      </c>
      <c r="I96" s="192">
        <f t="shared" si="7"/>
        <v>177</v>
      </c>
      <c r="J96" s="192">
        <f t="shared" si="8"/>
        <v>22</v>
      </c>
      <c r="K96" s="192">
        <f t="shared" si="9"/>
        <v>65</v>
      </c>
      <c r="L96" s="192">
        <f t="shared" si="10"/>
        <v>0</v>
      </c>
      <c r="M96" s="192">
        <f t="shared" si="11"/>
        <v>0</v>
      </c>
      <c r="N96" s="192">
        <f t="shared" si="12"/>
        <v>0</v>
      </c>
      <c r="O96" s="192">
        <f t="shared" si="13"/>
        <v>43</v>
      </c>
      <c r="P96" s="192">
        <f t="shared" si="14"/>
        <v>269</v>
      </c>
      <c r="Q96" s="192">
        <f t="shared" si="15"/>
        <v>209</v>
      </c>
      <c r="R96" s="192">
        <f t="shared" si="16"/>
        <v>135</v>
      </c>
      <c r="S96" s="192">
        <f t="shared" si="17"/>
        <v>0</v>
      </c>
      <c r="T96" s="192">
        <f t="shared" si="18"/>
        <v>0</v>
      </c>
      <c r="U96" s="192">
        <f t="shared" si="19"/>
        <v>44</v>
      </c>
      <c r="V96" s="192">
        <f t="shared" si="20"/>
        <v>25</v>
      </c>
      <c r="W96" s="192">
        <f t="shared" si="21"/>
        <v>132</v>
      </c>
      <c r="X96" s="192">
        <f t="shared" si="22"/>
        <v>64</v>
      </c>
      <c r="Y96" s="192">
        <f t="shared" si="23"/>
        <v>37</v>
      </c>
      <c r="Z96" s="192">
        <f t="shared" si="24"/>
        <v>38</v>
      </c>
      <c r="AA96" s="192">
        <f t="shared" si="25"/>
        <v>30</v>
      </c>
      <c r="AB96" s="192">
        <f t="shared" si="26"/>
        <v>8</v>
      </c>
      <c r="AC96" s="192">
        <f t="shared" si="27"/>
        <v>278</v>
      </c>
      <c r="AD96" s="192">
        <f t="shared" si="28"/>
        <v>51</v>
      </c>
      <c r="AE96" s="192">
        <f t="shared" si="28"/>
        <v>82</v>
      </c>
      <c r="AF96" s="192">
        <f t="shared" si="29"/>
        <v>117</v>
      </c>
    </row>
    <row r="97" spans="1:32" x14ac:dyDescent="0.25">
      <c r="A97" s="81">
        <v>40748</v>
      </c>
      <c r="B97" s="192">
        <f t="shared" si="3"/>
        <v>82</v>
      </c>
      <c r="C97" s="192">
        <f t="shared" si="30"/>
        <v>1</v>
      </c>
      <c r="D97" s="192">
        <f t="shared" si="31"/>
        <v>22</v>
      </c>
      <c r="E97" s="192">
        <f t="shared" si="32"/>
        <v>11</v>
      </c>
      <c r="F97" s="192">
        <f t="shared" si="4"/>
        <v>70</v>
      </c>
      <c r="G97" s="192">
        <f t="shared" si="5"/>
        <v>1</v>
      </c>
      <c r="H97" s="192">
        <f t="shared" si="6"/>
        <v>9</v>
      </c>
      <c r="I97" s="192">
        <f t="shared" si="7"/>
        <v>223</v>
      </c>
      <c r="J97" s="192">
        <f t="shared" si="8"/>
        <v>22</v>
      </c>
      <c r="K97" s="192">
        <f t="shared" si="9"/>
        <v>149</v>
      </c>
      <c r="L97" s="192">
        <f t="shared" si="10"/>
        <v>0</v>
      </c>
      <c r="M97" s="192">
        <f t="shared" si="11"/>
        <v>0</v>
      </c>
      <c r="N97" s="192">
        <f t="shared" si="12"/>
        <v>0</v>
      </c>
      <c r="O97" s="192">
        <f t="shared" si="13"/>
        <v>105</v>
      </c>
      <c r="P97" s="192">
        <f t="shared" si="14"/>
        <v>388</v>
      </c>
      <c r="Q97" s="192">
        <f t="shared" si="15"/>
        <v>296</v>
      </c>
      <c r="R97" s="192">
        <f t="shared" si="16"/>
        <v>135</v>
      </c>
      <c r="S97" s="192">
        <f t="shared" si="17"/>
        <v>0</v>
      </c>
      <c r="T97" s="192">
        <f t="shared" si="18"/>
        <v>0</v>
      </c>
      <c r="U97" s="192">
        <f t="shared" si="19"/>
        <v>61</v>
      </c>
      <c r="V97" s="192">
        <f t="shared" si="20"/>
        <v>27</v>
      </c>
      <c r="W97" s="192">
        <f t="shared" si="21"/>
        <v>155</v>
      </c>
      <c r="X97" s="192">
        <f t="shared" si="22"/>
        <v>76</v>
      </c>
      <c r="Y97" s="192">
        <f t="shared" si="23"/>
        <v>37</v>
      </c>
      <c r="Z97" s="192">
        <f t="shared" si="24"/>
        <v>89</v>
      </c>
      <c r="AA97" s="192">
        <f t="shared" si="25"/>
        <v>30</v>
      </c>
      <c r="AB97" s="192">
        <f t="shared" si="26"/>
        <v>8</v>
      </c>
      <c r="AC97" s="192">
        <f t="shared" si="27"/>
        <v>337</v>
      </c>
      <c r="AD97" s="192">
        <f t="shared" si="28"/>
        <v>52</v>
      </c>
      <c r="AE97" s="192">
        <f t="shared" si="28"/>
        <v>89</v>
      </c>
      <c r="AF97" s="192">
        <f t="shared" si="29"/>
        <v>129</v>
      </c>
    </row>
    <row r="98" spans="1:32" x14ac:dyDescent="0.25">
      <c r="A98" s="81">
        <v>40749</v>
      </c>
      <c r="B98" s="192">
        <f t="shared" si="3"/>
        <v>84</v>
      </c>
      <c r="C98" s="192">
        <f t="shared" si="30"/>
        <v>1</v>
      </c>
      <c r="D98" s="192">
        <f t="shared" si="31"/>
        <v>26</v>
      </c>
      <c r="E98" s="192">
        <f t="shared" si="32"/>
        <v>11</v>
      </c>
      <c r="F98" s="192">
        <f t="shared" si="4"/>
        <v>338</v>
      </c>
      <c r="G98" s="192">
        <f t="shared" si="5"/>
        <v>1</v>
      </c>
      <c r="H98" s="192">
        <f t="shared" si="6"/>
        <v>23</v>
      </c>
      <c r="I98" s="192">
        <f t="shared" si="7"/>
        <v>278</v>
      </c>
      <c r="J98" s="192">
        <f t="shared" si="8"/>
        <v>22</v>
      </c>
      <c r="K98" s="192">
        <f t="shared" si="9"/>
        <v>281</v>
      </c>
      <c r="L98" s="192">
        <f t="shared" si="10"/>
        <v>0</v>
      </c>
      <c r="M98" s="192">
        <f t="shared" si="11"/>
        <v>0</v>
      </c>
      <c r="N98" s="192">
        <f t="shared" si="12"/>
        <v>0</v>
      </c>
      <c r="O98" s="192">
        <f t="shared" si="13"/>
        <v>284</v>
      </c>
      <c r="P98" s="192">
        <f t="shared" si="14"/>
        <v>508</v>
      </c>
      <c r="Q98" s="192">
        <f t="shared" si="15"/>
        <v>343</v>
      </c>
      <c r="R98" s="192">
        <f t="shared" si="16"/>
        <v>135</v>
      </c>
      <c r="S98" s="192">
        <f t="shared" si="17"/>
        <v>2</v>
      </c>
      <c r="T98" s="192">
        <f t="shared" si="18"/>
        <v>22</v>
      </c>
      <c r="U98" s="192">
        <f t="shared" si="19"/>
        <v>70</v>
      </c>
      <c r="V98" s="192">
        <f t="shared" si="20"/>
        <v>69</v>
      </c>
      <c r="W98" s="192">
        <f t="shared" si="21"/>
        <v>309</v>
      </c>
      <c r="X98" s="192">
        <f t="shared" si="22"/>
        <v>94</v>
      </c>
      <c r="Y98" s="192">
        <f t="shared" si="23"/>
        <v>37</v>
      </c>
      <c r="Z98" s="192">
        <f t="shared" si="24"/>
        <v>89</v>
      </c>
      <c r="AA98" s="192">
        <f t="shared" si="25"/>
        <v>32</v>
      </c>
      <c r="AB98" s="192">
        <f t="shared" si="26"/>
        <v>37</v>
      </c>
      <c r="AC98" s="192">
        <f t="shared" si="27"/>
        <v>365</v>
      </c>
      <c r="AD98" s="192">
        <f t="shared" si="28"/>
        <v>105</v>
      </c>
      <c r="AE98" s="192">
        <f t="shared" si="28"/>
        <v>100</v>
      </c>
      <c r="AF98" s="192">
        <f t="shared" si="29"/>
        <v>138</v>
      </c>
    </row>
    <row r="99" spans="1:32" x14ac:dyDescent="0.25">
      <c r="A99" s="81">
        <v>40750</v>
      </c>
      <c r="B99" s="192">
        <f t="shared" si="3"/>
        <v>84</v>
      </c>
      <c r="C99" s="192">
        <f t="shared" si="30"/>
        <v>2</v>
      </c>
      <c r="D99" s="192">
        <f t="shared" si="31"/>
        <v>26</v>
      </c>
      <c r="E99" s="192">
        <f t="shared" si="32"/>
        <v>257</v>
      </c>
      <c r="F99" s="192">
        <f t="shared" si="4"/>
        <v>364</v>
      </c>
      <c r="G99" s="192">
        <f t="shared" si="5"/>
        <v>17</v>
      </c>
      <c r="H99" s="192">
        <f t="shared" si="6"/>
        <v>44</v>
      </c>
      <c r="I99" s="192">
        <f t="shared" si="7"/>
        <v>317</v>
      </c>
      <c r="J99" s="192">
        <f t="shared" si="8"/>
        <v>24</v>
      </c>
      <c r="K99" s="192">
        <f t="shared" si="9"/>
        <v>385</v>
      </c>
      <c r="L99" s="192">
        <f t="shared" si="10"/>
        <v>0</v>
      </c>
      <c r="M99" s="192">
        <f t="shared" si="11"/>
        <v>0</v>
      </c>
      <c r="N99" s="192">
        <f t="shared" si="12"/>
        <v>0</v>
      </c>
      <c r="O99" s="192">
        <f t="shared" si="13"/>
        <v>400</v>
      </c>
      <c r="P99" s="192">
        <f t="shared" si="14"/>
        <v>598</v>
      </c>
      <c r="Q99" s="192">
        <f t="shared" si="15"/>
        <v>376</v>
      </c>
      <c r="R99" s="192">
        <f t="shared" si="16"/>
        <v>135</v>
      </c>
      <c r="S99" s="192">
        <f t="shared" si="17"/>
        <v>8</v>
      </c>
      <c r="T99" s="192">
        <f t="shared" si="18"/>
        <v>24</v>
      </c>
      <c r="U99" s="192">
        <f t="shared" si="19"/>
        <v>80</v>
      </c>
      <c r="V99" s="192">
        <f t="shared" si="20"/>
        <v>125</v>
      </c>
      <c r="W99" s="192">
        <f t="shared" si="21"/>
        <v>405</v>
      </c>
      <c r="X99" s="192">
        <f t="shared" si="22"/>
        <v>149</v>
      </c>
      <c r="Y99" s="192">
        <f t="shared" si="23"/>
        <v>57</v>
      </c>
      <c r="Z99" s="192">
        <f t="shared" si="24"/>
        <v>122</v>
      </c>
      <c r="AA99" s="192">
        <f t="shared" si="25"/>
        <v>36</v>
      </c>
      <c r="AB99" s="192">
        <f t="shared" si="26"/>
        <v>37</v>
      </c>
      <c r="AC99" s="192">
        <f t="shared" si="27"/>
        <v>381</v>
      </c>
      <c r="AD99" s="192">
        <f t="shared" si="28"/>
        <v>142</v>
      </c>
      <c r="AE99" s="192">
        <f t="shared" si="28"/>
        <v>111</v>
      </c>
      <c r="AF99" s="192">
        <f t="shared" si="29"/>
        <v>151</v>
      </c>
    </row>
    <row r="100" spans="1:32" x14ac:dyDescent="0.25">
      <c r="A100" s="81">
        <v>40751</v>
      </c>
      <c r="B100" s="192">
        <f t="shared" si="3"/>
        <v>86</v>
      </c>
      <c r="C100" s="192">
        <f t="shared" si="30"/>
        <v>2</v>
      </c>
      <c r="D100" s="192">
        <f t="shared" si="31"/>
        <v>28</v>
      </c>
      <c r="E100" s="192">
        <f t="shared" si="32"/>
        <v>433</v>
      </c>
      <c r="F100" s="192">
        <f t="shared" si="4"/>
        <v>387</v>
      </c>
      <c r="G100" s="192">
        <f t="shared" si="5"/>
        <v>33</v>
      </c>
      <c r="H100" s="192">
        <f t="shared" si="6"/>
        <v>46</v>
      </c>
      <c r="I100" s="192">
        <f t="shared" si="7"/>
        <v>897</v>
      </c>
      <c r="J100" s="192">
        <f t="shared" si="8"/>
        <v>25</v>
      </c>
      <c r="K100" s="192">
        <f t="shared" si="9"/>
        <v>476</v>
      </c>
      <c r="L100" s="192">
        <f t="shared" si="10"/>
        <v>0</v>
      </c>
      <c r="M100" s="192">
        <f t="shared" si="11"/>
        <v>0</v>
      </c>
      <c r="N100" s="192">
        <f t="shared" si="12"/>
        <v>0</v>
      </c>
      <c r="O100" s="192">
        <f t="shared" si="13"/>
        <v>486</v>
      </c>
      <c r="P100" s="192">
        <f t="shared" si="14"/>
        <v>664</v>
      </c>
      <c r="Q100" s="192">
        <f t="shared" si="15"/>
        <v>395</v>
      </c>
      <c r="R100" s="192">
        <f t="shared" si="16"/>
        <v>135</v>
      </c>
      <c r="S100" s="192">
        <f t="shared" si="17"/>
        <v>12</v>
      </c>
      <c r="T100" s="192">
        <f t="shared" si="18"/>
        <v>25</v>
      </c>
      <c r="U100" s="192">
        <f t="shared" si="19"/>
        <v>87</v>
      </c>
      <c r="V100" s="192">
        <f t="shared" si="20"/>
        <v>411</v>
      </c>
      <c r="W100" s="192">
        <f t="shared" si="21"/>
        <v>603</v>
      </c>
      <c r="X100" s="192">
        <f t="shared" si="22"/>
        <v>177</v>
      </c>
      <c r="Y100" s="192">
        <f t="shared" si="23"/>
        <v>58</v>
      </c>
      <c r="Z100" s="192">
        <f t="shared" si="24"/>
        <v>163</v>
      </c>
      <c r="AA100" s="192">
        <f t="shared" si="25"/>
        <v>40</v>
      </c>
      <c r="AB100" s="192">
        <f t="shared" si="26"/>
        <v>43</v>
      </c>
      <c r="AC100" s="192">
        <f t="shared" si="27"/>
        <v>408</v>
      </c>
      <c r="AD100" s="192">
        <f t="shared" si="28"/>
        <v>147</v>
      </c>
      <c r="AE100" s="192">
        <f t="shared" si="28"/>
        <v>133</v>
      </c>
      <c r="AF100" s="192">
        <f t="shared" si="29"/>
        <v>214</v>
      </c>
    </row>
    <row r="101" spans="1:32" x14ac:dyDescent="0.25">
      <c r="A101" s="81">
        <v>40752</v>
      </c>
      <c r="B101" s="192">
        <f t="shared" si="3"/>
        <v>86</v>
      </c>
      <c r="C101" s="192">
        <f t="shared" si="30"/>
        <v>2</v>
      </c>
      <c r="D101" s="192">
        <f t="shared" si="31"/>
        <v>37</v>
      </c>
      <c r="E101" s="192">
        <f t="shared" si="32"/>
        <v>463</v>
      </c>
      <c r="F101" s="192">
        <f t="shared" si="4"/>
        <v>1000</v>
      </c>
      <c r="G101" s="192">
        <f t="shared" si="5"/>
        <v>47</v>
      </c>
      <c r="H101" s="192">
        <f t="shared" si="6"/>
        <v>147</v>
      </c>
      <c r="I101" s="192">
        <f t="shared" si="7"/>
        <v>1037</v>
      </c>
      <c r="J101" s="192">
        <f t="shared" si="8"/>
        <v>25</v>
      </c>
      <c r="K101" s="192">
        <f t="shared" si="9"/>
        <v>2843</v>
      </c>
      <c r="L101" s="192">
        <f t="shared" si="10"/>
        <v>0</v>
      </c>
      <c r="M101" s="192">
        <f t="shared" si="11"/>
        <v>0</v>
      </c>
      <c r="N101" s="192">
        <f t="shared" si="12"/>
        <v>0</v>
      </c>
      <c r="O101" s="192">
        <f t="shared" si="13"/>
        <v>552</v>
      </c>
      <c r="P101" s="192">
        <f t="shared" si="14"/>
        <v>1231</v>
      </c>
      <c r="Q101" s="192">
        <f t="shared" si="15"/>
        <v>800</v>
      </c>
      <c r="R101" s="192">
        <f t="shared" si="16"/>
        <v>243</v>
      </c>
      <c r="S101" s="192">
        <f t="shared" si="17"/>
        <v>28</v>
      </c>
      <c r="T101" s="192">
        <f t="shared" si="18"/>
        <v>27</v>
      </c>
      <c r="U101" s="192">
        <f t="shared" si="19"/>
        <v>101</v>
      </c>
      <c r="V101" s="192">
        <f t="shared" si="20"/>
        <v>1035</v>
      </c>
      <c r="W101" s="192">
        <f t="shared" si="21"/>
        <v>797</v>
      </c>
      <c r="X101" s="192">
        <f t="shared" si="22"/>
        <v>212</v>
      </c>
      <c r="Y101" s="192">
        <f t="shared" si="23"/>
        <v>63</v>
      </c>
      <c r="Z101" s="192">
        <f t="shared" si="24"/>
        <v>201</v>
      </c>
      <c r="AA101" s="192">
        <f t="shared" si="25"/>
        <v>47</v>
      </c>
      <c r="AB101" s="192">
        <f t="shared" si="26"/>
        <v>81</v>
      </c>
      <c r="AC101" s="192">
        <f t="shared" si="27"/>
        <v>490</v>
      </c>
      <c r="AD101" s="192">
        <f t="shared" si="28"/>
        <v>170</v>
      </c>
      <c r="AE101" s="192">
        <f t="shared" si="28"/>
        <v>169</v>
      </c>
      <c r="AF101" s="192">
        <f t="shared" si="29"/>
        <v>268</v>
      </c>
    </row>
    <row r="102" spans="1:32" x14ac:dyDescent="0.25">
      <c r="A102" s="81">
        <v>40753</v>
      </c>
      <c r="B102" s="192">
        <f t="shared" si="3"/>
        <v>86</v>
      </c>
      <c r="C102" s="192">
        <f t="shared" si="30"/>
        <v>4</v>
      </c>
      <c r="D102" s="192">
        <f t="shared" si="31"/>
        <v>63</v>
      </c>
      <c r="E102" s="192">
        <f t="shared" si="32"/>
        <v>536</v>
      </c>
      <c r="F102" s="192">
        <f t="shared" si="4"/>
        <v>1228</v>
      </c>
      <c r="G102" s="192">
        <f t="shared" si="5"/>
        <v>56</v>
      </c>
      <c r="H102" s="192">
        <f t="shared" si="6"/>
        <v>571</v>
      </c>
      <c r="I102" s="192">
        <f t="shared" si="7"/>
        <v>1561</v>
      </c>
      <c r="J102" s="192">
        <f t="shared" si="8"/>
        <v>30</v>
      </c>
      <c r="K102" s="192">
        <f t="shared" si="9"/>
        <v>2942</v>
      </c>
      <c r="L102" s="192">
        <f t="shared" si="10"/>
        <v>0</v>
      </c>
      <c r="M102" s="192">
        <f t="shared" si="11"/>
        <v>0</v>
      </c>
      <c r="N102" s="192">
        <f t="shared" si="12"/>
        <v>0</v>
      </c>
      <c r="O102" s="192">
        <f t="shared" si="13"/>
        <v>616</v>
      </c>
      <c r="P102" s="192">
        <f t="shared" si="14"/>
        <v>1361</v>
      </c>
      <c r="Q102" s="192">
        <f t="shared" si="15"/>
        <v>1084</v>
      </c>
      <c r="R102" s="192">
        <f t="shared" si="16"/>
        <v>251</v>
      </c>
      <c r="S102" s="192">
        <f t="shared" si="17"/>
        <v>76</v>
      </c>
      <c r="T102" s="192">
        <f t="shared" si="18"/>
        <v>32</v>
      </c>
      <c r="U102" s="192">
        <f t="shared" si="19"/>
        <v>101</v>
      </c>
      <c r="V102" s="192">
        <f t="shared" si="20"/>
        <v>1185</v>
      </c>
      <c r="W102" s="192">
        <f t="shared" si="21"/>
        <v>907</v>
      </c>
      <c r="X102" s="192">
        <f t="shared" si="22"/>
        <v>268</v>
      </c>
      <c r="Y102" s="192">
        <f t="shared" si="23"/>
        <v>66</v>
      </c>
      <c r="Z102" s="192">
        <f t="shared" si="24"/>
        <v>235</v>
      </c>
      <c r="AA102" s="192">
        <f t="shared" si="25"/>
        <v>56</v>
      </c>
      <c r="AB102" s="192">
        <f t="shared" si="26"/>
        <v>185</v>
      </c>
      <c r="AC102" s="192">
        <f t="shared" si="27"/>
        <v>582</v>
      </c>
      <c r="AD102" s="192">
        <f t="shared" si="28"/>
        <v>195</v>
      </c>
      <c r="AE102" s="192">
        <f t="shared" si="28"/>
        <v>188</v>
      </c>
      <c r="AF102" s="192">
        <f t="shared" si="29"/>
        <v>345</v>
      </c>
    </row>
    <row r="103" spans="1:32" x14ac:dyDescent="0.25">
      <c r="A103" s="81">
        <v>40754</v>
      </c>
      <c r="B103" s="192">
        <f t="shared" si="3"/>
        <v>86</v>
      </c>
      <c r="C103" s="192">
        <f t="shared" si="30"/>
        <v>23</v>
      </c>
      <c r="D103" s="192">
        <f t="shared" si="31"/>
        <v>81</v>
      </c>
      <c r="E103" s="192">
        <f t="shared" si="32"/>
        <v>546</v>
      </c>
      <c r="F103" s="192">
        <f t="shared" si="4"/>
        <v>1260</v>
      </c>
      <c r="G103" s="192">
        <f t="shared" si="5"/>
        <v>73</v>
      </c>
      <c r="H103" s="192">
        <f t="shared" si="6"/>
        <v>1030</v>
      </c>
      <c r="I103" s="192">
        <f t="shared" si="7"/>
        <v>4892</v>
      </c>
      <c r="J103" s="192">
        <f t="shared" si="8"/>
        <v>33</v>
      </c>
      <c r="K103" s="192">
        <f t="shared" si="9"/>
        <v>3020</v>
      </c>
      <c r="L103" s="192">
        <f t="shared" si="10"/>
        <v>0</v>
      </c>
      <c r="M103" s="192">
        <f t="shared" si="11"/>
        <v>0</v>
      </c>
      <c r="N103" s="192">
        <f t="shared" si="12"/>
        <v>0</v>
      </c>
      <c r="O103" s="192">
        <f t="shared" si="13"/>
        <v>772</v>
      </c>
      <c r="P103" s="192">
        <f t="shared" si="14"/>
        <v>1437</v>
      </c>
      <c r="Q103" s="192">
        <f t="shared" si="15"/>
        <v>1211</v>
      </c>
      <c r="R103" s="192">
        <f t="shared" si="16"/>
        <v>251</v>
      </c>
      <c r="S103" s="192">
        <f t="shared" si="17"/>
        <v>116</v>
      </c>
      <c r="T103" s="192">
        <f t="shared" si="18"/>
        <v>39</v>
      </c>
      <c r="U103" s="192">
        <f t="shared" si="19"/>
        <v>101</v>
      </c>
      <c r="V103" s="192">
        <f t="shared" si="20"/>
        <v>1272</v>
      </c>
      <c r="W103" s="192">
        <f t="shared" si="21"/>
        <v>938</v>
      </c>
      <c r="X103" s="192">
        <f t="shared" si="22"/>
        <v>293</v>
      </c>
      <c r="Y103" s="192">
        <f t="shared" si="23"/>
        <v>66</v>
      </c>
      <c r="Z103" s="192">
        <f t="shared" si="24"/>
        <v>279</v>
      </c>
      <c r="AA103" s="192">
        <f t="shared" si="25"/>
        <v>89</v>
      </c>
      <c r="AB103" s="192">
        <f t="shared" si="26"/>
        <v>376</v>
      </c>
      <c r="AC103" s="192">
        <f t="shared" si="27"/>
        <v>902</v>
      </c>
      <c r="AD103" s="192">
        <f t="shared" si="28"/>
        <v>218</v>
      </c>
      <c r="AE103" s="192">
        <f t="shared" si="28"/>
        <v>194</v>
      </c>
      <c r="AF103" s="192">
        <f t="shared" si="29"/>
        <v>522</v>
      </c>
    </row>
    <row r="104" spans="1:32" x14ac:dyDescent="0.25">
      <c r="A104" s="81">
        <v>40755</v>
      </c>
      <c r="B104" s="192">
        <f t="shared" si="3"/>
        <v>134</v>
      </c>
      <c r="C104" s="192">
        <f t="shared" si="30"/>
        <v>23</v>
      </c>
      <c r="D104" s="192">
        <f t="shared" si="31"/>
        <v>219</v>
      </c>
      <c r="E104" s="192">
        <f t="shared" si="32"/>
        <v>656</v>
      </c>
      <c r="F104" s="192">
        <f t="shared" si="4"/>
        <v>1539</v>
      </c>
      <c r="G104" s="192">
        <f t="shared" si="5"/>
        <v>76</v>
      </c>
      <c r="H104" s="192">
        <f t="shared" si="6"/>
        <v>1373</v>
      </c>
      <c r="I104" s="192">
        <f t="shared" si="7"/>
        <v>4986</v>
      </c>
      <c r="J104" s="192">
        <f t="shared" si="8"/>
        <v>35</v>
      </c>
      <c r="K104" s="192">
        <f t="shared" si="9"/>
        <v>3384</v>
      </c>
      <c r="L104" s="192">
        <f t="shared" si="10"/>
        <v>0</v>
      </c>
      <c r="M104" s="192">
        <f t="shared" si="11"/>
        <v>0</v>
      </c>
      <c r="N104" s="192">
        <f t="shared" si="12"/>
        <v>533</v>
      </c>
      <c r="O104" s="192">
        <f t="shared" si="13"/>
        <v>883</v>
      </c>
      <c r="P104" s="192">
        <f t="shared" si="14"/>
        <v>1464</v>
      </c>
      <c r="Q104" s="192">
        <f t="shared" si="15"/>
        <v>2362</v>
      </c>
      <c r="R104" s="192">
        <f t="shared" si="16"/>
        <v>252</v>
      </c>
      <c r="S104" s="192">
        <f t="shared" si="17"/>
        <v>205</v>
      </c>
      <c r="T104" s="192">
        <f t="shared" si="18"/>
        <v>63</v>
      </c>
      <c r="U104" s="192">
        <f t="shared" si="19"/>
        <v>108</v>
      </c>
      <c r="V104" s="192">
        <f t="shared" si="20"/>
        <v>1470</v>
      </c>
      <c r="W104" s="192">
        <f t="shared" si="21"/>
        <v>963</v>
      </c>
      <c r="X104" s="192">
        <f t="shared" si="22"/>
        <v>350</v>
      </c>
      <c r="Y104" s="192">
        <f t="shared" si="23"/>
        <v>66</v>
      </c>
      <c r="Z104" s="192">
        <f t="shared" si="24"/>
        <v>310</v>
      </c>
      <c r="AA104" s="192">
        <f t="shared" si="25"/>
        <v>127</v>
      </c>
      <c r="AB104" s="192">
        <f t="shared" si="26"/>
        <v>579</v>
      </c>
      <c r="AC104" s="192">
        <f t="shared" si="27"/>
        <v>1183</v>
      </c>
      <c r="AD104" s="192">
        <f t="shared" si="28"/>
        <v>240</v>
      </c>
      <c r="AE104" s="192">
        <f t="shared" si="28"/>
        <v>199</v>
      </c>
      <c r="AF104" s="192">
        <f t="shared" si="29"/>
        <v>754</v>
      </c>
    </row>
    <row r="105" spans="1:32" x14ac:dyDescent="0.25">
      <c r="A105" s="81">
        <v>40756</v>
      </c>
      <c r="B105" s="192">
        <f t="shared" si="3"/>
        <v>134</v>
      </c>
      <c r="C105" s="192">
        <f t="shared" si="30"/>
        <v>23</v>
      </c>
      <c r="D105" s="192">
        <f t="shared" si="31"/>
        <v>971</v>
      </c>
      <c r="E105" s="192">
        <f t="shared" si="32"/>
        <v>779</v>
      </c>
      <c r="F105" s="192">
        <f t="shared" si="4"/>
        <v>1572</v>
      </c>
      <c r="G105" s="192">
        <f t="shared" si="5"/>
        <v>76</v>
      </c>
      <c r="H105" s="192">
        <f t="shared" si="6"/>
        <v>1741</v>
      </c>
      <c r="I105" s="192">
        <f t="shared" si="7"/>
        <v>5079</v>
      </c>
      <c r="J105" s="192">
        <f t="shared" si="8"/>
        <v>37</v>
      </c>
      <c r="K105" s="192">
        <f t="shared" si="9"/>
        <v>4091</v>
      </c>
      <c r="L105" s="192">
        <f t="shared" si="10"/>
        <v>0</v>
      </c>
      <c r="M105" s="192">
        <f t="shared" si="11"/>
        <v>0</v>
      </c>
      <c r="N105" s="192">
        <f t="shared" si="12"/>
        <v>557</v>
      </c>
      <c r="O105" s="192">
        <f t="shared" si="13"/>
        <v>980</v>
      </c>
      <c r="P105" s="192">
        <f t="shared" si="14"/>
        <v>1479</v>
      </c>
      <c r="Q105" s="192">
        <f t="shared" si="15"/>
        <v>2697</v>
      </c>
      <c r="R105" s="192">
        <f t="shared" si="16"/>
        <v>282</v>
      </c>
      <c r="S105" s="192">
        <f t="shared" si="17"/>
        <v>415</v>
      </c>
      <c r="T105" s="192">
        <f t="shared" si="18"/>
        <v>251</v>
      </c>
      <c r="U105" s="192">
        <f t="shared" si="19"/>
        <v>113</v>
      </c>
      <c r="V105" s="192">
        <f t="shared" si="20"/>
        <v>1795</v>
      </c>
      <c r="W105" s="192">
        <f t="shared" si="21"/>
        <v>1005</v>
      </c>
      <c r="X105" s="192">
        <f t="shared" si="22"/>
        <v>396</v>
      </c>
      <c r="Y105" s="192">
        <f t="shared" si="23"/>
        <v>68</v>
      </c>
      <c r="Z105" s="192">
        <f t="shared" si="24"/>
        <v>408</v>
      </c>
      <c r="AA105" s="192">
        <f t="shared" si="25"/>
        <v>167</v>
      </c>
      <c r="AB105" s="192">
        <f t="shared" si="26"/>
        <v>755</v>
      </c>
      <c r="AC105" s="192">
        <f t="shared" si="27"/>
        <v>1252</v>
      </c>
      <c r="AD105" s="192">
        <f t="shared" si="28"/>
        <v>284</v>
      </c>
      <c r="AE105" s="192">
        <f t="shared" si="28"/>
        <v>237</v>
      </c>
      <c r="AF105" s="192">
        <f t="shared" si="29"/>
        <v>965</v>
      </c>
    </row>
    <row r="106" spans="1:32" x14ac:dyDescent="0.25">
      <c r="A106" s="81">
        <v>40757</v>
      </c>
      <c r="B106" s="192">
        <f t="shared" si="3"/>
        <v>138</v>
      </c>
      <c r="C106" s="192">
        <f t="shared" si="30"/>
        <v>23</v>
      </c>
      <c r="D106" s="192">
        <f t="shared" si="31"/>
        <v>1174</v>
      </c>
      <c r="E106" s="192">
        <f t="shared" si="32"/>
        <v>914</v>
      </c>
      <c r="F106" s="192">
        <f t="shared" si="4"/>
        <v>1720</v>
      </c>
      <c r="G106" s="192">
        <f t="shared" si="5"/>
        <v>77</v>
      </c>
      <c r="H106" s="192">
        <f t="shared" si="6"/>
        <v>2072</v>
      </c>
      <c r="I106" s="192">
        <f t="shared" si="7"/>
        <v>5202</v>
      </c>
      <c r="J106" s="192">
        <f t="shared" si="8"/>
        <v>39</v>
      </c>
      <c r="K106" s="192">
        <f t="shared" si="9"/>
        <v>4459</v>
      </c>
      <c r="L106" s="192">
        <f t="shared" si="10"/>
        <v>0</v>
      </c>
      <c r="M106" s="192">
        <f t="shared" si="11"/>
        <v>0</v>
      </c>
      <c r="N106" s="192">
        <f t="shared" si="12"/>
        <v>583</v>
      </c>
      <c r="O106" s="192">
        <f t="shared" si="13"/>
        <v>1142</v>
      </c>
      <c r="P106" s="192">
        <f t="shared" si="14"/>
        <v>1508</v>
      </c>
      <c r="Q106" s="192">
        <f t="shared" si="15"/>
        <v>3340</v>
      </c>
      <c r="R106" s="192">
        <f t="shared" si="16"/>
        <v>315</v>
      </c>
      <c r="S106" s="192">
        <f t="shared" si="17"/>
        <v>603</v>
      </c>
      <c r="T106" s="192">
        <f t="shared" si="18"/>
        <v>351</v>
      </c>
      <c r="U106" s="192">
        <f t="shared" si="19"/>
        <v>223</v>
      </c>
      <c r="V106" s="192">
        <f t="shared" si="20"/>
        <v>2687</v>
      </c>
      <c r="W106" s="192">
        <f t="shared" si="21"/>
        <v>1349</v>
      </c>
      <c r="X106" s="192">
        <f t="shared" si="22"/>
        <v>492</v>
      </c>
      <c r="Y106" s="192">
        <f t="shared" si="23"/>
        <v>68</v>
      </c>
      <c r="Z106" s="192">
        <f t="shared" si="24"/>
        <v>489</v>
      </c>
      <c r="AA106" s="192">
        <f t="shared" si="25"/>
        <v>188</v>
      </c>
      <c r="AB106" s="192">
        <f t="shared" si="26"/>
        <v>883</v>
      </c>
      <c r="AC106" s="192">
        <f t="shared" si="27"/>
        <v>1459</v>
      </c>
      <c r="AD106" s="192">
        <f t="shared" si="28"/>
        <v>313</v>
      </c>
      <c r="AE106" s="192">
        <f t="shared" si="28"/>
        <v>261</v>
      </c>
      <c r="AF106" s="192">
        <f t="shared" si="29"/>
        <v>1348</v>
      </c>
    </row>
    <row r="107" spans="1:32" x14ac:dyDescent="0.25">
      <c r="A107" s="81">
        <v>40758</v>
      </c>
      <c r="B107" s="192">
        <f t="shared" si="3"/>
        <v>153</v>
      </c>
      <c r="C107" s="192">
        <f t="shared" si="30"/>
        <v>23</v>
      </c>
      <c r="D107" s="192">
        <f t="shared" si="31"/>
        <v>1180</v>
      </c>
      <c r="E107" s="192">
        <f t="shared" si="32"/>
        <v>939</v>
      </c>
      <c r="F107" s="192">
        <f t="shared" si="4"/>
        <v>2253</v>
      </c>
      <c r="G107" s="192">
        <f t="shared" si="5"/>
        <v>122</v>
      </c>
      <c r="H107" s="192">
        <f t="shared" si="6"/>
        <v>6325</v>
      </c>
      <c r="I107" s="192">
        <f t="shared" si="7"/>
        <v>5303</v>
      </c>
      <c r="J107" s="192">
        <f t="shared" si="8"/>
        <v>51</v>
      </c>
      <c r="K107" s="192">
        <f t="shared" si="9"/>
        <v>5351</v>
      </c>
      <c r="L107" s="192">
        <f t="shared" si="10"/>
        <v>0</v>
      </c>
      <c r="M107" s="192">
        <f t="shared" si="11"/>
        <v>0</v>
      </c>
      <c r="N107" s="192">
        <f t="shared" si="12"/>
        <v>649</v>
      </c>
      <c r="O107" s="192">
        <f t="shared" si="13"/>
        <v>1379</v>
      </c>
      <c r="P107" s="192">
        <f t="shared" si="14"/>
        <v>1515</v>
      </c>
      <c r="Q107" s="192">
        <f t="shared" si="15"/>
        <v>3385</v>
      </c>
      <c r="R107" s="192">
        <f t="shared" si="16"/>
        <v>358</v>
      </c>
      <c r="S107" s="192">
        <f t="shared" si="17"/>
        <v>771</v>
      </c>
      <c r="T107" s="192">
        <f t="shared" si="18"/>
        <v>580</v>
      </c>
      <c r="U107" s="192">
        <f t="shared" si="19"/>
        <v>462</v>
      </c>
      <c r="V107" s="192">
        <f t="shared" si="20"/>
        <v>2718</v>
      </c>
      <c r="W107" s="192">
        <f t="shared" si="21"/>
        <v>1506</v>
      </c>
      <c r="X107" s="192">
        <f t="shared" si="22"/>
        <v>1428</v>
      </c>
      <c r="Y107" s="192">
        <f t="shared" si="23"/>
        <v>68</v>
      </c>
      <c r="Z107" s="192">
        <f t="shared" si="24"/>
        <v>617</v>
      </c>
      <c r="AA107" s="192">
        <f t="shared" si="25"/>
        <v>202</v>
      </c>
      <c r="AB107" s="192">
        <f t="shared" si="26"/>
        <v>1051</v>
      </c>
      <c r="AC107" s="192">
        <f t="shared" si="27"/>
        <v>1606</v>
      </c>
      <c r="AD107" s="192">
        <f t="shared" si="28"/>
        <v>398</v>
      </c>
      <c r="AE107" s="192">
        <f t="shared" si="28"/>
        <v>314</v>
      </c>
      <c r="AF107" s="192">
        <f t="shared" si="29"/>
        <v>1707</v>
      </c>
    </row>
    <row r="108" spans="1:32" x14ac:dyDescent="0.25">
      <c r="A108" s="81">
        <v>40759</v>
      </c>
      <c r="B108" s="192">
        <f t="shared" si="3"/>
        <v>214</v>
      </c>
      <c r="C108" s="192">
        <f t="shared" si="30"/>
        <v>23</v>
      </c>
      <c r="D108" s="192">
        <f t="shared" si="31"/>
        <v>1230</v>
      </c>
      <c r="E108" s="192">
        <f t="shared" si="32"/>
        <v>1114</v>
      </c>
      <c r="F108" s="192">
        <f t="shared" si="4"/>
        <v>2396</v>
      </c>
      <c r="G108" s="192">
        <f t="shared" si="5"/>
        <v>134</v>
      </c>
      <c r="H108" s="192">
        <f t="shared" si="6"/>
        <v>6353</v>
      </c>
      <c r="I108" s="192">
        <f t="shared" si="7"/>
        <v>8215</v>
      </c>
      <c r="J108" s="192">
        <f t="shared" si="8"/>
        <v>54</v>
      </c>
      <c r="K108" s="192">
        <f t="shared" si="9"/>
        <v>5568</v>
      </c>
      <c r="L108" s="192">
        <f t="shared" si="10"/>
        <v>0</v>
      </c>
      <c r="M108" s="192">
        <f t="shared" si="11"/>
        <v>0</v>
      </c>
      <c r="N108" s="192">
        <f t="shared" si="12"/>
        <v>680</v>
      </c>
      <c r="O108" s="192">
        <f t="shared" si="13"/>
        <v>1649</v>
      </c>
      <c r="P108" s="192">
        <f t="shared" si="14"/>
        <v>1537</v>
      </c>
      <c r="Q108" s="192">
        <f t="shared" si="15"/>
        <v>3421</v>
      </c>
      <c r="R108" s="192">
        <f t="shared" si="16"/>
        <v>376</v>
      </c>
      <c r="S108" s="192">
        <f t="shared" si="17"/>
        <v>1183</v>
      </c>
      <c r="T108" s="192">
        <f t="shared" si="18"/>
        <v>585</v>
      </c>
      <c r="U108" s="192">
        <f t="shared" si="19"/>
        <v>652</v>
      </c>
      <c r="V108" s="192">
        <f t="shared" si="20"/>
        <v>2736</v>
      </c>
      <c r="W108" s="192">
        <f t="shared" si="21"/>
        <v>2054</v>
      </c>
      <c r="X108" s="192">
        <f t="shared" si="22"/>
        <v>1661</v>
      </c>
      <c r="Y108" s="192">
        <f t="shared" si="23"/>
        <v>69</v>
      </c>
      <c r="Z108" s="192">
        <f t="shared" si="24"/>
        <v>657</v>
      </c>
      <c r="AA108" s="192">
        <f t="shared" si="25"/>
        <v>267</v>
      </c>
      <c r="AB108" s="192">
        <f t="shared" si="26"/>
        <v>1333</v>
      </c>
      <c r="AC108" s="192">
        <f t="shared" si="27"/>
        <v>1684</v>
      </c>
      <c r="AD108" s="192">
        <f t="shared" si="28"/>
        <v>2171</v>
      </c>
      <c r="AE108" s="192">
        <f t="shared" si="28"/>
        <v>423</v>
      </c>
      <c r="AF108" s="192">
        <f t="shared" si="29"/>
        <v>2090</v>
      </c>
    </row>
    <row r="109" spans="1:32" x14ac:dyDescent="0.25">
      <c r="A109" s="81">
        <v>40760</v>
      </c>
      <c r="B109" s="192">
        <f t="shared" si="3"/>
        <v>274</v>
      </c>
      <c r="C109" s="192">
        <f t="shared" si="30"/>
        <v>23</v>
      </c>
      <c r="D109" s="192">
        <f t="shared" si="31"/>
        <v>1431</v>
      </c>
      <c r="E109" s="192">
        <f t="shared" si="32"/>
        <v>1451</v>
      </c>
      <c r="F109" s="192">
        <f t="shared" si="4"/>
        <v>2513</v>
      </c>
      <c r="G109" s="192">
        <f t="shared" si="5"/>
        <v>157</v>
      </c>
      <c r="H109" s="192">
        <f t="shared" si="6"/>
        <v>6522</v>
      </c>
      <c r="I109" s="192">
        <f t="shared" si="7"/>
        <v>8252</v>
      </c>
      <c r="J109" s="192">
        <f t="shared" si="8"/>
        <v>54</v>
      </c>
      <c r="K109" s="192">
        <f t="shared" si="9"/>
        <v>6156</v>
      </c>
      <c r="L109" s="192">
        <f t="shared" si="10"/>
        <v>0</v>
      </c>
      <c r="M109" s="192">
        <f t="shared" si="11"/>
        <v>0</v>
      </c>
      <c r="N109" s="192">
        <f t="shared" si="12"/>
        <v>681</v>
      </c>
      <c r="O109" s="192">
        <f t="shared" si="13"/>
        <v>1815</v>
      </c>
      <c r="P109" s="192">
        <f t="shared" si="14"/>
        <v>1551</v>
      </c>
      <c r="Q109" s="192">
        <f t="shared" si="15"/>
        <v>3507</v>
      </c>
      <c r="R109" s="192">
        <f t="shared" si="16"/>
        <v>450</v>
      </c>
      <c r="S109" s="192">
        <f t="shared" si="17"/>
        <v>1595</v>
      </c>
      <c r="T109" s="192">
        <f t="shared" si="18"/>
        <v>746</v>
      </c>
      <c r="U109" s="192">
        <f t="shared" si="19"/>
        <v>880</v>
      </c>
      <c r="V109" s="192">
        <f t="shared" si="20"/>
        <v>2802</v>
      </c>
      <c r="W109" s="192">
        <f t="shared" si="21"/>
        <v>2292</v>
      </c>
      <c r="X109" s="192">
        <f t="shared" si="22"/>
        <v>1723</v>
      </c>
      <c r="Y109" s="192">
        <f t="shared" si="23"/>
        <v>109</v>
      </c>
      <c r="Z109" s="192">
        <f t="shared" si="24"/>
        <v>688</v>
      </c>
      <c r="AA109" s="192">
        <f t="shared" si="25"/>
        <v>329</v>
      </c>
      <c r="AB109" s="192">
        <f t="shared" si="26"/>
        <v>1636</v>
      </c>
      <c r="AC109" s="192">
        <f t="shared" si="27"/>
        <v>1734</v>
      </c>
      <c r="AD109" s="192">
        <f t="shared" si="28"/>
        <v>2247</v>
      </c>
      <c r="AE109" s="192">
        <f t="shared" si="28"/>
        <v>480</v>
      </c>
      <c r="AF109" s="192">
        <f t="shared" si="29"/>
        <v>3668</v>
      </c>
    </row>
    <row r="110" spans="1:32" x14ac:dyDescent="0.25">
      <c r="A110" s="81">
        <v>40761</v>
      </c>
      <c r="B110" s="192">
        <f t="shared" si="3"/>
        <v>425</v>
      </c>
      <c r="C110" s="192">
        <f t="shared" si="30"/>
        <v>23</v>
      </c>
      <c r="D110" s="192">
        <f t="shared" si="31"/>
        <v>1807</v>
      </c>
      <c r="E110" s="192">
        <f t="shared" si="32"/>
        <v>1948</v>
      </c>
      <c r="F110" s="192">
        <f t="shared" si="4"/>
        <v>2562</v>
      </c>
      <c r="G110" s="192">
        <f t="shared" si="5"/>
        <v>178</v>
      </c>
      <c r="H110" s="192">
        <f t="shared" si="6"/>
        <v>6527</v>
      </c>
      <c r="I110" s="192">
        <f t="shared" si="7"/>
        <v>8317</v>
      </c>
      <c r="J110" s="192">
        <f t="shared" si="8"/>
        <v>54</v>
      </c>
      <c r="K110" s="192">
        <f t="shared" si="9"/>
        <v>6445</v>
      </c>
      <c r="L110" s="192">
        <f t="shared" si="10"/>
        <v>0</v>
      </c>
      <c r="M110" s="192">
        <f t="shared" si="11"/>
        <v>0</v>
      </c>
      <c r="N110" s="192">
        <f t="shared" si="12"/>
        <v>724</v>
      </c>
      <c r="O110" s="192">
        <f t="shared" si="13"/>
        <v>5617</v>
      </c>
      <c r="P110" s="192">
        <f t="shared" si="14"/>
        <v>1584</v>
      </c>
      <c r="Q110" s="192">
        <f t="shared" si="15"/>
        <v>3793</v>
      </c>
      <c r="R110" s="192">
        <f t="shared" si="16"/>
        <v>554</v>
      </c>
      <c r="S110" s="192">
        <f t="shared" si="17"/>
        <v>1913</v>
      </c>
      <c r="T110" s="192">
        <f t="shared" si="18"/>
        <v>1567</v>
      </c>
      <c r="U110" s="192">
        <f t="shared" si="19"/>
        <v>1100</v>
      </c>
      <c r="V110" s="192">
        <f t="shared" si="20"/>
        <v>3011</v>
      </c>
      <c r="W110" s="192">
        <f t="shared" si="21"/>
        <v>2488</v>
      </c>
      <c r="X110" s="192">
        <f t="shared" si="22"/>
        <v>1744</v>
      </c>
      <c r="Y110" s="192">
        <f t="shared" si="23"/>
        <v>209</v>
      </c>
      <c r="Z110" s="192">
        <f t="shared" si="24"/>
        <v>702</v>
      </c>
      <c r="AA110" s="192">
        <f t="shared" si="25"/>
        <v>378</v>
      </c>
      <c r="AB110" s="192">
        <f t="shared" si="26"/>
        <v>1787</v>
      </c>
      <c r="AC110" s="192">
        <f t="shared" si="27"/>
        <v>1808</v>
      </c>
      <c r="AD110" s="192">
        <f t="shared" si="28"/>
        <v>2281</v>
      </c>
      <c r="AE110" s="192">
        <f t="shared" si="28"/>
        <v>507</v>
      </c>
      <c r="AF110" s="192">
        <f t="shared" si="29"/>
        <v>4039</v>
      </c>
    </row>
    <row r="111" spans="1:32" x14ac:dyDescent="0.25">
      <c r="A111" s="81">
        <v>40762</v>
      </c>
      <c r="B111" s="192">
        <f t="shared" si="3"/>
        <v>2450</v>
      </c>
      <c r="C111" s="192">
        <f t="shared" si="30"/>
        <v>23</v>
      </c>
      <c r="D111" s="192">
        <f t="shared" si="31"/>
        <v>1924</v>
      </c>
      <c r="E111" s="192">
        <f t="shared" si="32"/>
        <v>2178</v>
      </c>
      <c r="F111" s="192">
        <f t="shared" si="4"/>
        <v>2665</v>
      </c>
      <c r="G111" s="192">
        <f t="shared" si="5"/>
        <v>211</v>
      </c>
      <c r="H111" s="192">
        <f t="shared" si="6"/>
        <v>6726</v>
      </c>
      <c r="I111" s="192">
        <f t="shared" si="7"/>
        <v>8370</v>
      </c>
      <c r="J111" s="192">
        <f t="shared" si="8"/>
        <v>54</v>
      </c>
      <c r="K111" s="192">
        <f t="shared" si="9"/>
        <v>6581</v>
      </c>
      <c r="L111" s="192">
        <f t="shared" si="10"/>
        <v>0</v>
      </c>
      <c r="M111" s="192">
        <f t="shared" si="11"/>
        <v>0</v>
      </c>
      <c r="N111" s="192">
        <f t="shared" si="12"/>
        <v>770</v>
      </c>
      <c r="O111" s="192">
        <f t="shared" si="13"/>
        <v>5832</v>
      </c>
      <c r="P111" s="192">
        <f t="shared" si="14"/>
        <v>1731</v>
      </c>
      <c r="Q111" s="192">
        <f t="shared" si="15"/>
        <v>9883</v>
      </c>
      <c r="R111" s="192">
        <f t="shared" si="16"/>
        <v>575</v>
      </c>
      <c r="S111" s="192">
        <f t="shared" si="17"/>
        <v>1977</v>
      </c>
      <c r="T111" s="192">
        <f t="shared" si="18"/>
        <v>1603</v>
      </c>
      <c r="U111" s="192">
        <f t="shared" si="19"/>
        <v>2771</v>
      </c>
      <c r="V111" s="192">
        <f t="shared" si="20"/>
        <v>3393</v>
      </c>
      <c r="W111" s="192">
        <f t="shared" si="21"/>
        <v>2520</v>
      </c>
      <c r="X111" s="192">
        <f t="shared" si="22"/>
        <v>1762</v>
      </c>
      <c r="Y111" s="192">
        <f t="shared" si="23"/>
        <v>243</v>
      </c>
      <c r="Z111" s="192">
        <f t="shared" si="24"/>
        <v>748</v>
      </c>
      <c r="AA111" s="192">
        <f t="shared" si="25"/>
        <v>846</v>
      </c>
      <c r="AB111" s="192">
        <f t="shared" si="26"/>
        <v>1938</v>
      </c>
      <c r="AC111" s="192">
        <f t="shared" si="27"/>
        <v>1950</v>
      </c>
      <c r="AD111" s="192">
        <f t="shared" si="28"/>
        <v>2352</v>
      </c>
      <c r="AE111" s="192">
        <f t="shared" si="28"/>
        <v>527</v>
      </c>
      <c r="AF111" s="192">
        <f t="shared" si="29"/>
        <v>4140</v>
      </c>
    </row>
    <row r="112" spans="1:32" x14ac:dyDescent="0.25">
      <c r="A112" s="81">
        <v>40763</v>
      </c>
      <c r="B112" s="192">
        <f t="shared" si="3"/>
        <v>2497</v>
      </c>
      <c r="C112" s="192">
        <f t="shared" si="30"/>
        <v>23</v>
      </c>
      <c r="D112" s="192">
        <f t="shared" si="31"/>
        <v>2194</v>
      </c>
      <c r="E112" s="192">
        <f t="shared" si="32"/>
        <v>2398</v>
      </c>
      <c r="F112" s="192">
        <f t="shared" si="4"/>
        <v>2693</v>
      </c>
      <c r="G112" s="192">
        <f t="shared" si="5"/>
        <v>231</v>
      </c>
      <c r="H112" s="192">
        <f t="shared" si="6"/>
        <v>6859</v>
      </c>
      <c r="I112" s="192">
        <f t="shared" si="7"/>
        <v>8426</v>
      </c>
      <c r="J112" s="192">
        <f t="shared" si="8"/>
        <v>54</v>
      </c>
      <c r="K112" s="192">
        <f t="shared" si="9"/>
        <v>6601</v>
      </c>
      <c r="L112" s="192">
        <f t="shared" si="10"/>
        <v>0</v>
      </c>
      <c r="M112" s="192">
        <f t="shared" si="11"/>
        <v>0</v>
      </c>
      <c r="N112" s="192">
        <f t="shared" si="12"/>
        <v>813</v>
      </c>
      <c r="O112" s="192">
        <f t="shared" si="13"/>
        <v>5913</v>
      </c>
      <c r="P112" s="192">
        <f t="shared" si="14"/>
        <v>1773</v>
      </c>
      <c r="Q112" s="192">
        <f t="shared" si="15"/>
        <v>9933</v>
      </c>
      <c r="R112" s="192">
        <f t="shared" si="16"/>
        <v>678</v>
      </c>
      <c r="S112" s="192">
        <f t="shared" si="17"/>
        <v>5409</v>
      </c>
      <c r="T112" s="192">
        <f t="shared" si="18"/>
        <v>2231</v>
      </c>
      <c r="U112" s="192">
        <f t="shared" si="19"/>
        <v>3270</v>
      </c>
      <c r="V112" s="192">
        <f t="shared" si="20"/>
        <v>3549</v>
      </c>
      <c r="W112" s="192">
        <f t="shared" si="21"/>
        <v>2630</v>
      </c>
      <c r="X112" s="192">
        <f t="shared" si="22"/>
        <v>1810</v>
      </c>
      <c r="Y112" s="192">
        <f t="shared" si="23"/>
        <v>267</v>
      </c>
      <c r="Z112" s="192">
        <f t="shared" si="24"/>
        <v>804</v>
      </c>
      <c r="AA112" s="192">
        <f t="shared" si="25"/>
        <v>850</v>
      </c>
      <c r="AB112" s="192">
        <f t="shared" si="26"/>
        <v>2024</v>
      </c>
      <c r="AC112" s="192">
        <f t="shared" si="27"/>
        <v>2059</v>
      </c>
      <c r="AD112" s="192">
        <f t="shared" si="28"/>
        <v>2423</v>
      </c>
      <c r="AE112" s="192">
        <f t="shared" si="28"/>
        <v>585</v>
      </c>
      <c r="AF112" s="192">
        <f t="shared" si="29"/>
        <v>4265</v>
      </c>
    </row>
    <row r="113" spans="1:32" x14ac:dyDescent="0.25">
      <c r="A113" s="81">
        <v>40764</v>
      </c>
      <c r="B113" s="192">
        <f t="shared" si="3"/>
        <v>2571</v>
      </c>
      <c r="C113" s="192">
        <f t="shared" si="30"/>
        <v>645</v>
      </c>
      <c r="D113" s="192">
        <f t="shared" si="31"/>
        <v>2490</v>
      </c>
      <c r="E113" s="192">
        <f t="shared" si="32"/>
        <v>2437</v>
      </c>
      <c r="F113" s="192">
        <f t="shared" si="4"/>
        <v>2701</v>
      </c>
      <c r="G113" s="192">
        <f t="shared" si="5"/>
        <v>272</v>
      </c>
      <c r="H113" s="192">
        <f t="shared" si="6"/>
        <v>7081</v>
      </c>
      <c r="I113" s="192">
        <f t="shared" si="7"/>
        <v>10665</v>
      </c>
      <c r="J113" s="192">
        <f t="shared" si="8"/>
        <v>54</v>
      </c>
      <c r="K113" s="192">
        <f t="shared" si="9"/>
        <v>6853</v>
      </c>
      <c r="L113" s="192">
        <f t="shared" si="10"/>
        <v>0</v>
      </c>
      <c r="M113" s="192">
        <f t="shared" si="11"/>
        <v>0</v>
      </c>
      <c r="N113" s="192">
        <f t="shared" si="12"/>
        <v>814</v>
      </c>
      <c r="O113" s="192">
        <f t="shared" si="13"/>
        <v>6017</v>
      </c>
      <c r="P113" s="192">
        <f t="shared" si="14"/>
        <v>1869</v>
      </c>
      <c r="Q113" s="192">
        <f t="shared" si="15"/>
        <v>9959</v>
      </c>
      <c r="R113" s="192">
        <f t="shared" si="16"/>
        <v>989</v>
      </c>
      <c r="S113" s="192">
        <f t="shared" si="17"/>
        <v>5613</v>
      </c>
      <c r="T113" s="192">
        <f t="shared" si="18"/>
        <v>2857</v>
      </c>
      <c r="U113" s="192">
        <f t="shared" si="19"/>
        <v>3373</v>
      </c>
      <c r="V113" s="192">
        <f t="shared" si="20"/>
        <v>3620</v>
      </c>
      <c r="W113" s="192">
        <f t="shared" si="21"/>
        <v>2794</v>
      </c>
      <c r="X113" s="192">
        <f t="shared" si="22"/>
        <v>1896</v>
      </c>
      <c r="Y113" s="192">
        <f t="shared" si="23"/>
        <v>337</v>
      </c>
      <c r="Z113" s="192">
        <f t="shared" si="24"/>
        <v>806</v>
      </c>
      <c r="AA113" s="192">
        <f t="shared" si="25"/>
        <v>1004</v>
      </c>
      <c r="AB113" s="192">
        <f t="shared" si="26"/>
        <v>2068</v>
      </c>
      <c r="AC113" s="192">
        <f t="shared" si="27"/>
        <v>2110</v>
      </c>
      <c r="AD113" s="192">
        <f t="shared" si="28"/>
        <v>2516</v>
      </c>
      <c r="AE113" s="192">
        <f t="shared" si="28"/>
        <v>673</v>
      </c>
      <c r="AF113" s="192">
        <f t="shared" si="29"/>
        <v>4398</v>
      </c>
    </row>
    <row r="114" spans="1:32" x14ac:dyDescent="0.25">
      <c r="A114" s="81">
        <v>40765</v>
      </c>
      <c r="B114" s="192">
        <f t="shared" si="3"/>
        <v>4808</v>
      </c>
      <c r="C114" s="192">
        <f t="shared" si="30"/>
        <v>4505</v>
      </c>
      <c r="D114" s="192">
        <f t="shared" si="31"/>
        <v>2892</v>
      </c>
      <c r="E114" s="192">
        <f t="shared" si="32"/>
        <v>3086</v>
      </c>
      <c r="F114" s="192">
        <f t="shared" si="4"/>
        <v>3695</v>
      </c>
      <c r="G114" s="192">
        <f t="shared" si="5"/>
        <v>314</v>
      </c>
      <c r="H114" s="192">
        <f t="shared" si="6"/>
        <v>7310</v>
      </c>
      <c r="I114" s="192">
        <f t="shared" si="7"/>
        <v>10688</v>
      </c>
      <c r="J114" s="192">
        <f t="shared" si="8"/>
        <v>54</v>
      </c>
      <c r="K114" s="192">
        <f t="shared" si="9"/>
        <v>6909</v>
      </c>
      <c r="L114" s="192">
        <f t="shared" si="10"/>
        <v>0</v>
      </c>
      <c r="M114" s="192">
        <f t="shared" si="11"/>
        <v>0</v>
      </c>
      <c r="N114" s="192">
        <f t="shared" si="12"/>
        <v>861</v>
      </c>
      <c r="O114" s="192">
        <f t="shared" si="13"/>
        <v>6095</v>
      </c>
      <c r="P114" s="192">
        <f t="shared" si="14"/>
        <v>1969</v>
      </c>
      <c r="Q114" s="192">
        <f t="shared" si="15"/>
        <v>10193</v>
      </c>
      <c r="R114" s="192">
        <f t="shared" si="16"/>
        <v>1028</v>
      </c>
      <c r="S114" s="192">
        <f t="shared" si="17"/>
        <v>5640</v>
      </c>
      <c r="T114" s="192">
        <f t="shared" si="18"/>
        <v>3072</v>
      </c>
      <c r="U114" s="192">
        <f t="shared" si="19"/>
        <v>3500</v>
      </c>
      <c r="V114" s="192">
        <f t="shared" si="20"/>
        <v>3624</v>
      </c>
      <c r="W114" s="192">
        <f t="shared" si="21"/>
        <v>2820</v>
      </c>
      <c r="X114" s="192">
        <f t="shared" si="22"/>
        <v>1962</v>
      </c>
      <c r="Y114" s="192">
        <f t="shared" si="23"/>
        <v>544</v>
      </c>
      <c r="Z114" s="192">
        <f t="shared" si="24"/>
        <v>828</v>
      </c>
      <c r="AA114" s="192">
        <f t="shared" si="25"/>
        <v>1005</v>
      </c>
      <c r="AB114" s="192">
        <f t="shared" si="26"/>
        <v>2130</v>
      </c>
      <c r="AC114" s="192">
        <f t="shared" si="27"/>
        <v>2126</v>
      </c>
      <c r="AD114" s="192">
        <f t="shared" si="28"/>
        <v>2578</v>
      </c>
      <c r="AE114" s="192">
        <f t="shared" si="28"/>
        <v>772</v>
      </c>
      <c r="AF114" s="192">
        <f t="shared" si="29"/>
        <v>4506</v>
      </c>
    </row>
    <row r="115" spans="1:32" x14ac:dyDescent="0.25">
      <c r="A115" s="81">
        <v>40766</v>
      </c>
      <c r="B115" s="192">
        <f t="shared" si="3"/>
        <v>5395</v>
      </c>
      <c r="C115" s="192">
        <f t="shared" si="30"/>
        <v>4505</v>
      </c>
      <c r="D115" s="192">
        <f t="shared" si="31"/>
        <v>3300</v>
      </c>
      <c r="E115" s="192">
        <f t="shared" si="32"/>
        <v>3355</v>
      </c>
      <c r="F115" s="192">
        <f t="shared" si="4"/>
        <v>3739</v>
      </c>
      <c r="G115" s="192">
        <f t="shared" si="5"/>
        <v>340</v>
      </c>
      <c r="H115" s="192">
        <f t="shared" si="6"/>
        <v>7492</v>
      </c>
      <c r="I115" s="192">
        <f t="shared" si="7"/>
        <v>11210</v>
      </c>
      <c r="J115" s="192">
        <f t="shared" si="8"/>
        <v>54</v>
      </c>
      <c r="K115" s="192">
        <f t="shared" si="9"/>
        <v>6986</v>
      </c>
      <c r="L115" s="192">
        <f t="shared" si="10"/>
        <v>0</v>
      </c>
      <c r="M115" s="192">
        <f t="shared" si="11"/>
        <v>0</v>
      </c>
      <c r="N115" s="192">
        <f t="shared" si="12"/>
        <v>1030</v>
      </c>
      <c r="O115" s="192">
        <f t="shared" si="13"/>
        <v>6163</v>
      </c>
      <c r="P115" s="192">
        <f t="shared" si="14"/>
        <v>2093</v>
      </c>
      <c r="Q115" s="192">
        <f t="shared" si="15"/>
        <v>10262</v>
      </c>
      <c r="R115" s="192">
        <f t="shared" si="16"/>
        <v>1058</v>
      </c>
      <c r="S115" s="192">
        <f t="shared" si="17"/>
        <v>5705</v>
      </c>
      <c r="T115" s="192">
        <f t="shared" si="18"/>
        <v>3749</v>
      </c>
      <c r="U115" s="192">
        <f t="shared" si="19"/>
        <v>3508</v>
      </c>
      <c r="V115" s="192">
        <f t="shared" si="20"/>
        <v>3663</v>
      </c>
      <c r="W115" s="192">
        <f t="shared" si="21"/>
        <v>3753</v>
      </c>
      <c r="X115" s="192">
        <f t="shared" si="22"/>
        <v>2018</v>
      </c>
      <c r="Y115" s="192">
        <f t="shared" si="23"/>
        <v>562</v>
      </c>
      <c r="Z115" s="192">
        <f t="shared" si="24"/>
        <v>833</v>
      </c>
      <c r="AA115" s="192">
        <f t="shared" si="25"/>
        <v>1005</v>
      </c>
      <c r="AB115" s="192">
        <f t="shared" si="26"/>
        <v>2138</v>
      </c>
      <c r="AC115" s="192">
        <f t="shared" si="27"/>
        <v>2164</v>
      </c>
      <c r="AD115" s="192">
        <f t="shared" si="28"/>
        <v>3254</v>
      </c>
      <c r="AE115" s="192">
        <f t="shared" si="28"/>
        <v>807</v>
      </c>
      <c r="AF115" s="192">
        <f t="shared" si="29"/>
        <v>4617</v>
      </c>
    </row>
    <row r="116" spans="1:32" x14ac:dyDescent="0.25">
      <c r="A116" s="81">
        <v>40767</v>
      </c>
      <c r="B116" s="192">
        <f t="shared" si="3"/>
        <v>5723</v>
      </c>
      <c r="C116" s="192">
        <f t="shared" si="30"/>
        <v>4725</v>
      </c>
      <c r="D116" s="192">
        <f t="shared" si="31"/>
        <v>3306</v>
      </c>
      <c r="E116" s="192">
        <f t="shared" si="32"/>
        <v>3367</v>
      </c>
      <c r="F116" s="192">
        <f t="shared" si="4"/>
        <v>4991</v>
      </c>
      <c r="G116" s="192">
        <f t="shared" si="5"/>
        <v>371</v>
      </c>
      <c r="H116" s="192">
        <f t="shared" si="6"/>
        <v>8680</v>
      </c>
      <c r="I116" s="192">
        <f t="shared" si="7"/>
        <v>11515</v>
      </c>
      <c r="J116" s="192">
        <f t="shared" si="8"/>
        <v>54</v>
      </c>
      <c r="K116" s="192">
        <f t="shared" si="9"/>
        <v>7357</v>
      </c>
      <c r="L116" s="192">
        <f t="shared" si="10"/>
        <v>0</v>
      </c>
      <c r="M116" s="192">
        <f t="shared" si="11"/>
        <v>0</v>
      </c>
      <c r="N116" s="192">
        <f t="shared" si="12"/>
        <v>1312</v>
      </c>
      <c r="O116" s="192">
        <f t="shared" si="13"/>
        <v>6275</v>
      </c>
      <c r="P116" s="192">
        <f t="shared" si="14"/>
        <v>2196</v>
      </c>
      <c r="Q116" s="192">
        <f t="shared" si="15"/>
        <v>10367</v>
      </c>
      <c r="R116" s="192">
        <f t="shared" si="16"/>
        <v>1098</v>
      </c>
      <c r="S116" s="192">
        <f t="shared" si="17"/>
        <v>5711</v>
      </c>
      <c r="T116" s="192">
        <f t="shared" si="18"/>
        <v>3906</v>
      </c>
      <c r="U116" s="192">
        <f t="shared" si="19"/>
        <v>3562</v>
      </c>
      <c r="V116" s="192">
        <f t="shared" si="20"/>
        <v>3715</v>
      </c>
      <c r="W116" s="192">
        <f t="shared" si="21"/>
        <v>3769</v>
      </c>
      <c r="X116" s="192">
        <f t="shared" si="22"/>
        <v>2095</v>
      </c>
      <c r="Y116" s="192">
        <f t="shared" si="23"/>
        <v>1331</v>
      </c>
      <c r="Z116" s="192">
        <f t="shared" si="24"/>
        <v>950</v>
      </c>
      <c r="AA116" s="192">
        <f t="shared" si="25"/>
        <v>1005</v>
      </c>
      <c r="AB116" s="192">
        <f t="shared" si="26"/>
        <v>2147</v>
      </c>
      <c r="AC116" s="192">
        <f t="shared" si="27"/>
        <v>2242</v>
      </c>
      <c r="AD116" s="192">
        <f t="shared" si="28"/>
        <v>3289</v>
      </c>
      <c r="AE116" s="192">
        <f t="shared" si="28"/>
        <v>815</v>
      </c>
      <c r="AF116" s="192">
        <f t="shared" si="29"/>
        <v>4674</v>
      </c>
    </row>
    <row r="117" spans="1:32" x14ac:dyDescent="0.25">
      <c r="A117" s="81">
        <v>40768</v>
      </c>
      <c r="B117" s="192">
        <f t="shared" si="3"/>
        <v>5798</v>
      </c>
      <c r="C117" s="192">
        <f t="shared" si="30"/>
        <v>6036</v>
      </c>
      <c r="D117" s="192">
        <f t="shared" si="31"/>
        <v>3318</v>
      </c>
      <c r="E117" s="192">
        <f t="shared" si="32"/>
        <v>5507</v>
      </c>
      <c r="F117" s="192">
        <f t="shared" si="4"/>
        <v>5001</v>
      </c>
      <c r="G117" s="192">
        <f t="shared" si="5"/>
        <v>392</v>
      </c>
      <c r="H117" s="192">
        <f t="shared" si="6"/>
        <v>8727</v>
      </c>
      <c r="I117" s="192">
        <f t="shared" si="7"/>
        <v>11571</v>
      </c>
      <c r="J117" s="192">
        <f t="shared" si="8"/>
        <v>54</v>
      </c>
      <c r="K117" s="192">
        <f t="shared" si="9"/>
        <v>7643</v>
      </c>
      <c r="L117" s="192">
        <f t="shared" si="10"/>
        <v>0</v>
      </c>
      <c r="M117" s="192">
        <f t="shared" si="11"/>
        <v>0</v>
      </c>
      <c r="N117" s="192">
        <f t="shared" si="12"/>
        <v>1597</v>
      </c>
      <c r="O117" s="192">
        <f t="shared" si="13"/>
        <v>6385</v>
      </c>
      <c r="P117" s="192">
        <f t="shared" si="14"/>
        <v>3213</v>
      </c>
      <c r="Q117" s="192">
        <f t="shared" si="15"/>
        <v>10411</v>
      </c>
      <c r="R117" s="192">
        <f t="shared" si="16"/>
        <v>3830</v>
      </c>
      <c r="S117" s="192">
        <f t="shared" si="17"/>
        <v>5719</v>
      </c>
      <c r="T117" s="192">
        <f t="shared" si="18"/>
        <v>3964</v>
      </c>
      <c r="U117" s="192">
        <f t="shared" si="19"/>
        <v>3719</v>
      </c>
      <c r="V117" s="192">
        <f t="shared" si="20"/>
        <v>3854</v>
      </c>
      <c r="W117" s="192">
        <f t="shared" si="21"/>
        <v>3972</v>
      </c>
      <c r="X117" s="192">
        <f t="shared" si="22"/>
        <v>2176</v>
      </c>
      <c r="Y117" s="192">
        <f t="shared" si="23"/>
        <v>1603</v>
      </c>
      <c r="Z117" s="192">
        <f t="shared" si="24"/>
        <v>1193</v>
      </c>
      <c r="AA117" s="192">
        <f t="shared" si="25"/>
        <v>1118</v>
      </c>
      <c r="AB117" s="192">
        <f t="shared" si="26"/>
        <v>2154</v>
      </c>
      <c r="AC117" s="192">
        <f t="shared" si="27"/>
        <v>2345</v>
      </c>
      <c r="AD117" s="192">
        <f t="shared" si="28"/>
        <v>3318</v>
      </c>
      <c r="AE117" s="192">
        <f t="shared" si="28"/>
        <v>872</v>
      </c>
      <c r="AF117" s="192">
        <f t="shared" si="29"/>
        <v>4719</v>
      </c>
    </row>
    <row r="118" spans="1:32" x14ac:dyDescent="0.25">
      <c r="A118" s="81">
        <v>40769</v>
      </c>
      <c r="B118" s="192">
        <f t="shared" si="3"/>
        <v>6283</v>
      </c>
      <c r="C118" s="192">
        <f t="shared" si="30"/>
        <v>6036</v>
      </c>
      <c r="D118" s="192">
        <f t="shared" si="31"/>
        <v>3348</v>
      </c>
      <c r="E118" s="192">
        <f t="shared" si="32"/>
        <v>5525</v>
      </c>
      <c r="F118" s="192">
        <f t="shared" si="4"/>
        <v>5040</v>
      </c>
      <c r="G118" s="192">
        <f t="shared" si="5"/>
        <v>412</v>
      </c>
      <c r="H118" s="192">
        <f t="shared" si="6"/>
        <v>8822</v>
      </c>
      <c r="I118" s="192">
        <f t="shared" si="7"/>
        <v>12613</v>
      </c>
      <c r="J118" s="192">
        <f t="shared" si="8"/>
        <v>66</v>
      </c>
      <c r="K118" s="192">
        <f t="shared" si="9"/>
        <v>7728</v>
      </c>
      <c r="L118" s="192">
        <f t="shared" si="10"/>
        <v>0</v>
      </c>
      <c r="M118" s="192">
        <f t="shared" si="11"/>
        <v>0</v>
      </c>
      <c r="N118" s="192">
        <f t="shared" si="12"/>
        <v>1749</v>
      </c>
      <c r="O118" s="192">
        <f t="shared" si="13"/>
        <v>6471</v>
      </c>
      <c r="P118" s="192">
        <f t="shared" si="14"/>
        <v>3350</v>
      </c>
      <c r="Q118" s="192">
        <f t="shared" si="15"/>
        <v>10606</v>
      </c>
      <c r="R118" s="192">
        <f t="shared" si="16"/>
        <v>5402</v>
      </c>
      <c r="S118" s="192">
        <f t="shared" si="17"/>
        <v>5719</v>
      </c>
      <c r="T118" s="192">
        <f t="shared" si="18"/>
        <v>4103</v>
      </c>
      <c r="U118" s="192">
        <f t="shared" si="19"/>
        <v>3728</v>
      </c>
      <c r="V118" s="192">
        <f t="shared" si="20"/>
        <v>4158</v>
      </c>
      <c r="W118" s="192">
        <f t="shared" si="21"/>
        <v>4029</v>
      </c>
      <c r="X118" s="192">
        <f t="shared" si="22"/>
        <v>2253</v>
      </c>
      <c r="Y118" s="192">
        <f t="shared" si="23"/>
        <v>1622</v>
      </c>
      <c r="Z118" s="192">
        <f t="shared" si="24"/>
        <v>1235</v>
      </c>
      <c r="AA118" s="192">
        <f t="shared" si="25"/>
        <v>1122</v>
      </c>
      <c r="AB118" s="192">
        <f t="shared" si="26"/>
        <v>2162</v>
      </c>
      <c r="AC118" s="192">
        <f t="shared" si="27"/>
        <v>2584</v>
      </c>
      <c r="AD118" s="192">
        <f t="shared" si="28"/>
        <v>3323</v>
      </c>
      <c r="AE118" s="192">
        <f t="shared" si="28"/>
        <v>932</v>
      </c>
      <c r="AF118" s="192">
        <f t="shared" si="29"/>
        <v>4726</v>
      </c>
    </row>
    <row r="119" spans="1:32" x14ac:dyDescent="0.25">
      <c r="A119" s="81">
        <v>40770</v>
      </c>
      <c r="B119" s="192">
        <f t="shared" si="3"/>
        <v>7673</v>
      </c>
      <c r="C119" s="192">
        <f t="shared" si="30"/>
        <v>6036</v>
      </c>
      <c r="D119" s="192">
        <f t="shared" si="31"/>
        <v>3352</v>
      </c>
      <c r="E119" s="192">
        <f t="shared" si="32"/>
        <v>5525</v>
      </c>
      <c r="F119" s="192">
        <f t="shared" si="4"/>
        <v>5567</v>
      </c>
      <c r="G119" s="192">
        <f t="shared" si="5"/>
        <v>442</v>
      </c>
      <c r="H119" s="192">
        <f t="shared" si="6"/>
        <v>8862</v>
      </c>
      <c r="I119" s="192">
        <f t="shared" si="7"/>
        <v>13028</v>
      </c>
      <c r="J119" s="192">
        <f t="shared" si="8"/>
        <v>86</v>
      </c>
      <c r="K119" s="192">
        <f t="shared" si="9"/>
        <v>7805</v>
      </c>
      <c r="L119" s="192">
        <f t="shared" si="10"/>
        <v>0</v>
      </c>
      <c r="M119" s="192">
        <f t="shared" si="11"/>
        <v>0</v>
      </c>
      <c r="N119" s="192">
        <f t="shared" si="12"/>
        <v>1793</v>
      </c>
      <c r="O119" s="192">
        <f t="shared" si="13"/>
        <v>6638</v>
      </c>
      <c r="P119" s="192">
        <f t="shared" si="14"/>
        <v>3415</v>
      </c>
      <c r="Q119" s="192">
        <f t="shared" si="15"/>
        <v>11041</v>
      </c>
      <c r="R119" s="192">
        <f t="shared" si="16"/>
        <v>5431</v>
      </c>
      <c r="S119" s="192">
        <f t="shared" si="17"/>
        <v>6532</v>
      </c>
      <c r="T119" s="192">
        <f t="shared" si="18"/>
        <v>4543</v>
      </c>
      <c r="U119" s="192">
        <f t="shared" si="19"/>
        <v>3728</v>
      </c>
      <c r="V119" s="192">
        <f t="shared" si="20"/>
        <v>4696</v>
      </c>
      <c r="W119" s="192">
        <f t="shared" si="21"/>
        <v>4119</v>
      </c>
      <c r="X119" s="192">
        <f t="shared" si="22"/>
        <v>2274</v>
      </c>
      <c r="Y119" s="192">
        <f t="shared" si="23"/>
        <v>1625</v>
      </c>
      <c r="Z119" s="192">
        <f t="shared" si="24"/>
        <v>1448</v>
      </c>
      <c r="AA119" s="192">
        <f t="shared" si="25"/>
        <v>1122</v>
      </c>
      <c r="AB119" s="192">
        <f t="shared" si="26"/>
        <v>2196</v>
      </c>
      <c r="AC119" s="192">
        <f t="shared" si="27"/>
        <v>2742</v>
      </c>
      <c r="AD119" s="192">
        <f t="shared" si="28"/>
        <v>4281</v>
      </c>
      <c r="AE119" s="192">
        <f t="shared" si="28"/>
        <v>1779</v>
      </c>
      <c r="AF119" s="192">
        <f t="shared" si="29"/>
        <v>4752</v>
      </c>
    </row>
    <row r="120" spans="1:32" x14ac:dyDescent="0.25">
      <c r="A120" s="81">
        <v>40771</v>
      </c>
      <c r="B120" s="192">
        <f t="shared" si="3"/>
        <v>7792</v>
      </c>
      <c r="C120" s="192">
        <f t="shared" si="30"/>
        <v>6036</v>
      </c>
      <c r="D120" s="192">
        <f t="shared" si="31"/>
        <v>3369</v>
      </c>
      <c r="E120" s="192">
        <f t="shared" si="32"/>
        <v>5525</v>
      </c>
      <c r="F120" s="192">
        <f t="shared" si="4"/>
        <v>8517</v>
      </c>
      <c r="G120" s="192">
        <f t="shared" si="5"/>
        <v>497</v>
      </c>
      <c r="H120" s="192">
        <f t="shared" si="6"/>
        <v>8877</v>
      </c>
      <c r="I120" s="192">
        <f t="shared" si="7"/>
        <v>13853</v>
      </c>
      <c r="J120" s="192">
        <f t="shared" si="8"/>
        <v>91</v>
      </c>
      <c r="K120" s="192">
        <f t="shared" si="9"/>
        <v>8131</v>
      </c>
      <c r="L120" s="192">
        <f t="shared" si="10"/>
        <v>0</v>
      </c>
      <c r="M120" s="192">
        <f t="shared" si="11"/>
        <v>0</v>
      </c>
      <c r="N120" s="192">
        <f t="shared" si="12"/>
        <v>1825</v>
      </c>
      <c r="O120" s="192">
        <f t="shared" si="13"/>
        <v>6756</v>
      </c>
      <c r="P120" s="192">
        <f t="shared" si="14"/>
        <v>3487</v>
      </c>
      <c r="Q120" s="192">
        <f t="shared" si="15"/>
        <v>11186</v>
      </c>
      <c r="R120" s="192">
        <f t="shared" si="16"/>
        <v>5522</v>
      </c>
      <c r="S120" s="192">
        <f t="shared" si="17"/>
        <v>6532</v>
      </c>
      <c r="T120" s="192">
        <f t="shared" si="18"/>
        <v>5150</v>
      </c>
      <c r="U120" s="192">
        <f t="shared" si="19"/>
        <v>3728</v>
      </c>
      <c r="V120" s="192">
        <f t="shared" si="20"/>
        <v>5056</v>
      </c>
      <c r="W120" s="192">
        <f t="shared" si="21"/>
        <v>4153</v>
      </c>
      <c r="X120" s="192">
        <f t="shared" si="22"/>
        <v>2330</v>
      </c>
      <c r="Y120" s="192">
        <f t="shared" si="23"/>
        <v>1625</v>
      </c>
      <c r="Z120" s="192">
        <f t="shared" si="24"/>
        <v>1448</v>
      </c>
      <c r="AA120" s="192">
        <f t="shared" si="25"/>
        <v>1124</v>
      </c>
      <c r="AB120" s="192">
        <f t="shared" si="26"/>
        <v>2648</v>
      </c>
      <c r="AC120" s="192">
        <f t="shared" si="27"/>
        <v>3398</v>
      </c>
      <c r="AD120" s="192">
        <f t="shared" si="28"/>
        <v>4495</v>
      </c>
      <c r="AE120" s="192">
        <f t="shared" si="28"/>
        <v>3330</v>
      </c>
      <c r="AF120" s="192">
        <f t="shared" si="29"/>
        <v>4826</v>
      </c>
    </row>
    <row r="121" spans="1:32" x14ac:dyDescent="0.25">
      <c r="A121" s="81">
        <v>40772</v>
      </c>
      <c r="B121" s="192">
        <f t="shared" si="3"/>
        <v>7811</v>
      </c>
      <c r="C121" s="192">
        <f t="shared" si="30"/>
        <v>6080</v>
      </c>
      <c r="D121" s="192">
        <f t="shared" si="31"/>
        <v>3378</v>
      </c>
      <c r="E121" s="192">
        <f t="shared" si="32"/>
        <v>5543</v>
      </c>
      <c r="F121" s="192">
        <f t="shared" si="4"/>
        <v>8794</v>
      </c>
      <c r="G121" s="192">
        <f t="shared" si="5"/>
        <v>509</v>
      </c>
      <c r="H121" s="192">
        <f t="shared" si="6"/>
        <v>8970</v>
      </c>
      <c r="I121" s="192">
        <f t="shared" si="7"/>
        <v>14029</v>
      </c>
      <c r="J121" s="192">
        <f t="shared" si="8"/>
        <v>91</v>
      </c>
      <c r="K121" s="192">
        <f t="shared" si="9"/>
        <v>8202</v>
      </c>
      <c r="L121" s="192">
        <f t="shared" si="10"/>
        <v>0</v>
      </c>
      <c r="M121" s="192">
        <f t="shared" si="11"/>
        <v>0</v>
      </c>
      <c r="N121" s="192">
        <f t="shared" si="12"/>
        <v>1842</v>
      </c>
      <c r="O121" s="192">
        <f t="shared" si="13"/>
        <v>6832</v>
      </c>
      <c r="P121" s="192">
        <f t="shared" si="14"/>
        <v>3544</v>
      </c>
      <c r="Q121" s="192">
        <f t="shared" si="15"/>
        <v>11382</v>
      </c>
      <c r="R121" s="192">
        <f t="shared" si="16"/>
        <v>5717</v>
      </c>
      <c r="S121" s="192">
        <f t="shared" si="17"/>
        <v>6563</v>
      </c>
      <c r="T121" s="192">
        <f t="shared" si="18"/>
        <v>5441</v>
      </c>
      <c r="U121" s="192">
        <f t="shared" si="19"/>
        <v>3728</v>
      </c>
      <c r="V121" s="192">
        <f t="shared" si="20"/>
        <v>5088</v>
      </c>
      <c r="W121" s="192">
        <f t="shared" si="21"/>
        <v>4195</v>
      </c>
      <c r="X121" s="192">
        <f t="shared" si="22"/>
        <v>2597</v>
      </c>
      <c r="Y121" s="192">
        <f t="shared" si="23"/>
        <v>2375</v>
      </c>
      <c r="Z121" s="192">
        <f t="shared" si="24"/>
        <v>1723</v>
      </c>
      <c r="AA121" s="192">
        <f t="shared" si="25"/>
        <v>1128</v>
      </c>
      <c r="AB121" s="192">
        <f t="shared" si="26"/>
        <v>2725</v>
      </c>
      <c r="AC121" s="192">
        <f t="shared" si="27"/>
        <v>3537</v>
      </c>
      <c r="AD121" s="192">
        <f t="shared" si="28"/>
        <v>4558</v>
      </c>
      <c r="AE121" s="192">
        <f t="shared" si="28"/>
        <v>3634</v>
      </c>
      <c r="AF121" s="192">
        <f t="shared" si="29"/>
        <v>4918</v>
      </c>
    </row>
    <row r="122" spans="1:32" x14ac:dyDescent="0.25">
      <c r="A122" s="81">
        <v>40773</v>
      </c>
      <c r="B122" s="192">
        <f t="shared" si="3"/>
        <v>7840</v>
      </c>
      <c r="C122" s="192">
        <f t="shared" si="30"/>
        <v>6150</v>
      </c>
      <c r="D122" s="192">
        <f t="shared" si="31"/>
        <v>3387</v>
      </c>
      <c r="E122" s="192">
        <f t="shared" si="32"/>
        <v>5575</v>
      </c>
      <c r="F122" s="192">
        <f t="shared" si="4"/>
        <v>8864</v>
      </c>
      <c r="G122" s="192">
        <f t="shared" si="5"/>
        <v>516</v>
      </c>
      <c r="H122" s="192">
        <f t="shared" si="6"/>
        <v>8978</v>
      </c>
      <c r="I122" s="192">
        <f t="shared" si="7"/>
        <v>14237</v>
      </c>
      <c r="J122" s="192">
        <f t="shared" si="8"/>
        <v>112</v>
      </c>
      <c r="K122" s="192">
        <f t="shared" si="9"/>
        <v>8233</v>
      </c>
      <c r="L122" s="192">
        <f t="shared" si="10"/>
        <v>0</v>
      </c>
      <c r="M122" s="192">
        <f t="shared" si="11"/>
        <v>0</v>
      </c>
      <c r="N122" s="192">
        <f t="shared" si="12"/>
        <v>1853</v>
      </c>
      <c r="O122" s="192">
        <f t="shared" si="13"/>
        <v>6894</v>
      </c>
      <c r="P122" s="192">
        <f t="shared" si="14"/>
        <v>3636</v>
      </c>
      <c r="Q122" s="192">
        <f t="shared" si="15"/>
        <v>11548</v>
      </c>
      <c r="R122" s="192">
        <f t="shared" si="16"/>
        <v>6311</v>
      </c>
      <c r="S122" s="192">
        <f t="shared" si="17"/>
        <v>6582</v>
      </c>
      <c r="T122" s="192">
        <f t="shared" si="18"/>
        <v>5516</v>
      </c>
      <c r="U122" s="192">
        <f t="shared" si="19"/>
        <v>3728</v>
      </c>
      <c r="V122" s="192">
        <f t="shared" si="20"/>
        <v>5088</v>
      </c>
      <c r="W122" s="192">
        <f t="shared" si="21"/>
        <v>4215</v>
      </c>
      <c r="X122" s="192">
        <f t="shared" si="22"/>
        <v>4884</v>
      </c>
      <c r="Y122" s="192">
        <f t="shared" si="23"/>
        <v>2407</v>
      </c>
      <c r="Z122" s="192">
        <f t="shared" si="24"/>
        <v>1793</v>
      </c>
      <c r="AA122" s="192">
        <f t="shared" si="25"/>
        <v>1128</v>
      </c>
      <c r="AB122" s="192">
        <f t="shared" si="26"/>
        <v>2725</v>
      </c>
      <c r="AC122" s="192">
        <f t="shared" si="27"/>
        <v>4552</v>
      </c>
      <c r="AD122" s="192">
        <f t="shared" si="28"/>
        <v>4582</v>
      </c>
      <c r="AE122" s="192">
        <f t="shared" si="28"/>
        <v>4148</v>
      </c>
      <c r="AF122" s="192">
        <f t="shared" si="29"/>
        <v>4981</v>
      </c>
    </row>
    <row r="123" spans="1:32" x14ac:dyDescent="0.25">
      <c r="A123" s="81">
        <v>40774</v>
      </c>
      <c r="B123" s="192">
        <f t="shared" si="3"/>
        <v>7902</v>
      </c>
      <c r="C123" s="192">
        <f t="shared" si="30"/>
        <v>6211</v>
      </c>
      <c r="D123" s="192">
        <f t="shared" si="31"/>
        <v>3408</v>
      </c>
      <c r="E123" s="192">
        <f t="shared" si="32"/>
        <v>5687</v>
      </c>
      <c r="F123" s="192">
        <f t="shared" si="4"/>
        <v>8887</v>
      </c>
      <c r="G123" s="192">
        <f t="shared" si="5"/>
        <v>637</v>
      </c>
      <c r="H123" s="192">
        <f t="shared" si="6"/>
        <v>8988</v>
      </c>
      <c r="I123" s="192">
        <f t="shared" si="7"/>
        <v>15055</v>
      </c>
      <c r="J123" s="192">
        <f t="shared" si="8"/>
        <v>142</v>
      </c>
      <c r="K123" s="192">
        <f t="shared" si="9"/>
        <v>8261</v>
      </c>
      <c r="L123" s="192">
        <f t="shared" si="10"/>
        <v>0</v>
      </c>
      <c r="M123" s="192">
        <f t="shared" si="11"/>
        <v>0</v>
      </c>
      <c r="N123" s="192">
        <f t="shared" si="12"/>
        <v>1885</v>
      </c>
      <c r="O123" s="192">
        <f t="shared" si="13"/>
        <v>6958</v>
      </c>
      <c r="P123" s="192">
        <f t="shared" si="14"/>
        <v>3669</v>
      </c>
      <c r="Q123" s="192">
        <f t="shared" si="15"/>
        <v>11588</v>
      </c>
      <c r="R123" s="192">
        <f t="shared" si="16"/>
        <v>6423</v>
      </c>
      <c r="S123" s="192">
        <f t="shared" si="17"/>
        <v>6585</v>
      </c>
      <c r="T123" s="192">
        <f t="shared" si="18"/>
        <v>6899</v>
      </c>
      <c r="U123" s="192">
        <f t="shared" si="19"/>
        <v>3729</v>
      </c>
      <c r="V123" s="192">
        <f t="shared" si="20"/>
        <v>5109</v>
      </c>
      <c r="W123" s="192">
        <f t="shared" si="21"/>
        <v>4229</v>
      </c>
      <c r="X123" s="192">
        <f t="shared" si="22"/>
        <v>5019</v>
      </c>
      <c r="Y123" s="192">
        <f t="shared" si="23"/>
        <v>2415</v>
      </c>
      <c r="Z123" s="192">
        <f t="shared" si="24"/>
        <v>1805</v>
      </c>
      <c r="AA123" s="192">
        <f t="shared" si="25"/>
        <v>1129</v>
      </c>
      <c r="AB123" s="192">
        <f t="shared" si="26"/>
        <v>2725</v>
      </c>
      <c r="AC123" s="192">
        <f t="shared" si="27"/>
        <v>4596</v>
      </c>
      <c r="AD123" s="192">
        <f t="shared" si="28"/>
        <v>4602</v>
      </c>
      <c r="AE123" s="192">
        <f t="shared" si="28"/>
        <v>4448</v>
      </c>
      <c r="AF123" s="192">
        <f t="shared" si="29"/>
        <v>5002</v>
      </c>
    </row>
    <row r="124" spans="1:32" x14ac:dyDescent="0.25">
      <c r="A124" s="81">
        <v>40775</v>
      </c>
      <c r="B124" s="192">
        <f t="shared" si="3"/>
        <v>7940</v>
      </c>
      <c r="C124" s="192">
        <f t="shared" si="30"/>
        <v>6211</v>
      </c>
      <c r="D124" s="192">
        <f t="shared" si="31"/>
        <v>3439</v>
      </c>
      <c r="E124" s="192">
        <f t="shared" si="32"/>
        <v>5715</v>
      </c>
      <c r="F124" s="192">
        <f t="shared" si="4"/>
        <v>8929</v>
      </c>
      <c r="G124" s="192">
        <f t="shared" si="5"/>
        <v>652</v>
      </c>
      <c r="H124" s="192">
        <f t="shared" si="6"/>
        <v>9076</v>
      </c>
      <c r="I124" s="192">
        <f t="shared" si="7"/>
        <v>15732</v>
      </c>
      <c r="J124" s="192">
        <f t="shared" si="8"/>
        <v>149</v>
      </c>
      <c r="K124" s="192">
        <f t="shared" si="9"/>
        <v>8425</v>
      </c>
      <c r="L124" s="192">
        <f t="shared" si="10"/>
        <v>0</v>
      </c>
      <c r="M124" s="192">
        <f t="shared" si="11"/>
        <v>0</v>
      </c>
      <c r="N124" s="192">
        <f t="shared" si="12"/>
        <v>1910</v>
      </c>
      <c r="O124" s="192">
        <f t="shared" si="13"/>
        <v>7041</v>
      </c>
      <c r="P124" s="192">
        <f t="shared" si="14"/>
        <v>3909</v>
      </c>
      <c r="Q124" s="192">
        <f t="shared" si="15"/>
        <v>11740</v>
      </c>
      <c r="R124" s="192">
        <f t="shared" si="16"/>
        <v>6445</v>
      </c>
      <c r="S124" s="192">
        <f t="shared" si="17"/>
        <v>6634</v>
      </c>
      <c r="T124" s="192">
        <f t="shared" si="18"/>
        <v>7010</v>
      </c>
      <c r="U124" s="192">
        <f t="shared" si="19"/>
        <v>3732</v>
      </c>
      <c r="V124" s="192">
        <f t="shared" si="20"/>
        <v>5157</v>
      </c>
      <c r="W124" s="192">
        <f t="shared" si="21"/>
        <v>4296</v>
      </c>
      <c r="X124" s="192">
        <f t="shared" si="22"/>
        <v>5059</v>
      </c>
      <c r="Y124" s="192">
        <f t="shared" si="23"/>
        <v>2479</v>
      </c>
      <c r="Z124" s="192">
        <f t="shared" si="24"/>
        <v>1805</v>
      </c>
      <c r="AA124" s="192">
        <f t="shared" si="25"/>
        <v>1129</v>
      </c>
      <c r="AB124" s="192">
        <f t="shared" si="26"/>
        <v>2725</v>
      </c>
      <c r="AC124" s="192">
        <f t="shared" si="27"/>
        <v>4648</v>
      </c>
      <c r="AD124" s="192">
        <f t="shared" si="28"/>
        <v>4727</v>
      </c>
      <c r="AE124" s="192">
        <f t="shared" si="28"/>
        <v>4639</v>
      </c>
      <c r="AF124" s="192">
        <f t="shared" si="29"/>
        <v>5043</v>
      </c>
    </row>
    <row r="125" spans="1:32" x14ac:dyDescent="0.25">
      <c r="A125" s="81">
        <v>40776</v>
      </c>
      <c r="B125" s="192">
        <f t="shared" si="3"/>
        <v>8010</v>
      </c>
      <c r="C125" s="192">
        <f t="shared" si="30"/>
        <v>6975</v>
      </c>
      <c r="D125" s="192">
        <f t="shared" si="31"/>
        <v>6870</v>
      </c>
      <c r="E125" s="192">
        <f t="shared" si="32"/>
        <v>5738</v>
      </c>
      <c r="F125" s="192">
        <f t="shared" si="4"/>
        <v>8945</v>
      </c>
      <c r="G125" s="192">
        <f t="shared" si="5"/>
        <v>668</v>
      </c>
      <c r="H125" s="192">
        <f t="shared" si="6"/>
        <v>9970</v>
      </c>
      <c r="I125" s="192">
        <f t="shared" si="7"/>
        <v>15825</v>
      </c>
      <c r="J125" s="192">
        <f t="shared" si="8"/>
        <v>154</v>
      </c>
      <c r="K125" s="192">
        <f t="shared" si="9"/>
        <v>8644</v>
      </c>
      <c r="L125" s="192">
        <f t="shared" si="10"/>
        <v>0</v>
      </c>
      <c r="M125" s="192">
        <f t="shared" si="11"/>
        <v>0</v>
      </c>
      <c r="N125" s="192">
        <f t="shared" si="12"/>
        <v>1914</v>
      </c>
      <c r="O125" s="192">
        <f t="shared" si="13"/>
        <v>7373</v>
      </c>
      <c r="P125" s="192">
        <f t="shared" si="14"/>
        <v>3989</v>
      </c>
      <c r="Q125" s="192">
        <f t="shared" si="15"/>
        <v>11803</v>
      </c>
      <c r="R125" s="192">
        <f t="shared" si="16"/>
        <v>6470</v>
      </c>
      <c r="S125" s="192">
        <f t="shared" si="17"/>
        <v>6664</v>
      </c>
      <c r="T125" s="192">
        <f t="shared" si="18"/>
        <v>7060</v>
      </c>
      <c r="U125" s="192">
        <f t="shared" si="19"/>
        <v>3747</v>
      </c>
      <c r="V125" s="192">
        <f t="shared" si="20"/>
        <v>5192</v>
      </c>
      <c r="W125" s="192">
        <f t="shared" si="21"/>
        <v>4307</v>
      </c>
      <c r="X125" s="192">
        <f t="shared" si="22"/>
        <v>5086</v>
      </c>
      <c r="Y125" s="192">
        <f t="shared" si="23"/>
        <v>2481</v>
      </c>
      <c r="Z125" s="192">
        <f t="shared" si="24"/>
        <v>1948</v>
      </c>
      <c r="AA125" s="192">
        <f t="shared" si="25"/>
        <v>1130</v>
      </c>
      <c r="AB125" s="192">
        <f t="shared" si="26"/>
        <v>2770</v>
      </c>
      <c r="AC125" s="192">
        <f t="shared" si="27"/>
        <v>4663</v>
      </c>
      <c r="AD125" s="192">
        <f t="shared" si="28"/>
        <v>4727</v>
      </c>
      <c r="AE125" s="192">
        <f t="shared" si="28"/>
        <v>4754</v>
      </c>
      <c r="AF125" s="192">
        <f t="shared" si="29"/>
        <v>5063</v>
      </c>
    </row>
    <row r="126" spans="1:32" x14ac:dyDescent="0.25">
      <c r="A126" s="81">
        <v>40777</v>
      </c>
      <c r="B126" s="192">
        <f t="shared" si="3"/>
        <v>8815</v>
      </c>
      <c r="C126" s="192">
        <f t="shared" si="30"/>
        <v>7069</v>
      </c>
      <c r="D126" s="192">
        <f t="shared" si="31"/>
        <v>6971</v>
      </c>
      <c r="E126" s="192">
        <f t="shared" si="32"/>
        <v>5744</v>
      </c>
      <c r="F126" s="192">
        <f t="shared" si="4"/>
        <v>9163</v>
      </c>
      <c r="G126" s="192">
        <f t="shared" si="5"/>
        <v>737</v>
      </c>
      <c r="H126" s="192">
        <f t="shared" si="6"/>
        <v>10370</v>
      </c>
      <c r="I126" s="192">
        <f t="shared" si="7"/>
        <v>15995</v>
      </c>
      <c r="J126" s="192">
        <f t="shared" si="8"/>
        <v>187</v>
      </c>
      <c r="K126" s="192">
        <f t="shared" si="9"/>
        <v>8922</v>
      </c>
      <c r="L126" s="192">
        <f t="shared" si="10"/>
        <v>0</v>
      </c>
      <c r="M126" s="192">
        <f t="shared" si="11"/>
        <v>0</v>
      </c>
      <c r="N126" s="192">
        <f t="shared" si="12"/>
        <v>1944</v>
      </c>
      <c r="O126" s="192">
        <f t="shared" si="13"/>
        <v>8536</v>
      </c>
      <c r="P126" s="192">
        <f t="shared" si="14"/>
        <v>4243</v>
      </c>
      <c r="Q126" s="192">
        <f t="shared" si="15"/>
        <v>11804</v>
      </c>
      <c r="R126" s="192">
        <f t="shared" si="16"/>
        <v>7161</v>
      </c>
      <c r="S126" s="192">
        <f t="shared" si="17"/>
        <v>6666</v>
      </c>
      <c r="T126" s="192">
        <f t="shared" si="18"/>
        <v>7077</v>
      </c>
      <c r="U126" s="192">
        <f t="shared" si="19"/>
        <v>3790</v>
      </c>
      <c r="V126" s="192">
        <f t="shared" si="20"/>
        <v>5203</v>
      </c>
      <c r="W126" s="192">
        <f t="shared" si="21"/>
        <v>4360</v>
      </c>
      <c r="X126" s="192">
        <f t="shared" si="22"/>
        <v>5404</v>
      </c>
      <c r="Y126" s="192">
        <f t="shared" si="23"/>
        <v>2854</v>
      </c>
      <c r="Z126" s="192">
        <f t="shared" si="24"/>
        <v>1958</v>
      </c>
      <c r="AA126" s="192">
        <f t="shared" si="25"/>
        <v>1130</v>
      </c>
      <c r="AB126" s="192">
        <f t="shared" si="26"/>
        <v>2888</v>
      </c>
      <c r="AC126" s="192">
        <f t="shared" si="27"/>
        <v>4673</v>
      </c>
      <c r="AD126" s="192">
        <f t="shared" si="28"/>
        <v>4727</v>
      </c>
      <c r="AE126" s="192">
        <f t="shared" si="28"/>
        <v>4788</v>
      </c>
      <c r="AF126" s="192">
        <f t="shared" si="29"/>
        <v>5099</v>
      </c>
    </row>
    <row r="127" spans="1:32" x14ac:dyDescent="0.25">
      <c r="A127" s="81">
        <v>40778</v>
      </c>
      <c r="B127" s="192">
        <f t="shared" si="3"/>
        <v>8915</v>
      </c>
      <c r="C127" s="192">
        <f t="shared" si="30"/>
        <v>7069</v>
      </c>
      <c r="D127" s="192">
        <f t="shared" si="31"/>
        <v>6985</v>
      </c>
      <c r="E127" s="192">
        <f t="shared" si="32"/>
        <v>5774</v>
      </c>
      <c r="F127" s="192">
        <f t="shared" si="4"/>
        <v>9163</v>
      </c>
      <c r="G127" s="192">
        <f t="shared" si="5"/>
        <v>771</v>
      </c>
      <c r="H127" s="192">
        <f t="shared" si="6"/>
        <v>10493</v>
      </c>
      <c r="I127" s="192">
        <f t="shared" si="7"/>
        <v>16471</v>
      </c>
      <c r="J127" s="192">
        <f t="shared" si="8"/>
        <v>204</v>
      </c>
      <c r="K127" s="192">
        <f t="shared" si="9"/>
        <v>9052</v>
      </c>
      <c r="L127" s="192">
        <f t="shared" si="10"/>
        <v>0</v>
      </c>
      <c r="M127" s="192">
        <f t="shared" si="11"/>
        <v>0</v>
      </c>
      <c r="N127" s="192">
        <f t="shared" si="12"/>
        <v>1994</v>
      </c>
      <c r="O127" s="192">
        <f t="shared" si="13"/>
        <v>9890</v>
      </c>
      <c r="P127" s="192">
        <f t="shared" si="14"/>
        <v>4443</v>
      </c>
      <c r="Q127" s="192">
        <f t="shared" si="15"/>
        <v>11992</v>
      </c>
      <c r="R127" s="192">
        <f t="shared" si="16"/>
        <v>7206</v>
      </c>
      <c r="S127" s="192">
        <f t="shared" si="17"/>
        <v>6713</v>
      </c>
      <c r="T127" s="192">
        <f t="shared" si="18"/>
        <v>7079</v>
      </c>
      <c r="U127" s="192">
        <f t="shared" si="19"/>
        <v>4018</v>
      </c>
      <c r="V127" s="192">
        <f t="shared" si="20"/>
        <v>5217</v>
      </c>
      <c r="W127" s="192">
        <f t="shared" si="21"/>
        <v>4365</v>
      </c>
      <c r="X127" s="192">
        <f t="shared" si="22"/>
        <v>5496</v>
      </c>
      <c r="Y127" s="192">
        <f t="shared" si="23"/>
        <v>2910</v>
      </c>
      <c r="Z127" s="192">
        <f t="shared" si="24"/>
        <v>1958</v>
      </c>
      <c r="AA127" s="192">
        <f t="shared" si="25"/>
        <v>1490</v>
      </c>
      <c r="AB127" s="192">
        <f t="shared" si="26"/>
        <v>2915</v>
      </c>
      <c r="AC127" s="192">
        <f t="shared" si="27"/>
        <v>4694</v>
      </c>
      <c r="AD127" s="192">
        <f t="shared" si="28"/>
        <v>4727</v>
      </c>
      <c r="AE127" s="192">
        <f t="shared" si="28"/>
        <v>4839</v>
      </c>
      <c r="AF127" s="192">
        <f t="shared" si="29"/>
        <v>5105</v>
      </c>
    </row>
    <row r="128" spans="1:32" x14ac:dyDescent="0.25">
      <c r="A128" s="81">
        <v>40779</v>
      </c>
      <c r="B128" s="192">
        <f t="shared" si="3"/>
        <v>8968</v>
      </c>
      <c r="C128" s="192">
        <f t="shared" si="30"/>
        <v>7085</v>
      </c>
      <c r="D128" s="192">
        <f t="shared" si="31"/>
        <v>7014</v>
      </c>
      <c r="E128" s="192">
        <f t="shared" si="32"/>
        <v>5790</v>
      </c>
      <c r="F128" s="192">
        <f t="shared" si="4"/>
        <v>9201</v>
      </c>
      <c r="G128" s="192">
        <f t="shared" si="5"/>
        <v>782</v>
      </c>
      <c r="H128" s="192">
        <f t="shared" si="6"/>
        <v>10553</v>
      </c>
      <c r="I128" s="192">
        <f t="shared" si="7"/>
        <v>16959</v>
      </c>
      <c r="J128" s="192">
        <f t="shared" si="8"/>
        <v>225</v>
      </c>
      <c r="K128" s="192">
        <f t="shared" si="9"/>
        <v>9208</v>
      </c>
      <c r="L128" s="192">
        <f t="shared" si="10"/>
        <v>0</v>
      </c>
      <c r="M128" s="192">
        <f t="shared" si="11"/>
        <v>0</v>
      </c>
      <c r="N128" s="192">
        <f t="shared" si="12"/>
        <v>1998</v>
      </c>
      <c r="O128" s="192">
        <f t="shared" si="13"/>
        <v>9901</v>
      </c>
      <c r="P128" s="192">
        <f t="shared" si="14"/>
        <v>4484</v>
      </c>
      <c r="Q128" s="192">
        <f t="shared" si="15"/>
        <v>12667</v>
      </c>
      <c r="R128" s="192">
        <f t="shared" si="16"/>
        <v>7219</v>
      </c>
      <c r="S128" s="192">
        <f t="shared" si="17"/>
        <v>6714</v>
      </c>
      <c r="T128" s="192">
        <f t="shared" si="18"/>
        <v>7114</v>
      </c>
      <c r="U128" s="192">
        <f t="shared" si="19"/>
        <v>4023</v>
      </c>
      <c r="V128" s="192">
        <f t="shared" si="20"/>
        <v>5227</v>
      </c>
      <c r="W128" s="192">
        <f t="shared" si="21"/>
        <v>4407</v>
      </c>
      <c r="X128" s="192">
        <f t="shared" si="22"/>
        <v>5523</v>
      </c>
      <c r="Y128" s="192">
        <f t="shared" si="23"/>
        <v>2927</v>
      </c>
      <c r="Z128" s="192">
        <f t="shared" si="24"/>
        <v>1958</v>
      </c>
      <c r="AA128" s="192">
        <f t="shared" si="25"/>
        <v>1491</v>
      </c>
      <c r="AB128" s="192">
        <f t="shared" si="26"/>
        <v>2935</v>
      </c>
      <c r="AC128" s="192">
        <f t="shared" si="27"/>
        <v>4768</v>
      </c>
      <c r="AD128" s="192">
        <f t="shared" si="28"/>
        <v>4727</v>
      </c>
      <c r="AE128" s="192">
        <f t="shared" si="28"/>
        <v>4863</v>
      </c>
      <c r="AF128" s="192">
        <f t="shared" si="29"/>
        <v>5131</v>
      </c>
    </row>
    <row r="129" spans="1:32" x14ac:dyDescent="0.25">
      <c r="A129" s="81">
        <v>40780</v>
      </c>
      <c r="B129" s="192">
        <f t="shared" si="3"/>
        <v>8974</v>
      </c>
      <c r="C129" s="192">
        <f t="shared" si="30"/>
        <v>9625</v>
      </c>
      <c r="D129" s="192">
        <f t="shared" si="31"/>
        <v>7015</v>
      </c>
      <c r="E129" s="192">
        <f t="shared" si="32"/>
        <v>5803</v>
      </c>
      <c r="F129" s="192">
        <f t="shared" si="4"/>
        <v>9203</v>
      </c>
      <c r="G129" s="192">
        <f t="shared" si="5"/>
        <v>848</v>
      </c>
      <c r="H129" s="192">
        <f t="shared" si="6"/>
        <v>10691</v>
      </c>
      <c r="I129" s="192">
        <f t="shared" si="7"/>
        <v>17121</v>
      </c>
      <c r="J129" s="192">
        <f t="shared" si="8"/>
        <v>225</v>
      </c>
      <c r="K129" s="192">
        <f t="shared" si="9"/>
        <v>9379</v>
      </c>
      <c r="L129" s="192">
        <f t="shared" si="10"/>
        <v>0</v>
      </c>
      <c r="M129" s="192">
        <f t="shared" si="11"/>
        <v>0</v>
      </c>
      <c r="N129" s="192">
        <f t="shared" si="12"/>
        <v>2031</v>
      </c>
      <c r="O129" s="192">
        <f t="shared" si="13"/>
        <v>10011</v>
      </c>
      <c r="P129" s="192">
        <f t="shared" si="14"/>
        <v>4547</v>
      </c>
      <c r="Q129" s="192">
        <f t="shared" si="15"/>
        <v>12697</v>
      </c>
      <c r="R129" s="192">
        <f t="shared" si="16"/>
        <v>7325</v>
      </c>
      <c r="S129" s="192">
        <f t="shared" si="17"/>
        <v>6717</v>
      </c>
      <c r="T129" s="192">
        <f t="shared" si="18"/>
        <v>7136</v>
      </c>
      <c r="U129" s="192">
        <f t="shared" si="19"/>
        <v>4036</v>
      </c>
      <c r="V129" s="192">
        <f t="shared" si="20"/>
        <v>5246</v>
      </c>
      <c r="W129" s="192">
        <f t="shared" si="21"/>
        <v>4416</v>
      </c>
      <c r="X129" s="192">
        <f t="shared" si="22"/>
        <v>5818</v>
      </c>
      <c r="Y129" s="192">
        <f t="shared" si="23"/>
        <v>3895</v>
      </c>
      <c r="Z129" s="192">
        <f t="shared" si="24"/>
        <v>1964</v>
      </c>
      <c r="AA129" s="192">
        <f t="shared" si="25"/>
        <v>1516</v>
      </c>
      <c r="AB129" s="192">
        <f t="shared" si="26"/>
        <v>2969</v>
      </c>
      <c r="AC129" s="192">
        <f t="shared" si="27"/>
        <v>4809</v>
      </c>
      <c r="AD129" s="192">
        <f t="shared" si="28"/>
        <v>4728</v>
      </c>
      <c r="AE129" s="192">
        <f t="shared" si="28"/>
        <v>4877</v>
      </c>
      <c r="AF129" s="192">
        <f t="shared" si="29"/>
        <v>5135</v>
      </c>
    </row>
    <row r="130" spans="1:32" x14ac:dyDescent="0.25">
      <c r="A130" s="81">
        <v>40781</v>
      </c>
      <c r="B130" s="192">
        <f t="shared" si="3"/>
        <v>8975</v>
      </c>
      <c r="C130" s="192">
        <f t="shared" si="30"/>
        <v>9689</v>
      </c>
      <c r="D130" s="192">
        <f t="shared" si="31"/>
        <v>7016</v>
      </c>
      <c r="E130" s="192">
        <f t="shared" si="32"/>
        <v>5821</v>
      </c>
      <c r="F130" s="192">
        <f t="shared" si="4"/>
        <v>9203</v>
      </c>
      <c r="G130" s="192">
        <f t="shared" si="5"/>
        <v>877</v>
      </c>
      <c r="H130" s="192">
        <f t="shared" si="6"/>
        <v>10857</v>
      </c>
      <c r="I130" s="192">
        <f t="shared" si="7"/>
        <v>17260</v>
      </c>
      <c r="J130" s="192">
        <f t="shared" si="8"/>
        <v>225</v>
      </c>
      <c r="K130" s="192">
        <f t="shared" si="9"/>
        <v>9439</v>
      </c>
      <c r="L130" s="192">
        <f t="shared" si="10"/>
        <v>0</v>
      </c>
      <c r="M130" s="192">
        <f t="shared" si="11"/>
        <v>0</v>
      </c>
      <c r="N130" s="192">
        <f t="shared" si="12"/>
        <v>2085</v>
      </c>
      <c r="O130" s="192">
        <f t="shared" si="13"/>
        <v>10117</v>
      </c>
      <c r="P130" s="192">
        <f t="shared" si="14"/>
        <v>4610</v>
      </c>
      <c r="Q130" s="192">
        <f t="shared" si="15"/>
        <v>12805</v>
      </c>
      <c r="R130" s="192">
        <f t="shared" si="16"/>
        <v>7396</v>
      </c>
      <c r="S130" s="192">
        <f t="shared" si="17"/>
        <v>6717</v>
      </c>
      <c r="T130" s="192">
        <f t="shared" si="18"/>
        <v>7178</v>
      </c>
      <c r="U130" s="192">
        <f t="shared" si="19"/>
        <v>4045</v>
      </c>
      <c r="V130" s="192">
        <f t="shared" si="20"/>
        <v>5261</v>
      </c>
      <c r="W130" s="192">
        <f t="shared" si="21"/>
        <v>4420</v>
      </c>
      <c r="X130" s="192">
        <f t="shared" si="22"/>
        <v>6225</v>
      </c>
      <c r="Y130" s="192">
        <f t="shared" si="23"/>
        <v>3903</v>
      </c>
      <c r="Z130" s="192">
        <f t="shared" si="24"/>
        <v>1969</v>
      </c>
      <c r="AA130" s="192">
        <f t="shared" si="25"/>
        <v>1566</v>
      </c>
      <c r="AB130" s="192">
        <f t="shared" si="26"/>
        <v>2974</v>
      </c>
      <c r="AC130" s="192">
        <f t="shared" si="27"/>
        <v>4849</v>
      </c>
      <c r="AD130" s="192">
        <f t="shared" si="28"/>
        <v>4730</v>
      </c>
      <c r="AE130" s="192">
        <f t="shared" si="28"/>
        <v>4905</v>
      </c>
      <c r="AF130" s="192">
        <f t="shared" si="29"/>
        <v>5144</v>
      </c>
    </row>
    <row r="131" spans="1:32" x14ac:dyDescent="0.25">
      <c r="A131" s="81">
        <v>40782</v>
      </c>
      <c r="B131" s="192">
        <f t="shared" si="3"/>
        <v>8975</v>
      </c>
      <c r="C131" s="192">
        <f t="shared" si="30"/>
        <v>9731</v>
      </c>
      <c r="D131" s="192">
        <f t="shared" si="31"/>
        <v>7047</v>
      </c>
      <c r="E131" s="192">
        <f t="shared" si="32"/>
        <v>5827</v>
      </c>
      <c r="F131" s="192">
        <f t="shared" si="4"/>
        <v>9353</v>
      </c>
      <c r="G131" s="192">
        <f t="shared" si="5"/>
        <v>895</v>
      </c>
      <c r="H131" s="192">
        <f t="shared" si="6"/>
        <v>10942</v>
      </c>
      <c r="I131" s="192">
        <f t="shared" si="7"/>
        <v>17351</v>
      </c>
      <c r="J131" s="192">
        <f t="shared" si="8"/>
        <v>261</v>
      </c>
      <c r="K131" s="192">
        <f t="shared" si="9"/>
        <v>9439</v>
      </c>
      <c r="L131" s="192">
        <f t="shared" si="10"/>
        <v>0</v>
      </c>
      <c r="M131" s="192">
        <f t="shared" si="11"/>
        <v>0</v>
      </c>
      <c r="N131" s="192">
        <f t="shared" si="12"/>
        <v>2101</v>
      </c>
      <c r="O131" s="192">
        <f t="shared" si="13"/>
        <v>10254</v>
      </c>
      <c r="P131" s="192">
        <f t="shared" si="14"/>
        <v>4690</v>
      </c>
      <c r="Q131" s="192">
        <f t="shared" si="15"/>
        <v>13358</v>
      </c>
      <c r="R131" s="192">
        <f t="shared" si="16"/>
        <v>7416</v>
      </c>
      <c r="S131" s="192">
        <f t="shared" si="17"/>
        <v>6717</v>
      </c>
      <c r="T131" s="192">
        <f t="shared" si="18"/>
        <v>7929</v>
      </c>
      <c r="U131" s="192">
        <f t="shared" si="19"/>
        <v>4048</v>
      </c>
      <c r="V131" s="192">
        <f t="shared" si="20"/>
        <v>5274</v>
      </c>
      <c r="W131" s="192">
        <f t="shared" si="21"/>
        <v>4931</v>
      </c>
      <c r="X131" s="192">
        <f t="shared" si="22"/>
        <v>6293</v>
      </c>
      <c r="Y131" s="192">
        <f t="shared" si="23"/>
        <v>3904</v>
      </c>
      <c r="Z131" s="192">
        <f t="shared" si="24"/>
        <v>1980</v>
      </c>
      <c r="AA131" s="192">
        <f t="shared" si="25"/>
        <v>1566</v>
      </c>
      <c r="AB131" s="192">
        <f t="shared" si="26"/>
        <v>3001</v>
      </c>
      <c r="AC131" s="192">
        <f t="shared" si="27"/>
        <v>4853</v>
      </c>
      <c r="AD131" s="192">
        <f t="shared" si="28"/>
        <v>4734</v>
      </c>
      <c r="AE131" s="192">
        <f t="shared" si="28"/>
        <v>4916</v>
      </c>
      <c r="AF131" s="192">
        <f t="shared" si="29"/>
        <v>5150</v>
      </c>
    </row>
    <row r="132" spans="1:32" x14ac:dyDescent="0.25">
      <c r="A132" s="81">
        <v>40783</v>
      </c>
      <c r="B132" s="192">
        <f t="shared" si="3"/>
        <v>8976</v>
      </c>
      <c r="C132" s="192">
        <f t="shared" si="30"/>
        <v>9745</v>
      </c>
      <c r="D132" s="192">
        <f t="shared" si="31"/>
        <v>7048</v>
      </c>
      <c r="E132" s="192">
        <f t="shared" si="32"/>
        <v>5827</v>
      </c>
      <c r="F132" s="192">
        <f t="shared" si="4"/>
        <v>9353</v>
      </c>
      <c r="G132" s="192">
        <f t="shared" si="5"/>
        <v>924</v>
      </c>
      <c r="H132" s="192">
        <f t="shared" si="6"/>
        <v>10980</v>
      </c>
      <c r="I132" s="192">
        <f t="shared" si="7"/>
        <v>18064</v>
      </c>
      <c r="J132" s="192">
        <f t="shared" si="8"/>
        <v>269</v>
      </c>
      <c r="K132" s="192">
        <f t="shared" si="9"/>
        <v>9439</v>
      </c>
      <c r="L132" s="192">
        <f t="shared" si="10"/>
        <v>0</v>
      </c>
      <c r="M132" s="192">
        <f t="shared" si="11"/>
        <v>0</v>
      </c>
      <c r="N132" s="192">
        <f t="shared" si="12"/>
        <v>2108</v>
      </c>
      <c r="O132" s="192">
        <f t="shared" si="13"/>
        <v>10298</v>
      </c>
      <c r="P132" s="192">
        <f t="shared" si="14"/>
        <v>4790</v>
      </c>
      <c r="Q132" s="192">
        <f t="shared" si="15"/>
        <v>13358</v>
      </c>
      <c r="R132" s="192">
        <f t="shared" si="16"/>
        <v>9605</v>
      </c>
      <c r="S132" s="192">
        <f t="shared" si="17"/>
        <v>6752</v>
      </c>
      <c r="T132" s="192">
        <f t="shared" si="18"/>
        <v>7966</v>
      </c>
      <c r="U132" s="192">
        <f t="shared" si="19"/>
        <v>4104</v>
      </c>
      <c r="V132" s="192">
        <f t="shared" si="20"/>
        <v>5278</v>
      </c>
      <c r="W132" s="192">
        <f t="shared" si="21"/>
        <v>5341</v>
      </c>
      <c r="X132" s="192">
        <f t="shared" si="22"/>
        <v>6348</v>
      </c>
      <c r="Y132" s="192">
        <f t="shared" si="23"/>
        <v>3904</v>
      </c>
      <c r="Z132" s="192">
        <f t="shared" si="24"/>
        <v>1981</v>
      </c>
      <c r="AA132" s="192">
        <f t="shared" si="25"/>
        <v>1568</v>
      </c>
      <c r="AB132" s="192">
        <f t="shared" si="26"/>
        <v>3001</v>
      </c>
      <c r="AC132" s="192">
        <f t="shared" si="27"/>
        <v>4855</v>
      </c>
      <c r="AD132" s="192">
        <f t="shared" si="28"/>
        <v>4734</v>
      </c>
      <c r="AE132" s="192">
        <f t="shared" si="28"/>
        <v>5387</v>
      </c>
      <c r="AF132" s="192">
        <f t="shared" si="29"/>
        <v>5155</v>
      </c>
    </row>
    <row r="133" spans="1:32" x14ac:dyDescent="0.25">
      <c r="A133" s="81">
        <v>40784</v>
      </c>
      <c r="B133" s="192">
        <f t="shared" si="3"/>
        <v>8979</v>
      </c>
      <c r="C133" s="192">
        <f t="shared" si="30"/>
        <v>9747</v>
      </c>
      <c r="D133" s="192">
        <f t="shared" si="31"/>
        <v>7073</v>
      </c>
      <c r="E133" s="192">
        <f t="shared" si="32"/>
        <v>5857</v>
      </c>
      <c r="F133" s="192">
        <f t="shared" si="4"/>
        <v>9353</v>
      </c>
      <c r="G133" s="192">
        <f t="shared" si="5"/>
        <v>958</v>
      </c>
      <c r="H133" s="192">
        <f t="shared" si="6"/>
        <v>10983</v>
      </c>
      <c r="I133" s="192">
        <f t="shared" si="7"/>
        <v>18095</v>
      </c>
      <c r="J133" s="192">
        <f t="shared" si="8"/>
        <v>299</v>
      </c>
      <c r="K133" s="192">
        <f t="shared" si="9"/>
        <v>9439</v>
      </c>
      <c r="L133" s="192">
        <f t="shared" si="10"/>
        <v>0</v>
      </c>
      <c r="M133" s="192">
        <f t="shared" si="11"/>
        <v>0</v>
      </c>
      <c r="N133" s="192">
        <f t="shared" si="12"/>
        <v>2341</v>
      </c>
      <c r="O133" s="192">
        <f t="shared" si="13"/>
        <v>10330</v>
      </c>
      <c r="P133" s="192">
        <f t="shared" si="14"/>
        <v>4854</v>
      </c>
      <c r="Q133" s="192">
        <f t="shared" si="15"/>
        <v>13358</v>
      </c>
      <c r="R133" s="192">
        <f t="shared" si="16"/>
        <v>9792</v>
      </c>
      <c r="S133" s="192">
        <f t="shared" si="17"/>
        <v>6752</v>
      </c>
      <c r="T133" s="192">
        <f t="shared" si="18"/>
        <v>7970</v>
      </c>
      <c r="U133" s="192">
        <f t="shared" si="19"/>
        <v>4125</v>
      </c>
      <c r="V133" s="192">
        <f t="shared" si="20"/>
        <v>5278</v>
      </c>
      <c r="W133" s="192">
        <f t="shared" si="21"/>
        <v>5385</v>
      </c>
      <c r="X133" s="192">
        <f t="shared" si="22"/>
        <v>6360</v>
      </c>
      <c r="Y133" s="192">
        <f t="shared" si="23"/>
        <v>4013</v>
      </c>
      <c r="Z133" s="192">
        <f t="shared" si="24"/>
        <v>2000</v>
      </c>
      <c r="AA133" s="192">
        <f t="shared" si="25"/>
        <v>1568</v>
      </c>
      <c r="AB133" s="192">
        <f t="shared" si="26"/>
        <v>3143</v>
      </c>
      <c r="AC133" s="192">
        <f t="shared" si="27"/>
        <v>4862</v>
      </c>
      <c r="AD133" s="192">
        <f t="shared" si="28"/>
        <v>4736</v>
      </c>
      <c r="AE133" s="192">
        <f t="shared" si="28"/>
        <v>5415</v>
      </c>
      <c r="AF133" s="192">
        <f t="shared" si="29"/>
        <v>5176</v>
      </c>
    </row>
    <row r="134" spans="1:32" x14ac:dyDescent="0.25">
      <c r="A134" s="81">
        <v>40785</v>
      </c>
      <c r="B134" s="192">
        <f t="shared" si="3"/>
        <v>8995</v>
      </c>
      <c r="C134" s="192">
        <f t="shared" si="30"/>
        <v>9750</v>
      </c>
      <c r="D134" s="192">
        <f t="shared" si="31"/>
        <v>7073</v>
      </c>
      <c r="E134" s="192">
        <f t="shared" si="32"/>
        <v>5857</v>
      </c>
      <c r="F134" s="192">
        <f t="shared" si="4"/>
        <v>9353</v>
      </c>
      <c r="G134" s="192">
        <f t="shared" si="5"/>
        <v>969</v>
      </c>
      <c r="H134" s="192">
        <f t="shared" si="6"/>
        <v>10983</v>
      </c>
      <c r="I134" s="192">
        <f t="shared" si="7"/>
        <v>18095</v>
      </c>
      <c r="J134" s="192">
        <f t="shared" si="8"/>
        <v>299</v>
      </c>
      <c r="K134" s="192">
        <f t="shared" si="9"/>
        <v>9439</v>
      </c>
      <c r="L134" s="192">
        <f t="shared" si="10"/>
        <v>0</v>
      </c>
      <c r="M134" s="192">
        <f t="shared" si="11"/>
        <v>0</v>
      </c>
      <c r="N134" s="192">
        <f t="shared" si="12"/>
        <v>2397</v>
      </c>
      <c r="O134" s="192">
        <f t="shared" si="13"/>
        <v>10402</v>
      </c>
      <c r="P134" s="192">
        <f t="shared" si="14"/>
        <v>4918</v>
      </c>
      <c r="Q134" s="192">
        <f t="shared" si="15"/>
        <v>13358</v>
      </c>
      <c r="R134" s="192">
        <f t="shared" si="16"/>
        <v>10277</v>
      </c>
      <c r="S134" s="192">
        <f t="shared" si="17"/>
        <v>6763</v>
      </c>
      <c r="T134" s="192">
        <f t="shared" si="18"/>
        <v>7975</v>
      </c>
      <c r="U134" s="192">
        <f t="shared" si="19"/>
        <v>4125</v>
      </c>
      <c r="V134" s="192">
        <f t="shared" si="20"/>
        <v>5281</v>
      </c>
      <c r="W134" s="192">
        <f t="shared" si="21"/>
        <v>5416</v>
      </c>
      <c r="X134" s="192">
        <f t="shared" si="22"/>
        <v>6617</v>
      </c>
      <c r="Y134" s="192">
        <f t="shared" si="23"/>
        <v>4013</v>
      </c>
      <c r="Z134" s="192">
        <f t="shared" si="24"/>
        <v>2003</v>
      </c>
      <c r="AA134" s="192">
        <f t="shared" si="25"/>
        <v>1570</v>
      </c>
      <c r="AB134" s="192">
        <f t="shared" si="26"/>
        <v>3244</v>
      </c>
      <c r="AC134" s="192">
        <f t="shared" si="27"/>
        <v>4866</v>
      </c>
      <c r="AD134" s="192">
        <f t="shared" si="28"/>
        <v>4736</v>
      </c>
      <c r="AE134" s="192">
        <f t="shared" si="28"/>
        <v>5416</v>
      </c>
      <c r="AF134" s="192">
        <f t="shared" si="29"/>
        <v>5197</v>
      </c>
    </row>
    <row r="135" spans="1:32" x14ac:dyDescent="0.25">
      <c r="A135" s="81">
        <v>40786</v>
      </c>
      <c r="B135" s="192">
        <f t="shared" si="3"/>
        <v>9013</v>
      </c>
      <c r="C135" s="192">
        <f t="shared" si="30"/>
        <v>9756</v>
      </c>
      <c r="D135" s="192">
        <f t="shared" si="31"/>
        <v>7073</v>
      </c>
      <c r="E135" s="192">
        <f t="shared" si="32"/>
        <v>5857</v>
      </c>
      <c r="F135" s="192">
        <f t="shared" si="4"/>
        <v>9353</v>
      </c>
      <c r="G135" s="192">
        <f t="shared" si="5"/>
        <v>969</v>
      </c>
      <c r="H135" s="192">
        <f t="shared" si="6"/>
        <v>11017</v>
      </c>
      <c r="I135" s="192">
        <f t="shared" si="7"/>
        <v>18095</v>
      </c>
      <c r="J135" s="192">
        <f t="shared" si="8"/>
        <v>299</v>
      </c>
      <c r="K135" s="192">
        <f t="shared" si="9"/>
        <v>9439</v>
      </c>
      <c r="L135" s="192">
        <f t="shared" si="10"/>
        <v>0</v>
      </c>
      <c r="M135" s="192">
        <f t="shared" si="11"/>
        <v>0</v>
      </c>
      <c r="N135" s="192">
        <f t="shared" si="12"/>
        <v>3783</v>
      </c>
      <c r="O135" s="192">
        <f t="shared" si="13"/>
        <v>10430</v>
      </c>
      <c r="P135" s="192">
        <f t="shared" si="14"/>
        <v>4967</v>
      </c>
      <c r="Q135" s="192">
        <f t="shared" si="15"/>
        <v>13358</v>
      </c>
      <c r="R135" s="192">
        <f t="shared" si="16"/>
        <v>10277</v>
      </c>
      <c r="S135" s="192">
        <f t="shared" si="17"/>
        <v>6763</v>
      </c>
      <c r="T135" s="192">
        <f t="shared" si="18"/>
        <v>7987</v>
      </c>
      <c r="U135" s="192">
        <f t="shared" si="19"/>
        <v>4139</v>
      </c>
      <c r="V135" s="192">
        <f t="shared" si="20"/>
        <v>5411</v>
      </c>
      <c r="W135" s="192">
        <f t="shared" si="21"/>
        <v>5450</v>
      </c>
      <c r="X135" s="192">
        <f t="shared" si="22"/>
        <v>6787</v>
      </c>
      <c r="Y135" s="192">
        <f t="shared" si="23"/>
        <v>4144</v>
      </c>
      <c r="Z135" s="192">
        <f t="shared" si="24"/>
        <v>2042</v>
      </c>
      <c r="AA135" s="192">
        <f t="shared" si="25"/>
        <v>1572</v>
      </c>
      <c r="AB135" s="192">
        <f t="shared" si="26"/>
        <v>3274</v>
      </c>
      <c r="AC135" s="192">
        <f t="shared" si="27"/>
        <v>4869</v>
      </c>
      <c r="AD135" s="192">
        <f t="shared" si="28"/>
        <v>4739</v>
      </c>
      <c r="AE135" s="192">
        <f t="shared" si="28"/>
        <v>5441</v>
      </c>
      <c r="AF135" s="192">
        <f t="shared" si="29"/>
        <v>5219</v>
      </c>
    </row>
    <row r="136" spans="1:32" x14ac:dyDescent="0.25">
      <c r="A136" s="81">
        <v>40787</v>
      </c>
      <c r="B136" s="192">
        <f t="shared" si="3"/>
        <v>9026</v>
      </c>
      <c r="C136" s="192">
        <f t="shared" si="30"/>
        <v>9757</v>
      </c>
      <c r="D136" s="192">
        <f t="shared" si="31"/>
        <v>7073</v>
      </c>
      <c r="E136" s="192">
        <f t="shared" si="32"/>
        <v>5857</v>
      </c>
      <c r="F136" s="192">
        <f t="shared" si="4"/>
        <v>9353</v>
      </c>
      <c r="G136" s="192">
        <f t="shared" si="5"/>
        <v>969</v>
      </c>
      <c r="H136" s="192">
        <f t="shared" si="6"/>
        <v>11017</v>
      </c>
      <c r="I136" s="192">
        <f t="shared" si="7"/>
        <v>18095</v>
      </c>
      <c r="J136" s="192">
        <f t="shared" si="8"/>
        <v>299</v>
      </c>
      <c r="K136" s="192">
        <f t="shared" si="9"/>
        <v>9439</v>
      </c>
      <c r="L136" s="192">
        <f t="shared" si="10"/>
        <v>0</v>
      </c>
      <c r="M136" s="192">
        <f t="shared" si="11"/>
        <v>0</v>
      </c>
      <c r="N136" s="192">
        <f t="shared" si="12"/>
        <v>6066</v>
      </c>
      <c r="O136" s="192">
        <f t="shared" si="13"/>
        <v>10442</v>
      </c>
      <c r="P136" s="192">
        <f t="shared" si="14"/>
        <v>4999</v>
      </c>
      <c r="Q136" s="192">
        <f t="shared" si="15"/>
        <v>13358</v>
      </c>
      <c r="R136" s="192">
        <f t="shared" si="16"/>
        <v>10277</v>
      </c>
      <c r="S136" s="192">
        <f t="shared" si="17"/>
        <v>6763</v>
      </c>
      <c r="T136" s="192">
        <f t="shared" si="18"/>
        <v>8060</v>
      </c>
      <c r="U136" s="192">
        <f t="shared" si="19"/>
        <v>4143</v>
      </c>
      <c r="V136" s="192">
        <f t="shared" si="20"/>
        <v>5634</v>
      </c>
      <c r="W136" s="192">
        <f t="shared" si="21"/>
        <v>5485</v>
      </c>
      <c r="X136" s="192">
        <f t="shared" si="22"/>
        <v>6861</v>
      </c>
      <c r="Y136" s="192">
        <f t="shared" si="23"/>
        <v>4144</v>
      </c>
      <c r="Z136" s="192">
        <f t="shared" si="24"/>
        <v>2045</v>
      </c>
      <c r="AA136" s="192">
        <f t="shared" si="25"/>
        <v>1575</v>
      </c>
      <c r="AB136" s="192">
        <f t="shared" si="26"/>
        <v>3287</v>
      </c>
      <c r="AC136" s="192">
        <f t="shared" si="27"/>
        <v>5172</v>
      </c>
      <c r="AD136" s="192">
        <f t="shared" si="28"/>
        <v>4739</v>
      </c>
      <c r="AE136" s="192">
        <f t="shared" si="28"/>
        <v>5466</v>
      </c>
      <c r="AF136" s="192">
        <f t="shared" si="29"/>
        <v>6032</v>
      </c>
    </row>
    <row r="137" spans="1:32" x14ac:dyDescent="0.25">
      <c r="A137" s="81">
        <v>40788</v>
      </c>
      <c r="B137" s="192">
        <f t="shared" si="3"/>
        <v>9143</v>
      </c>
      <c r="C137" s="192">
        <f t="shared" si="30"/>
        <v>9760</v>
      </c>
      <c r="D137" s="192">
        <f t="shared" si="31"/>
        <v>7073</v>
      </c>
      <c r="E137" s="192">
        <f t="shared" si="32"/>
        <v>5857</v>
      </c>
      <c r="F137" s="192">
        <f t="shared" si="4"/>
        <v>9353</v>
      </c>
      <c r="G137" s="192">
        <f t="shared" si="5"/>
        <v>969</v>
      </c>
      <c r="H137" s="192">
        <f t="shared" si="6"/>
        <v>11037</v>
      </c>
      <c r="I137" s="192">
        <f t="shared" si="7"/>
        <v>18095</v>
      </c>
      <c r="J137" s="192">
        <f t="shared" si="8"/>
        <v>299</v>
      </c>
      <c r="K137" s="192">
        <f t="shared" si="9"/>
        <v>9439</v>
      </c>
      <c r="L137" s="192">
        <f t="shared" si="10"/>
        <v>0</v>
      </c>
      <c r="M137" s="192">
        <f t="shared" si="11"/>
        <v>0</v>
      </c>
      <c r="N137" s="192">
        <f t="shared" si="12"/>
        <v>6423</v>
      </c>
      <c r="O137" s="192">
        <f t="shared" si="13"/>
        <v>10442</v>
      </c>
      <c r="P137" s="192">
        <f t="shared" si="14"/>
        <v>4999</v>
      </c>
      <c r="Q137" s="192">
        <f t="shared" si="15"/>
        <v>13358</v>
      </c>
      <c r="R137" s="192">
        <f t="shared" si="16"/>
        <v>10277</v>
      </c>
      <c r="S137" s="192">
        <f t="shared" si="17"/>
        <v>6763</v>
      </c>
      <c r="T137" s="192">
        <f t="shared" si="18"/>
        <v>8060</v>
      </c>
      <c r="U137" s="192">
        <f t="shared" si="19"/>
        <v>4143</v>
      </c>
      <c r="V137" s="192">
        <f t="shared" si="20"/>
        <v>6344</v>
      </c>
      <c r="W137" s="192">
        <f t="shared" si="21"/>
        <v>5491</v>
      </c>
      <c r="X137" s="192">
        <f t="shared" si="22"/>
        <v>6903</v>
      </c>
      <c r="Y137" s="192">
        <f t="shared" si="23"/>
        <v>4144</v>
      </c>
      <c r="Z137" s="192">
        <f t="shared" si="24"/>
        <v>2049</v>
      </c>
      <c r="AA137" s="192">
        <f t="shared" si="25"/>
        <v>1575</v>
      </c>
      <c r="AB137" s="192">
        <f t="shared" si="26"/>
        <v>3307</v>
      </c>
      <c r="AC137" s="192">
        <f t="shared" si="27"/>
        <v>5359</v>
      </c>
      <c r="AD137" s="192">
        <f t="shared" si="28"/>
        <v>4742</v>
      </c>
      <c r="AE137" s="192">
        <f t="shared" si="28"/>
        <v>5468</v>
      </c>
      <c r="AF137" s="192">
        <f t="shared" si="29"/>
        <v>6089</v>
      </c>
    </row>
    <row r="138" spans="1:32" x14ac:dyDescent="0.25">
      <c r="A138" s="81">
        <v>40789</v>
      </c>
      <c r="B138" s="192">
        <f t="shared" si="3"/>
        <v>9210</v>
      </c>
      <c r="C138" s="192">
        <f t="shared" si="30"/>
        <v>9761</v>
      </c>
      <c r="D138" s="192">
        <f t="shared" si="31"/>
        <v>7073</v>
      </c>
      <c r="E138" s="192">
        <f t="shared" si="32"/>
        <v>5857</v>
      </c>
      <c r="F138" s="192">
        <f t="shared" si="4"/>
        <v>9353</v>
      </c>
      <c r="G138" s="192">
        <f t="shared" si="5"/>
        <v>969</v>
      </c>
      <c r="H138" s="192">
        <f t="shared" si="6"/>
        <v>12151</v>
      </c>
      <c r="I138" s="192">
        <f t="shared" si="7"/>
        <v>18095</v>
      </c>
      <c r="J138" s="192">
        <f t="shared" si="8"/>
        <v>299</v>
      </c>
      <c r="K138" s="192">
        <f t="shared" si="9"/>
        <v>9439</v>
      </c>
      <c r="L138" s="192">
        <f t="shared" si="10"/>
        <v>0</v>
      </c>
      <c r="M138" s="192">
        <f t="shared" si="11"/>
        <v>0</v>
      </c>
      <c r="N138" s="192">
        <f t="shared" si="12"/>
        <v>6633</v>
      </c>
      <c r="O138" s="192">
        <f t="shared" si="13"/>
        <v>10442</v>
      </c>
      <c r="P138" s="192">
        <f t="shared" si="14"/>
        <v>4999</v>
      </c>
      <c r="Q138" s="192">
        <f t="shared" si="15"/>
        <v>13358</v>
      </c>
      <c r="R138" s="192">
        <f t="shared" si="16"/>
        <v>10277</v>
      </c>
      <c r="S138" s="192">
        <f t="shared" si="17"/>
        <v>6763</v>
      </c>
      <c r="T138" s="192">
        <f t="shared" si="18"/>
        <v>8060</v>
      </c>
      <c r="U138" s="192">
        <f t="shared" si="19"/>
        <v>4148</v>
      </c>
      <c r="V138" s="192">
        <f t="shared" si="20"/>
        <v>6411</v>
      </c>
      <c r="W138" s="192">
        <f t="shared" si="21"/>
        <v>6067</v>
      </c>
      <c r="X138" s="192">
        <f t="shared" si="22"/>
        <v>6936</v>
      </c>
      <c r="Y138" s="192">
        <f t="shared" si="23"/>
        <v>4144</v>
      </c>
      <c r="Z138" s="192">
        <f t="shared" si="24"/>
        <v>2050</v>
      </c>
      <c r="AA138" s="192">
        <f t="shared" si="25"/>
        <v>1575</v>
      </c>
      <c r="AB138" s="192">
        <f t="shared" si="26"/>
        <v>3312</v>
      </c>
      <c r="AC138" s="192">
        <f t="shared" si="27"/>
        <v>5434</v>
      </c>
      <c r="AD138" s="192">
        <f t="shared" si="28"/>
        <v>4751</v>
      </c>
      <c r="AE138" s="192">
        <f t="shared" si="28"/>
        <v>5471</v>
      </c>
      <c r="AF138" s="192">
        <f t="shared" si="29"/>
        <v>6105</v>
      </c>
    </row>
    <row r="139" spans="1:32" x14ac:dyDescent="0.25">
      <c r="A139" s="81">
        <v>40790</v>
      </c>
      <c r="B139" s="192">
        <f t="shared" si="3"/>
        <v>9480</v>
      </c>
      <c r="C139" s="192">
        <f t="shared" si="30"/>
        <v>9762</v>
      </c>
      <c r="D139" s="192">
        <f t="shared" si="31"/>
        <v>7073</v>
      </c>
      <c r="E139" s="192">
        <f t="shared" si="32"/>
        <v>5857</v>
      </c>
      <c r="F139" s="192">
        <f t="shared" si="4"/>
        <v>9353</v>
      </c>
      <c r="G139" s="192">
        <f t="shared" si="5"/>
        <v>969</v>
      </c>
      <c r="H139" s="192">
        <f t="shared" si="6"/>
        <v>12169</v>
      </c>
      <c r="I139" s="192">
        <f t="shared" si="7"/>
        <v>18095</v>
      </c>
      <c r="J139" s="192">
        <f t="shared" si="8"/>
        <v>299</v>
      </c>
      <c r="K139" s="192">
        <f t="shared" si="9"/>
        <v>9439</v>
      </c>
      <c r="L139" s="192">
        <f t="shared" si="10"/>
        <v>0</v>
      </c>
      <c r="M139" s="192">
        <f t="shared" si="11"/>
        <v>0</v>
      </c>
      <c r="N139" s="192">
        <f t="shared" si="12"/>
        <v>6666</v>
      </c>
      <c r="O139" s="192">
        <f t="shared" si="13"/>
        <v>10442</v>
      </c>
      <c r="P139" s="192">
        <f t="shared" si="14"/>
        <v>4999</v>
      </c>
      <c r="Q139" s="192">
        <f t="shared" si="15"/>
        <v>13358</v>
      </c>
      <c r="R139" s="192">
        <f t="shared" si="16"/>
        <v>10277</v>
      </c>
      <c r="S139" s="192">
        <f t="shared" si="17"/>
        <v>6763</v>
      </c>
      <c r="T139" s="192">
        <f t="shared" si="18"/>
        <v>8060</v>
      </c>
      <c r="U139" s="192">
        <f t="shared" si="19"/>
        <v>4182</v>
      </c>
      <c r="V139" s="192">
        <f t="shared" si="20"/>
        <v>6453</v>
      </c>
      <c r="W139" s="192">
        <f t="shared" si="21"/>
        <v>6533</v>
      </c>
      <c r="X139" s="192">
        <f t="shared" si="22"/>
        <v>6975</v>
      </c>
      <c r="Y139" s="192">
        <f t="shared" si="23"/>
        <v>4144</v>
      </c>
      <c r="Z139" s="192">
        <f t="shared" si="24"/>
        <v>2129</v>
      </c>
      <c r="AA139" s="192">
        <f t="shared" si="25"/>
        <v>1578</v>
      </c>
      <c r="AB139" s="192">
        <f t="shared" si="26"/>
        <v>3365</v>
      </c>
      <c r="AC139" s="192">
        <f t="shared" si="27"/>
        <v>5479</v>
      </c>
      <c r="AD139" s="192">
        <f t="shared" si="28"/>
        <v>4760</v>
      </c>
      <c r="AE139" s="192">
        <f t="shared" si="28"/>
        <v>5500</v>
      </c>
      <c r="AF139" s="192">
        <f t="shared" si="29"/>
        <v>6129</v>
      </c>
    </row>
    <row r="140" spans="1:32" x14ac:dyDescent="0.25">
      <c r="A140" s="81">
        <v>40791</v>
      </c>
      <c r="B140" s="192">
        <f t="shared" si="3"/>
        <v>9540</v>
      </c>
      <c r="C140" s="192">
        <f t="shared" si="30"/>
        <v>9764</v>
      </c>
      <c r="D140" s="192">
        <f t="shared" si="31"/>
        <v>7073</v>
      </c>
      <c r="E140" s="192">
        <f t="shared" si="32"/>
        <v>5857</v>
      </c>
      <c r="F140" s="192">
        <f t="shared" si="4"/>
        <v>9353</v>
      </c>
      <c r="G140" s="192">
        <f t="shared" si="5"/>
        <v>969</v>
      </c>
      <c r="H140" s="192">
        <f t="shared" si="6"/>
        <v>12854</v>
      </c>
      <c r="I140" s="192">
        <f t="shared" si="7"/>
        <v>18095</v>
      </c>
      <c r="J140" s="192">
        <f t="shared" si="8"/>
        <v>299</v>
      </c>
      <c r="K140" s="192">
        <f t="shared" si="9"/>
        <v>9439</v>
      </c>
      <c r="L140" s="192">
        <f t="shared" si="10"/>
        <v>0</v>
      </c>
      <c r="M140" s="192">
        <f t="shared" si="11"/>
        <v>0</v>
      </c>
      <c r="N140" s="192">
        <f t="shared" si="12"/>
        <v>6688</v>
      </c>
      <c r="O140" s="192">
        <f t="shared" si="13"/>
        <v>10442</v>
      </c>
      <c r="P140" s="192">
        <f t="shared" si="14"/>
        <v>4999</v>
      </c>
      <c r="Q140" s="192">
        <f t="shared" si="15"/>
        <v>13358</v>
      </c>
      <c r="R140" s="192">
        <f t="shared" si="16"/>
        <v>10277</v>
      </c>
      <c r="S140" s="192">
        <f t="shared" si="17"/>
        <v>6763</v>
      </c>
      <c r="T140" s="192">
        <f t="shared" si="18"/>
        <v>8060</v>
      </c>
      <c r="U140" s="192">
        <f t="shared" si="19"/>
        <v>4255</v>
      </c>
      <c r="V140" s="192">
        <f t="shared" si="20"/>
        <v>6488</v>
      </c>
      <c r="W140" s="192">
        <f t="shared" si="21"/>
        <v>6669</v>
      </c>
      <c r="X140" s="192">
        <f t="shared" si="22"/>
        <v>7018</v>
      </c>
      <c r="Y140" s="192">
        <f t="shared" si="23"/>
        <v>4144</v>
      </c>
      <c r="Z140" s="192">
        <f t="shared" si="24"/>
        <v>2696</v>
      </c>
      <c r="AA140" s="192">
        <f t="shared" si="25"/>
        <v>1581</v>
      </c>
      <c r="AB140" s="192">
        <f t="shared" si="26"/>
        <v>3401</v>
      </c>
      <c r="AC140" s="192">
        <f t="shared" si="27"/>
        <v>5513</v>
      </c>
      <c r="AD140" s="192">
        <f t="shared" si="28"/>
        <v>4760</v>
      </c>
      <c r="AE140" s="192">
        <f t="shared" si="28"/>
        <v>5515</v>
      </c>
      <c r="AF140" s="192">
        <f t="shared" si="29"/>
        <v>6243</v>
      </c>
    </row>
    <row r="141" spans="1:32" x14ac:dyDescent="0.25">
      <c r="A141" s="81">
        <v>40792</v>
      </c>
      <c r="B141" s="192">
        <f t="shared" si="3"/>
        <v>9558</v>
      </c>
      <c r="C141" s="192">
        <f t="shared" si="30"/>
        <v>9764</v>
      </c>
      <c r="D141" s="192">
        <f t="shared" si="31"/>
        <v>7073</v>
      </c>
      <c r="E141" s="192">
        <f t="shared" si="32"/>
        <v>5857</v>
      </c>
      <c r="F141" s="192">
        <f t="shared" si="4"/>
        <v>9353</v>
      </c>
      <c r="G141" s="192">
        <f t="shared" si="5"/>
        <v>969</v>
      </c>
      <c r="H141" s="192">
        <f t="shared" si="6"/>
        <v>12854</v>
      </c>
      <c r="I141" s="192">
        <f t="shared" si="7"/>
        <v>18095</v>
      </c>
      <c r="J141" s="192">
        <f t="shared" si="8"/>
        <v>299</v>
      </c>
      <c r="K141" s="192">
        <f t="shared" si="9"/>
        <v>9439</v>
      </c>
      <c r="L141" s="192">
        <f t="shared" si="10"/>
        <v>0</v>
      </c>
      <c r="M141" s="192">
        <f t="shared" si="11"/>
        <v>0</v>
      </c>
      <c r="N141" s="192">
        <f t="shared" si="12"/>
        <v>6691</v>
      </c>
      <c r="O141" s="192">
        <f t="shared" si="13"/>
        <v>10442</v>
      </c>
      <c r="P141" s="192">
        <f t="shared" si="14"/>
        <v>4999</v>
      </c>
      <c r="Q141" s="192">
        <f t="shared" si="15"/>
        <v>13358</v>
      </c>
      <c r="R141" s="192">
        <f t="shared" si="16"/>
        <v>10277</v>
      </c>
      <c r="S141" s="192">
        <f t="shared" si="17"/>
        <v>6763</v>
      </c>
      <c r="T141" s="192">
        <f t="shared" si="18"/>
        <v>8060</v>
      </c>
      <c r="U141" s="192">
        <f t="shared" si="19"/>
        <v>4289</v>
      </c>
      <c r="V141" s="192">
        <f t="shared" si="20"/>
        <v>6533</v>
      </c>
      <c r="W141" s="192">
        <f t="shared" si="21"/>
        <v>6794</v>
      </c>
      <c r="X141" s="192">
        <f t="shared" si="22"/>
        <v>7073</v>
      </c>
      <c r="Y141" s="192">
        <f t="shared" si="23"/>
        <v>4144</v>
      </c>
      <c r="Z141" s="192">
        <f t="shared" si="24"/>
        <v>3013</v>
      </c>
      <c r="AA141" s="192">
        <f t="shared" si="25"/>
        <v>1589</v>
      </c>
      <c r="AB141" s="192">
        <f t="shared" si="26"/>
        <v>3424</v>
      </c>
      <c r="AC141" s="192">
        <f t="shared" si="27"/>
        <v>5528</v>
      </c>
      <c r="AD141" s="192">
        <f t="shared" si="28"/>
        <v>4760</v>
      </c>
      <c r="AE141" s="192">
        <f t="shared" si="28"/>
        <v>5516</v>
      </c>
      <c r="AF141" s="192">
        <f t="shared" si="29"/>
        <v>6270</v>
      </c>
    </row>
    <row r="142" spans="1:32" x14ac:dyDescent="0.25">
      <c r="A142" s="81">
        <v>40793</v>
      </c>
      <c r="B142" s="192">
        <f t="shared" si="3"/>
        <v>9560</v>
      </c>
      <c r="C142" s="192">
        <f t="shared" si="30"/>
        <v>9764</v>
      </c>
      <c r="D142" s="192">
        <f t="shared" si="31"/>
        <v>7073</v>
      </c>
      <c r="E142" s="192">
        <f t="shared" si="32"/>
        <v>5857</v>
      </c>
      <c r="F142" s="192">
        <f t="shared" si="4"/>
        <v>9353</v>
      </c>
      <c r="G142" s="192">
        <f t="shared" si="5"/>
        <v>969</v>
      </c>
      <c r="H142" s="192">
        <f t="shared" si="6"/>
        <v>12854</v>
      </c>
      <c r="I142" s="192">
        <f t="shared" si="7"/>
        <v>18095</v>
      </c>
      <c r="J142" s="192">
        <f t="shared" si="8"/>
        <v>299</v>
      </c>
      <c r="K142" s="192">
        <f t="shared" si="9"/>
        <v>9439</v>
      </c>
      <c r="L142" s="192">
        <f t="shared" si="10"/>
        <v>0</v>
      </c>
      <c r="M142" s="192">
        <f t="shared" si="11"/>
        <v>0</v>
      </c>
      <c r="N142" s="192">
        <f t="shared" si="12"/>
        <v>6702</v>
      </c>
      <c r="O142" s="192">
        <f t="shared" si="13"/>
        <v>10442</v>
      </c>
      <c r="P142" s="192">
        <f t="shared" si="14"/>
        <v>4999</v>
      </c>
      <c r="Q142" s="192">
        <f t="shared" si="15"/>
        <v>13358</v>
      </c>
      <c r="R142" s="192">
        <f t="shared" si="16"/>
        <v>10277</v>
      </c>
      <c r="S142" s="192">
        <f t="shared" si="17"/>
        <v>6763</v>
      </c>
      <c r="T142" s="192">
        <f t="shared" si="18"/>
        <v>8060</v>
      </c>
      <c r="U142" s="192">
        <f t="shared" si="19"/>
        <v>4315</v>
      </c>
      <c r="V142" s="192">
        <f t="shared" si="20"/>
        <v>6563</v>
      </c>
      <c r="W142" s="192">
        <f t="shared" si="21"/>
        <v>7029</v>
      </c>
      <c r="X142" s="192">
        <f t="shared" si="22"/>
        <v>7201</v>
      </c>
      <c r="Y142" s="192">
        <f t="shared" si="23"/>
        <v>4146</v>
      </c>
      <c r="Z142" s="192">
        <f t="shared" si="24"/>
        <v>3058</v>
      </c>
      <c r="AA142" s="192">
        <f t="shared" si="25"/>
        <v>1589</v>
      </c>
      <c r="AB142" s="192">
        <f t="shared" si="26"/>
        <v>3424</v>
      </c>
      <c r="AC142" s="192">
        <f t="shared" si="27"/>
        <v>5548</v>
      </c>
      <c r="AD142" s="192">
        <f t="shared" si="28"/>
        <v>4760</v>
      </c>
      <c r="AE142" s="192">
        <f t="shared" si="28"/>
        <v>5518</v>
      </c>
      <c r="AF142" s="192">
        <f t="shared" si="29"/>
        <v>6292</v>
      </c>
    </row>
    <row r="143" spans="1:32" x14ac:dyDescent="0.25">
      <c r="A143" s="81">
        <v>40794</v>
      </c>
      <c r="B143" s="192">
        <f t="shared" si="3"/>
        <v>9573</v>
      </c>
      <c r="C143" s="192">
        <f t="shared" si="30"/>
        <v>9764</v>
      </c>
      <c r="D143" s="192">
        <f t="shared" si="31"/>
        <v>7073</v>
      </c>
      <c r="E143" s="192">
        <f t="shared" si="32"/>
        <v>5857</v>
      </c>
      <c r="F143" s="192">
        <f t="shared" si="4"/>
        <v>9353</v>
      </c>
      <c r="G143" s="192">
        <f t="shared" si="5"/>
        <v>969</v>
      </c>
      <c r="H143" s="192">
        <f t="shared" si="6"/>
        <v>12854</v>
      </c>
      <c r="I143" s="192">
        <f t="shared" si="7"/>
        <v>18095</v>
      </c>
      <c r="J143" s="192">
        <f t="shared" si="8"/>
        <v>299</v>
      </c>
      <c r="K143" s="192">
        <f t="shared" si="9"/>
        <v>9439</v>
      </c>
      <c r="L143" s="192">
        <f t="shared" si="10"/>
        <v>0</v>
      </c>
      <c r="M143" s="192">
        <f t="shared" si="11"/>
        <v>0</v>
      </c>
      <c r="N143" s="192">
        <f t="shared" si="12"/>
        <v>6713</v>
      </c>
      <c r="O143" s="192">
        <f t="shared" si="13"/>
        <v>10442</v>
      </c>
      <c r="P143" s="192">
        <f t="shared" si="14"/>
        <v>4999</v>
      </c>
      <c r="Q143" s="192">
        <f t="shared" si="15"/>
        <v>13358</v>
      </c>
      <c r="R143" s="192">
        <f t="shared" si="16"/>
        <v>10277</v>
      </c>
      <c r="S143" s="192">
        <f t="shared" si="17"/>
        <v>6763</v>
      </c>
      <c r="T143" s="192">
        <f t="shared" si="18"/>
        <v>8060</v>
      </c>
      <c r="U143" s="192">
        <f t="shared" si="19"/>
        <v>4323</v>
      </c>
      <c r="V143" s="192">
        <f t="shared" si="20"/>
        <v>6589</v>
      </c>
      <c r="W143" s="192">
        <f t="shared" si="21"/>
        <v>7178</v>
      </c>
      <c r="X143" s="192">
        <f t="shared" si="22"/>
        <v>7227</v>
      </c>
      <c r="Y143" s="192">
        <f t="shared" si="23"/>
        <v>4150</v>
      </c>
      <c r="Z143" s="192">
        <f t="shared" si="24"/>
        <v>3075</v>
      </c>
      <c r="AA143" s="192">
        <f t="shared" si="25"/>
        <v>1599</v>
      </c>
      <c r="AB143" s="192">
        <f t="shared" si="26"/>
        <v>3460</v>
      </c>
      <c r="AC143" s="192">
        <f t="shared" si="27"/>
        <v>5567</v>
      </c>
      <c r="AD143" s="192">
        <f t="shared" si="28"/>
        <v>4769</v>
      </c>
      <c r="AE143" s="192">
        <f t="shared" si="28"/>
        <v>5531</v>
      </c>
      <c r="AF143" s="192">
        <f t="shared" si="29"/>
        <v>6300</v>
      </c>
    </row>
    <row r="144" spans="1:32" x14ac:dyDescent="0.25">
      <c r="A144" s="81">
        <v>40795</v>
      </c>
      <c r="B144" s="192">
        <f t="shared" si="3"/>
        <v>9587</v>
      </c>
      <c r="C144" s="192">
        <f t="shared" si="30"/>
        <v>9764</v>
      </c>
      <c r="D144" s="192">
        <f t="shared" si="31"/>
        <v>7073</v>
      </c>
      <c r="E144" s="192">
        <f t="shared" si="32"/>
        <v>5857</v>
      </c>
      <c r="F144" s="192">
        <f t="shared" si="4"/>
        <v>9353</v>
      </c>
      <c r="G144" s="192">
        <f t="shared" si="5"/>
        <v>969</v>
      </c>
      <c r="H144" s="192">
        <f t="shared" si="6"/>
        <v>12854</v>
      </c>
      <c r="I144" s="192">
        <f t="shared" si="7"/>
        <v>18095</v>
      </c>
      <c r="J144" s="192">
        <f t="shared" si="8"/>
        <v>299</v>
      </c>
      <c r="K144" s="192">
        <f t="shared" si="9"/>
        <v>9439</v>
      </c>
      <c r="L144" s="192">
        <f t="shared" si="10"/>
        <v>0</v>
      </c>
      <c r="M144" s="192">
        <f t="shared" si="11"/>
        <v>0</v>
      </c>
      <c r="N144" s="192">
        <f t="shared" si="12"/>
        <v>6907</v>
      </c>
      <c r="O144" s="192">
        <f t="shared" si="13"/>
        <v>10442</v>
      </c>
      <c r="P144" s="192">
        <f t="shared" si="14"/>
        <v>4999</v>
      </c>
      <c r="Q144" s="192">
        <f t="shared" si="15"/>
        <v>13358</v>
      </c>
      <c r="R144" s="192">
        <f t="shared" si="16"/>
        <v>10277</v>
      </c>
      <c r="S144" s="192">
        <f t="shared" si="17"/>
        <v>6763</v>
      </c>
      <c r="T144" s="192">
        <f t="shared" si="18"/>
        <v>8060</v>
      </c>
      <c r="U144" s="192">
        <f t="shared" si="19"/>
        <v>4338</v>
      </c>
      <c r="V144" s="192">
        <f t="shared" si="20"/>
        <v>6643</v>
      </c>
      <c r="W144" s="192">
        <f t="shared" si="21"/>
        <v>7254</v>
      </c>
      <c r="X144" s="192">
        <f t="shared" si="22"/>
        <v>7258</v>
      </c>
      <c r="Y144" s="192">
        <f t="shared" si="23"/>
        <v>4156</v>
      </c>
      <c r="Z144" s="192">
        <f t="shared" si="24"/>
        <v>3093</v>
      </c>
      <c r="AA144" s="192">
        <f t="shared" si="25"/>
        <v>1599</v>
      </c>
      <c r="AB144" s="192">
        <f t="shared" si="26"/>
        <v>3465</v>
      </c>
      <c r="AC144" s="192">
        <f t="shared" si="27"/>
        <v>5569</v>
      </c>
      <c r="AD144" s="192">
        <f t="shared" si="28"/>
        <v>4777</v>
      </c>
      <c r="AE144" s="192">
        <f t="shared" si="28"/>
        <v>5637</v>
      </c>
      <c r="AF144" s="192">
        <f t="shared" si="29"/>
        <v>6328</v>
      </c>
    </row>
    <row r="145" spans="1:32" x14ac:dyDescent="0.25">
      <c r="A145" s="81">
        <v>40796</v>
      </c>
      <c r="B145" s="192">
        <f t="shared" si="3"/>
        <v>9593</v>
      </c>
      <c r="C145" s="192">
        <f t="shared" si="30"/>
        <v>9764</v>
      </c>
      <c r="D145" s="192">
        <f t="shared" si="31"/>
        <v>7073</v>
      </c>
      <c r="E145" s="192">
        <f t="shared" si="32"/>
        <v>5857</v>
      </c>
      <c r="F145" s="192">
        <f t="shared" si="4"/>
        <v>9353</v>
      </c>
      <c r="G145" s="192">
        <f t="shared" si="5"/>
        <v>969</v>
      </c>
      <c r="H145" s="192">
        <f t="shared" si="6"/>
        <v>12854</v>
      </c>
      <c r="I145" s="192">
        <f t="shared" si="7"/>
        <v>18095</v>
      </c>
      <c r="J145" s="192">
        <f t="shared" si="8"/>
        <v>299</v>
      </c>
      <c r="K145" s="192">
        <f t="shared" si="9"/>
        <v>9439</v>
      </c>
      <c r="L145" s="192">
        <f t="shared" si="10"/>
        <v>0</v>
      </c>
      <c r="M145" s="192">
        <f t="shared" si="11"/>
        <v>0</v>
      </c>
      <c r="N145" s="192">
        <f t="shared" si="12"/>
        <v>8092</v>
      </c>
      <c r="O145" s="192">
        <f t="shared" si="13"/>
        <v>10442</v>
      </c>
      <c r="P145" s="192">
        <f t="shared" si="14"/>
        <v>4999</v>
      </c>
      <c r="Q145" s="192">
        <f t="shared" si="15"/>
        <v>13358</v>
      </c>
      <c r="R145" s="192">
        <f t="shared" si="16"/>
        <v>10277</v>
      </c>
      <c r="S145" s="192">
        <f t="shared" si="17"/>
        <v>6763</v>
      </c>
      <c r="T145" s="192">
        <f t="shared" si="18"/>
        <v>8060</v>
      </c>
      <c r="U145" s="192">
        <f t="shared" si="19"/>
        <v>4345</v>
      </c>
      <c r="V145" s="192">
        <f t="shared" si="20"/>
        <v>6721</v>
      </c>
      <c r="W145" s="192">
        <f t="shared" si="21"/>
        <v>7282</v>
      </c>
      <c r="X145" s="192">
        <f t="shared" si="22"/>
        <v>7278</v>
      </c>
      <c r="Y145" s="192">
        <f t="shared" si="23"/>
        <v>4157</v>
      </c>
      <c r="Z145" s="192">
        <f t="shared" si="24"/>
        <v>3096</v>
      </c>
      <c r="AA145" s="192">
        <f t="shared" si="25"/>
        <v>1600</v>
      </c>
      <c r="AB145" s="192">
        <f t="shared" si="26"/>
        <v>3465</v>
      </c>
      <c r="AC145" s="192">
        <f t="shared" si="27"/>
        <v>5590</v>
      </c>
      <c r="AD145" s="192">
        <f t="shared" si="28"/>
        <v>4777</v>
      </c>
      <c r="AE145" s="192">
        <f t="shared" si="28"/>
        <v>5642</v>
      </c>
      <c r="AF145" s="192">
        <f t="shared" si="29"/>
        <v>6348</v>
      </c>
    </row>
    <row r="146" spans="1:32" x14ac:dyDescent="0.25">
      <c r="A146" s="81">
        <v>40797</v>
      </c>
      <c r="B146" s="192">
        <f t="shared" si="3"/>
        <v>9598</v>
      </c>
      <c r="C146" s="192">
        <f t="shared" si="30"/>
        <v>9764</v>
      </c>
      <c r="D146" s="192">
        <f t="shared" si="31"/>
        <v>7073</v>
      </c>
      <c r="E146" s="192">
        <f t="shared" si="32"/>
        <v>5857</v>
      </c>
      <c r="F146" s="192">
        <f t="shared" si="4"/>
        <v>9353</v>
      </c>
      <c r="G146" s="192">
        <f t="shared" si="5"/>
        <v>969</v>
      </c>
      <c r="H146" s="192">
        <f t="shared" si="6"/>
        <v>12854</v>
      </c>
      <c r="I146" s="192">
        <f t="shared" si="7"/>
        <v>18095</v>
      </c>
      <c r="J146" s="192">
        <f t="shared" si="8"/>
        <v>299</v>
      </c>
      <c r="K146" s="192">
        <f t="shared" si="9"/>
        <v>9439</v>
      </c>
      <c r="L146" s="192">
        <f t="shared" si="10"/>
        <v>0</v>
      </c>
      <c r="M146" s="192">
        <f t="shared" si="11"/>
        <v>0</v>
      </c>
      <c r="N146" s="192">
        <f t="shared" si="12"/>
        <v>8190</v>
      </c>
      <c r="O146" s="192">
        <f t="shared" si="13"/>
        <v>10442</v>
      </c>
      <c r="P146" s="192">
        <f t="shared" si="14"/>
        <v>4999</v>
      </c>
      <c r="Q146" s="192">
        <f t="shared" si="15"/>
        <v>13358</v>
      </c>
      <c r="R146" s="192">
        <f t="shared" si="16"/>
        <v>10277</v>
      </c>
      <c r="S146" s="192">
        <f t="shared" si="17"/>
        <v>6763</v>
      </c>
      <c r="T146" s="192">
        <f t="shared" si="18"/>
        <v>8060</v>
      </c>
      <c r="U146" s="192">
        <f t="shared" si="19"/>
        <v>4403</v>
      </c>
      <c r="V146" s="192">
        <f t="shared" si="20"/>
        <v>6733</v>
      </c>
      <c r="W146" s="192">
        <f t="shared" si="21"/>
        <v>7308</v>
      </c>
      <c r="X146" s="192">
        <f t="shared" si="22"/>
        <v>7319</v>
      </c>
      <c r="Y146" s="192">
        <f t="shared" si="23"/>
        <v>4159</v>
      </c>
      <c r="Z146" s="192">
        <f t="shared" si="24"/>
        <v>3096</v>
      </c>
      <c r="AA146" s="192">
        <f t="shared" si="25"/>
        <v>1647</v>
      </c>
      <c r="AB146" s="192">
        <f t="shared" si="26"/>
        <v>3530</v>
      </c>
      <c r="AC146" s="192">
        <f t="shared" si="27"/>
        <v>5603</v>
      </c>
      <c r="AD146" s="192">
        <f t="shared" si="28"/>
        <v>4777</v>
      </c>
      <c r="AE146" s="192">
        <f t="shared" si="28"/>
        <v>5654</v>
      </c>
      <c r="AF146" s="192">
        <f t="shared" si="29"/>
        <v>6364</v>
      </c>
    </row>
    <row r="147" spans="1:32" x14ac:dyDescent="0.25">
      <c r="A147" s="81">
        <v>40798</v>
      </c>
      <c r="B147" s="192">
        <f t="shared" si="3"/>
        <v>9620</v>
      </c>
      <c r="C147" s="192">
        <f t="shared" si="30"/>
        <v>9764</v>
      </c>
      <c r="D147" s="192">
        <f t="shared" si="31"/>
        <v>7073</v>
      </c>
      <c r="E147" s="192">
        <f t="shared" si="32"/>
        <v>5857</v>
      </c>
      <c r="F147" s="192">
        <f t="shared" si="4"/>
        <v>9353</v>
      </c>
      <c r="G147" s="192">
        <f t="shared" si="5"/>
        <v>969</v>
      </c>
      <c r="H147" s="192">
        <f t="shared" si="6"/>
        <v>12854</v>
      </c>
      <c r="I147" s="192">
        <f t="shared" si="7"/>
        <v>18095</v>
      </c>
      <c r="J147" s="192">
        <f t="shared" si="8"/>
        <v>299</v>
      </c>
      <c r="K147" s="192">
        <f t="shared" si="9"/>
        <v>9439</v>
      </c>
      <c r="L147" s="192">
        <f t="shared" si="10"/>
        <v>0</v>
      </c>
      <c r="M147" s="192">
        <f t="shared" si="11"/>
        <v>0</v>
      </c>
      <c r="N147" s="192">
        <f t="shared" si="12"/>
        <v>8201</v>
      </c>
      <c r="O147" s="192">
        <f t="shared" si="13"/>
        <v>10442</v>
      </c>
      <c r="P147" s="192">
        <f t="shared" si="14"/>
        <v>4999</v>
      </c>
      <c r="Q147" s="192">
        <f t="shared" si="15"/>
        <v>13358</v>
      </c>
      <c r="R147" s="192">
        <f t="shared" si="16"/>
        <v>10277</v>
      </c>
      <c r="S147" s="192">
        <f t="shared" si="17"/>
        <v>6763</v>
      </c>
      <c r="T147" s="192">
        <f t="shared" si="18"/>
        <v>8060</v>
      </c>
      <c r="U147" s="192">
        <f t="shared" si="19"/>
        <v>4613</v>
      </c>
      <c r="V147" s="192">
        <f t="shared" si="20"/>
        <v>6751</v>
      </c>
      <c r="W147" s="192">
        <f t="shared" si="21"/>
        <v>7388</v>
      </c>
      <c r="X147" s="192">
        <f t="shared" si="22"/>
        <v>7389</v>
      </c>
      <c r="Y147" s="192">
        <f t="shared" si="23"/>
        <v>4159</v>
      </c>
      <c r="Z147" s="192">
        <f t="shared" si="24"/>
        <v>3096</v>
      </c>
      <c r="AA147" s="192">
        <f t="shared" si="25"/>
        <v>1714</v>
      </c>
      <c r="AB147" s="192">
        <f t="shared" si="26"/>
        <v>3564</v>
      </c>
      <c r="AC147" s="192">
        <f t="shared" si="27"/>
        <v>5604</v>
      </c>
      <c r="AD147" s="192">
        <f t="shared" si="28"/>
        <v>4777</v>
      </c>
      <c r="AE147" s="192">
        <f t="shared" si="28"/>
        <v>5676</v>
      </c>
      <c r="AF147" s="192">
        <f t="shared" si="29"/>
        <v>6369</v>
      </c>
    </row>
    <row r="148" spans="1:32" x14ac:dyDescent="0.25">
      <c r="A148" s="81">
        <v>40799</v>
      </c>
      <c r="B148" s="192">
        <f t="shared" si="3"/>
        <v>9640</v>
      </c>
      <c r="C148" s="192">
        <f t="shared" si="30"/>
        <v>9764</v>
      </c>
      <c r="D148" s="192">
        <f t="shared" si="31"/>
        <v>7073</v>
      </c>
      <c r="E148" s="192">
        <f t="shared" si="32"/>
        <v>5857</v>
      </c>
      <c r="F148" s="192">
        <f t="shared" si="4"/>
        <v>9353</v>
      </c>
      <c r="G148" s="192">
        <f t="shared" si="5"/>
        <v>969</v>
      </c>
      <c r="H148" s="192">
        <f t="shared" si="6"/>
        <v>12854</v>
      </c>
      <c r="I148" s="192">
        <f t="shared" si="7"/>
        <v>18095</v>
      </c>
      <c r="J148" s="192">
        <f t="shared" si="8"/>
        <v>299</v>
      </c>
      <c r="K148" s="192">
        <f t="shared" si="9"/>
        <v>9439</v>
      </c>
      <c r="L148" s="192">
        <f t="shared" si="10"/>
        <v>0</v>
      </c>
      <c r="M148" s="192">
        <f t="shared" si="11"/>
        <v>0</v>
      </c>
      <c r="N148" s="192">
        <f t="shared" si="12"/>
        <v>8201</v>
      </c>
      <c r="O148" s="192">
        <f t="shared" si="13"/>
        <v>10442</v>
      </c>
      <c r="P148" s="192">
        <f t="shared" si="14"/>
        <v>4999</v>
      </c>
      <c r="Q148" s="192">
        <f t="shared" si="15"/>
        <v>13358</v>
      </c>
      <c r="R148" s="192">
        <f t="shared" si="16"/>
        <v>10277</v>
      </c>
      <c r="S148" s="192">
        <f t="shared" si="17"/>
        <v>6763</v>
      </c>
      <c r="T148" s="192">
        <f t="shared" si="18"/>
        <v>8060</v>
      </c>
      <c r="U148" s="192">
        <f t="shared" si="19"/>
        <v>4699</v>
      </c>
      <c r="V148" s="192">
        <f t="shared" si="20"/>
        <v>6818</v>
      </c>
      <c r="W148" s="192">
        <f t="shared" si="21"/>
        <v>7446</v>
      </c>
      <c r="X148" s="192">
        <f t="shared" si="22"/>
        <v>7436</v>
      </c>
      <c r="Y148" s="192">
        <f t="shared" si="23"/>
        <v>4159</v>
      </c>
      <c r="Z148" s="192">
        <f t="shared" si="24"/>
        <v>3096</v>
      </c>
      <c r="AA148" s="192">
        <f t="shared" si="25"/>
        <v>1716</v>
      </c>
      <c r="AB148" s="192">
        <f t="shared" si="26"/>
        <v>3583</v>
      </c>
      <c r="AC148" s="192">
        <f t="shared" si="27"/>
        <v>5613</v>
      </c>
      <c r="AD148" s="192">
        <f t="shared" si="28"/>
        <v>4777</v>
      </c>
      <c r="AE148" s="192">
        <f t="shared" si="28"/>
        <v>5677</v>
      </c>
      <c r="AF148" s="192">
        <f t="shared" si="29"/>
        <v>6385</v>
      </c>
    </row>
    <row r="149" spans="1:32" x14ac:dyDescent="0.25">
      <c r="A149" s="81">
        <v>40800</v>
      </c>
      <c r="B149" s="192">
        <f t="shared" si="3"/>
        <v>9710</v>
      </c>
      <c r="C149" s="192">
        <f t="shared" si="30"/>
        <v>9764</v>
      </c>
      <c r="D149" s="192">
        <f t="shared" si="31"/>
        <v>7073</v>
      </c>
      <c r="E149" s="192">
        <f t="shared" si="32"/>
        <v>5857</v>
      </c>
      <c r="F149" s="192">
        <f t="shared" si="4"/>
        <v>9353</v>
      </c>
      <c r="G149" s="192">
        <f t="shared" si="5"/>
        <v>969</v>
      </c>
      <c r="H149" s="192">
        <f t="shared" si="6"/>
        <v>12854</v>
      </c>
      <c r="I149" s="192">
        <f t="shared" si="7"/>
        <v>18095</v>
      </c>
      <c r="J149" s="192">
        <f t="shared" si="8"/>
        <v>299</v>
      </c>
      <c r="K149" s="192">
        <f t="shared" si="9"/>
        <v>9439</v>
      </c>
      <c r="L149" s="192">
        <f t="shared" si="10"/>
        <v>0</v>
      </c>
      <c r="M149" s="192">
        <f t="shared" si="11"/>
        <v>0</v>
      </c>
      <c r="N149" s="192">
        <f t="shared" si="12"/>
        <v>8201</v>
      </c>
      <c r="O149" s="192">
        <f t="shared" si="13"/>
        <v>10442</v>
      </c>
      <c r="P149" s="192">
        <f t="shared" si="14"/>
        <v>4999</v>
      </c>
      <c r="Q149" s="192">
        <f t="shared" si="15"/>
        <v>13358</v>
      </c>
      <c r="R149" s="192">
        <f t="shared" si="16"/>
        <v>10277</v>
      </c>
      <c r="S149" s="192">
        <f t="shared" si="17"/>
        <v>6763</v>
      </c>
      <c r="T149" s="192">
        <f t="shared" si="18"/>
        <v>8060</v>
      </c>
      <c r="U149" s="192">
        <f t="shared" si="19"/>
        <v>4750</v>
      </c>
      <c r="V149" s="192">
        <f t="shared" si="20"/>
        <v>6977</v>
      </c>
      <c r="W149" s="192">
        <f t="shared" si="21"/>
        <v>7526</v>
      </c>
      <c r="X149" s="192">
        <f t="shared" si="22"/>
        <v>7487</v>
      </c>
      <c r="Y149" s="192">
        <f t="shared" si="23"/>
        <v>4163</v>
      </c>
      <c r="Z149" s="192">
        <f t="shared" si="24"/>
        <v>3096</v>
      </c>
      <c r="AA149" s="192">
        <f t="shared" si="25"/>
        <v>1716</v>
      </c>
      <c r="AB149" s="192">
        <f t="shared" si="26"/>
        <v>3603</v>
      </c>
      <c r="AC149" s="192">
        <f t="shared" si="27"/>
        <v>5619</v>
      </c>
      <c r="AD149" s="192">
        <f t="shared" si="28"/>
        <v>4777</v>
      </c>
      <c r="AE149" s="192">
        <f t="shared" si="28"/>
        <v>5677</v>
      </c>
      <c r="AF149" s="192">
        <f t="shared" si="29"/>
        <v>6389</v>
      </c>
    </row>
    <row r="150" spans="1:32" x14ac:dyDescent="0.25">
      <c r="A150" s="81">
        <v>40801</v>
      </c>
      <c r="B150" s="192">
        <f t="shared" ref="B150:B157" si="33">B74+B149</f>
        <v>9830</v>
      </c>
      <c r="C150" s="192">
        <f t="shared" si="30"/>
        <v>9764</v>
      </c>
      <c r="D150" s="192">
        <f t="shared" si="31"/>
        <v>7073</v>
      </c>
      <c r="E150" s="192">
        <f t="shared" si="32"/>
        <v>5857</v>
      </c>
      <c r="F150" s="192">
        <f t="shared" si="4"/>
        <v>9353</v>
      </c>
      <c r="G150" s="192">
        <f t="shared" si="5"/>
        <v>969</v>
      </c>
      <c r="H150" s="192">
        <f t="shared" si="6"/>
        <v>12854</v>
      </c>
      <c r="I150" s="192">
        <f t="shared" si="7"/>
        <v>18095</v>
      </c>
      <c r="J150" s="192">
        <f t="shared" si="8"/>
        <v>299</v>
      </c>
      <c r="K150" s="192">
        <f t="shared" si="9"/>
        <v>9439</v>
      </c>
      <c r="L150" s="192">
        <f t="shared" si="10"/>
        <v>0</v>
      </c>
      <c r="M150" s="192">
        <f t="shared" si="11"/>
        <v>0</v>
      </c>
      <c r="N150" s="192">
        <f t="shared" si="12"/>
        <v>8201</v>
      </c>
      <c r="O150" s="192">
        <f t="shared" si="13"/>
        <v>10442</v>
      </c>
      <c r="P150" s="192">
        <f t="shared" si="14"/>
        <v>4999</v>
      </c>
      <c r="Q150" s="192">
        <f t="shared" si="15"/>
        <v>13358</v>
      </c>
      <c r="R150" s="192">
        <f t="shared" si="16"/>
        <v>10277</v>
      </c>
      <c r="S150" s="192">
        <f t="shared" si="17"/>
        <v>6763</v>
      </c>
      <c r="T150" s="192">
        <f t="shared" si="18"/>
        <v>8060</v>
      </c>
      <c r="U150" s="192">
        <f t="shared" si="19"/>
        <v>4752</v>
      </c>
      <c r="V150" s="192">
        <f t="shared" si="20"/>
        <v>7008</v>
      </c>
      <c r="W150" s="192">
        <f t="shared" si="21"/>
        <v>7696</v>
      </c>
      <c r="X150" s="192">
        <f t="shared" si="22"/>
        <v>7506</v>
      </c>
      <c r="Y150" s="192">
        <f t="shared" si="23"/>
        <v>4165</v>
      </c>
      <c r="Z150" s="192">
        <f t="shared" si="24"/>
        <v>3096</v>
      </c>
      <c r="AA150" s="192">
        <f t="shared" si="25"/>
        <v>1737</v>
      </c>
      <c r="AB150" s="192">
        <f t="shared" si="26"/>
        <v>3620</v>
      </c>
      <c r="AC150" s="192">
        <f t="shared" si="27"/>
        <v>5626</v>
      </c>
      <c r="AD150" s="192">
        <f t="shared" si="28"/>
        <v>4777</v>
      </c>
      <c r="AE150" s="192">
        <f t="shared" si="28"/>
        <v>5677</v>
      </c>
      <c r="AF150" s="192">
        <f t="shared" si="29"/>
        <v>6391</v>
      </c>
    </row>
    <row r="151" spans="1:32" x14ac:dyDescent="0.25">
      <c r="A151" s="81">
        <v>40802</v>
      </c>
      <c r="B151" s="192">
        <f t="shared" si="33"/>
        <v>9857</v>
      </c>
      <c r="C151" s="192">
        <f t="shared" si="30"/>
        <v>9764</v>
      </c>
      <c r="D151" s="192">
        <f t="shared" si="31"/>
        <v>7073</v>
      </c>
      <c r="E151" s="192">
        <f t="shared" si="32"/>
        <v>5857</v>
      </c>
      <c r="F151" s="192">
        <f t="shared" si="4"/>
        <v>9353</v>
      </c>
      <c r="G151" s="192">
        <f t="shared" si="5"/>
        <v>969</v>
      </c>
      <c r="H151" s="192">
        <f t="shared" si="6"/>
        <v>12854</v>
      </c>
      <c r="I151" s="192">
        <f t="shared" si="7"/>
        <v>18095</v>
      </c>
      <c r="J151" s="192">
        <f t="shared" si="8"/>
        <v>299</v>
      </c>
      <c r="K151" s="192">
        <f t="shared" si="9"/>
        <v>9439</v>
      </c>
      <c r="L151" s="192">
        <f t="shared" si="10"/>
        <v>0</v>
      </c>
      <c r="M151" s="192">
        <f t="shared" si="11"/>
        <v>0</v>
      </c>
      <c r="N151" s="192">
        <f t="shared" si="12"/>
        <v>8201</v>
      </c>
      <c r="O151" s="192">
        <f t="shared" si="13"/>
        <v>10442</v>
      </c>
      <c r="P151" s="192">
        <f t="shared" si="14"/>
        <v>4999</v>
      </c>
      <c r="Q151" s="192">
        <f t="shared" si="15"/>
        <v>13358</v>
      </c>
      <c r="R151" s="192">
        <f t="shared" si="16"/>
        <v>10277</v>
      </c>
      <c r="S151" s="192">
        <f t="shared" si="17"/>
        <v>6763</v>
      </c>
      <c r="T151" s="192">
        <f t="shared" si="18"/>
        <v>8060</v>
      </c>
      <c r="U151" s="192">
        <f t="shared" si="19"/>
        <v>4752</v>
      </c>
      <c r="V151" s="192">
        <f t="shared" si="20"/>
        <v>7012</v>
      </c>
      <c r="W151" s="192">
        <f t="shared" si="21"/>
        <v>7750</v>
      </c>
      <c r="X151" s="192">
        <f t="shared" si="22"/>
        <v>7512</v>
      </c>
      <c r="Y151" s="192">
        <f t="shared" si="23"/>
        <v>4165</v>
      </c>
      <c r="Z151" s="192">
        <f t="shared" si="24"/>
        <v>3096</v>
      </c>
      <c r="AA151" s="192">
        <f t="shared" si="25"/>
        <v>1739</v>
      </c>
      <c r="AB151" s="192">
        <f t="shared" si="26"/>
        <v>3622</v>
      </c>
      <c r="AC151" s="192">
        <f t="shared" si="27"/>
        <v>5632</v>
      </c>
      <c r="AD151" s="192">
        <f t="shared" si="28"/>
        <v>4777</v>
      </c>
      <c r="AE151" s="192">
        <f t="shared" si="28"/>
        <v>5679</v>
      </c>
      <c r="AF151" s="192">
        <f t="shared" si="29"/>
        <v>6396</v>
      </c>
    </row>
    <row r="152" spans="1:32" x14ac:dyDescent="0.25">
      <c r="A152" s="81">
        <v>40803</v>
      </c>
      <c r="B152" s="192">
        <f t="shared" si="33"/>
        <v>9893</v>
      </c>
      <c r="C152" s="192">
        <f t="shared" si="30"/>
        <v>9764</v>
      </c>
      <c r="D152" s="192">
        <f t="shared" si="31"/>
        <v>7073</v>
      </c>
      <c r="E152" s="192">
        <f t="shared" si="32"/>
        <v>5857</v>
      </c>
      <c r="F152" s="192">
        <f t="shared" si="4"/>
        <v>9353</v>
      </c>
      <c r="G152" s="192">
        <f t="shared" si="5"/>
        <v>969</v>
      </c>
      <c r="H152" s="192">
        <f t="shared" si="6"/>
        <v>12854</v>
      </c>
      <c r="I152" s="192">
        <f t="shared" si="7"/>
        <v>18095</v>
      </c>
      <c r="J152" s="192">
        <f t="shared" si="8"/>
        <v>299</v>
      </c>
      <c r="K152" s="192">
        <f t="shared" si="9"/>
        <v>9439</v>
      </c>
      <c r="L152" s="192">
        <f t="shared" si="10"/>
        <v>0</v>
      </c>
      <c r="M152" s="192">
        <f t="shared" si="11"/>
        <v>0</v>
      </c>
      <c r="N152" s="192">
        <f t="shared" si="12"/>
        <v>8201</v>
      </c>
      <c r="O152" s="192">
        <f t="shared" si="13"/>
        <v>10442</v>
      </c>
      <c r="P152" s="192">
        <f t="shared" si="14"/>
        <v>4999</v>
      </c>
      <c r="Q152" s="192">
        <f t="shared" si="15"/>
        <v>13358</v>
      </c>
      <c r="R152" s="192">
        <f t="shared" si="16"/>
        <v>10277</v>
      </c>
      <c r="S152" s="192">
        <f t="shared" si="17"/>
        <v>6763</v>
      </c>
      <c r="T152" s="192">
        <f t="shared" si="18"/>
        <v>8060</v>
      </c>
      <c r="U152" s="192">
        <f t="shared" si="19"/>
        <v>4770</v>
      </c>
      <c r="V152" s="192">
        <f t="shared" si="20"/>
        <v>7014</v>
      </c>
      <c r="W152" s="192">
        <f t="shared" si="21"/>
        <v>7774</v>
      </c>
      <c r="X152" s="192">
        <f t="shared" si="22"/>
        <v>7521</v>
      </c>
      <c r="Y152" s="192">
        <f t="shared" si="23"/>
        <v>4165</v>
      </c>
      <c r="Z152" s="192">
        <f t="shared" si="24"/>
        <v>3096</v>
      </c>
      <c r="AA152" s="192">
        <f t="shared" si="25"/>
        <v>1744</v>
      </c>
      <c r="AB152" s="192">
        <f t="shared" si="26"/>
        <v>3626</v>
      </c>
      <c r="AC152" s="192">
        <f t="shared" si="27"/>
        <v>5635</v>
      </c>
      <c r="AD152" s="192">
        <f t="shared" si="28"/>
        <v>4777</v>
      </c>
      <c r="AE152" s="192">
        <f t="shared" si="28"/>
        <v>5680</v>
      </c>
      <c r="AF152" s="192">
        <f t="shared" si="29"/>
        <v>6396</v>
      </c>
    </row>
    <row r="153" spans="1:32" x14ac:dyDescent="0.25">
      <c r="A153" s="81">
        <v>40804</v>
      </c>
      <c r="B153" s="192">
        <f t="shared" si="33"/>
        <v>9899</v>
      </c>
      <c r="C153" s="192">
        <f t="shared" si="30"/>
        <v>9764</v>
      </c>
      <c r="D153" s="192">
        <f t="shared" si="31"/>
        <v>7073</v>
      </c>
      <c r="E153" s="192">
        <f t="shared" si="32"/>
        <v>5857</v>
      </c>
      <c r="F153" s="192">
        <f t="shared" si="4"/>
        <v>9353</v>
      </c>
      <c r="G153" s="192">
        <f t="shared" si="5"/>
        <v>969</v>
      </c>
      <c r="H153" s="192">
        <f t="shared" si="6"/>
        <v>12854</v>
      </c>
      <c r="I153" s="192">
        <f t="shared" si="7"/>
        <v>18095</v>
      </c>
      <c r="J153" s="192">
        <f t="shared" si="8"/>
        <v>299</v>
      </c>
      <c r="K153" s="192">
        <f t="shared" si="9"/>
        <v>9439</v>
      </c>
      <c r="L153" s="192">
        <f t="shared" si="10"/>
        <v>0</v>
      </c>
      <c r="M153" s="192">
        <f t="shared" si="11"/>
        <v>0</v>
      </c>
      <c r="N153" s="192">
        <f t="shared" si="12"/>
        <v>8201</v>
      </c>
      <c r="O153" s="192">
        <f t="shared" si="13"/>
        <v>10442</v>
      </c>
      <c r="P153" s="192">
        <f t="shared" si="14"/>
        <v>4999</v>
      </c>
      <c r="Q153" s="192">
        <f t="shared" si="15"/>
        <v>13358</v>
      </c>
      <c r="R153" s="192">
        <f t="shared" si="16"/>
        <v>10277</v>
      </c>
      <c r="S153" s="192">
        <f t="shared" si="17"/>
        <v>6763</v>
      </c>
      <c r="T153" s="192">
        <f t="shared" si="18"/>
        <v>8060</v>
      </c>
      <c r="U153" s="192">
        <f t="shared" si="19"/>
        <v>4990</v>
      </c>
      <c r="V153" s="192">
        <f t="shared" si="20"/>
        <v>7014</v>
      </c>
      <c r="W153" s="192">
        <f t="shared" si="21"/>
        <v>7804</v>
      </c>
      <c r="X153" s="192">
        <f t="shared" si="22"/>
        <v>7531</v>
      </c>
      <c r="Y153" s="192">
        <f t="shared" si="23"/>
        <v>4165</v>
      </c>
      <c r="Z153" s="192">
        <f t="shared" si="24"/>
        <v>3099</v>
      </c>
      <c r="AA153" s="192">
        <f t="shared" si="25"/>
        <v>1744</v>
      </c>
      <c r="AB153" s="192">
        <f t="shared" si="26"/>
        <v>3629</v>
      </c>
      <c r="AC153" s="192">
        <f t="shared" si="27"/>
        <v>5640</v>
      </c>
      <c r="AD153" s="192">
        <f t="shared" si="28"/>
        <v>4777</v>
      </c>
      <c r="AE153" s="192">
        <f t="shared" si="28"/>
        <v>5680</v>
      </c>
      <c r="AF153" s="192">
        <f t="shared" si="29"/>
        <v>6404</v>
      </c>
    </row>
    <row r="154" spans="1:32" x14ac:dyDescent="0.25">
      <c r="A154" s="81">
        <v>40805</v>
      </c>
      <c r="B154" s="192">
        <f t="shared" si="33"/>
        <v>9906</v>
      </c>
      <c r="C154" s="192">
        <f t="shared" si="30"/>
        <v>9764</v>
      </c>
      <c r="D154" s="192">
        <f t="shared" si="31"/>
        <v>7073</v>
      </c>
      <c r="E154" s="192">
        <f t="shared" si="32"/>
        <v>5857</v>
      </c>
      <c r="F154" s="192">
        <f t="shared" si="4"/>
        <v>9353</v>
      </c>
      <c r="G154" s="192">
        <f t="shared" si="5"/>
        <v>969</v>
      </c>
      <c r="H154" s="192">
        <f t="shared" si="6"/>
        <v>12854</v>
      </c>
      <c r="I154" s="192">
        <f t="shared" si="7"/>
        <v>18095</v>
      </c>
      <c r="J154" s="192">
        <f t="shared" si="8"/>
        <v>299</v>
      </c>
      <c r="K154" s="192">
        <f t="shared" si="9"/>
        <v>9439</v>
      </c>
      <c r="L154" s="192">
        <f t="shared" si="10"/>
        <v>0</v>
      </c>
      <c r="M154" s="192">
        <f t="shared" si="11"/>
        <v>0</v>
      </c>
      <c r="N154" s="192">
        <f t="shared" si="12"/>
        <v>8201</v>
      </c>
      <c r="O154" s="192">
        <f t="shared" si="13"/>
        <v>10442</v>
      </c>
      <c r="P154" s="192">
        <f t="shared" si="14"/>
        <v>4999</v>
      </c>
      <c r="Q154" s="192">
        <f t="shared" si="15"/>
        <v>13358</v>
      </c>
      <c r="R154" s="192">
        <f t="shared" si="16"/>
        <v>10277</v>
      </c>
      <c r="S154" s="192">
        <f t="shared" si="17"/>
        <v>6763</v>
      </c>
      <c r="T154" s="192">
        <f t="shared" si="18"/>
        <v>8060</v>
      </c>
      <c r="U154" s="192">
        <f t="shared" si="19"/>
        <v>5016</v>
      </c>
      <c r="V154" s="192">
        <f t="shared" si="20"/>
        <v>7014</v>
      </c>
      <c r="W154" s="192">
        <f t="shared" si="21"/>
        <v>7813</v>
      </c>
      <c r="X154" s="192">
        <f t="shared" si="22"/>
        <v>7538</v>
      </c>
      <c r="Y154" s="192">
        <f t="shared" si="23"/>
        <v>4165</v>
      </c>
      <c r="Z154" s="192">
        <f t="shared" si="24"/>
        <v>3099</v>
      </c>
      <c r="AA154" s="192">
        <f t="shared" si="25"/>
        <v>1759</v>
      </c>
      <c r="AB154" s="192">
        <f t="shared" si="26"/>
        <v>3657</v>
      </c>
      <c r="AC154" s="192">
        <f t="shared" si="27"/>
        <v>5640</v>
      </c>
      <c r="AD154" s="192">
        <f t="shared" si="28"/>
        <v>4777</v>
      </c>
      <c r="AE154" s="192">
        <f t="shared" si="28"/>
        <v>5681</v>
      </c>
      <c r="AF154" s="192">
        <f t="shared" si="29"/>
        <v>6411</v>
      </c>
    </row>
    <row r="155" spans="1:32" x14ac:dyDescent="0.25">
      <c r="A155" s="81">
        <v>40806</v>
      </c>
      <c r="B155" s="192">
        <f t="shared" si="33"/>
        <v>10067</v>
      </c>
      <c r="C155" s="192">
        <f t="shared" si="30"/>
        <v>9764</v>
      </c>
      <c r="D155" s="192">
        <f t="shared" si="31"/>
        <v>7073</v>
      </c>
      <c r="E155" s="192">
        <f t="shared" si="32"/>
        <v>5857</v>
      </c>
      <c r="F155" s="192">
        <f t="shared" si="4"/>
        <v>9353</v>
      </c>
      <c r="G155" s="192">
        <f t="shared" si="5"/>
        <v>969</v>
      </c>
      <c r="H155" s="192">
        <f t="shared" si="6"/>
        <v>12854</v>
      </c>
      <c r="I155" s="192">
        <f t="shared" si="7"/>
        <v>18095</v>
      </c>
      <c r="J155" s="192">
        <f t="shared" si="8"/>
        <v>299</v>
      </c>
      <c r="K155" s="192">
        <f t="shared" si="9"/>
        <v>9439</v>
      </c>
      <c r="L155" s="192">
        <f t="shared" si="10"/>
        <v>0</v>
      </c>
      <c r="M155" s="192">
        <f t="shared" si="11"/>
        <v>0</v>
      </c>
      <c r="N155" s="192">
        <f t="shared" si="12"/>
        <v>8201</v>
      </c>
      <c r="O155" s="192">
        <f t="shared" si="13"/>
        <v>10442</v>
      </c>
      <c r="P155" s="192">
        <f t="shared" si="14"/>
        <v>4999</v>
      </c>
      <c r="Q155" s="192">
        <f t="shared" si="15"/>
        <v>13358</v>
      </c>
      <c r="R155" s="192">
        <f t="shared" si="16"/>
        <v>10277</v>
      </c>
      <c r="S155" s="192">
        <f t="shared" si="17"/>
        <v>6763</v>
      </c>
      <c r="T155" s="192">
        <f t="shared" si="18"/>
        <v>8060</v>
      </c>
      <c r="U155" s="192">
        <f t="shared" si="19"/>
        <v>5071</v>
      </c>
      <c r="V155" s="192">
        <f t="shared" si="20"/>
        <v>7014</v>
      </c>
      <c r="W155" s="192">
        <f t="shared" si="21"/>
        <v>7813</v>
      </c>
      <c r="X155" s="192">
        <f t="shared" si="22"/>
        <v>7549</v>
      </c>
      <c r="Y155" s="192">
        <f t="shared" si="23"/>
        <v>4165</v>
      </c>
      <c r="Z155" s="192">
        <f t="shared" si="24"/>
        <v>3099</v>
      </c>
      <c r="AA155" s="192">
        <f t="shared" si="25"/>
        <v>1763</v>
      </c>
      <c r="AB155" s="192">
        <f t="shared" si="26"/>
        <v>3689</v>
      </c>
      <c r="AC155" s="192">
        <f t="shared" si="27"/>
        <v>5640</v>
      </c>
      <c r="AD155" s="192">
        <f t="shared" si="28"/>
        <v>4777</v>
      </c>
      <c r="AE155" s="192">
        <f t="shared" si="28"/>
        <v>5681</v>
      </c>
      <c r="AF155" s="192">
        <f t="shared" si="29"/>
        <v>6426</v>
      </c>
    </row>
    <row r="156" spans="1:32" x14ac:dyDescent="0.25">
      <c r="A156" s="81">
        <v>40807</v>
      </c>
      <c r="B156" s="192">
        <f t="shared" si="33"/>
        <v>10302</v>
      </c>
      <c r="C156" s="192">
        <f t="shared" si="30"/>
        <v>9764</v>
      </c>
      <c r="D156" s="192">
        <f t="shared" si="31"/>
        <v>7073</v>
      </c>
      <c r="E156" s="192">
        <f t="shared" si="32"/>
        <v>5857</v>
      </c>
      <c r="F156" s="192">
        <f t="shared" si="4"/>
        <v>9353</v>
      </c>
      <c r="G156" s="192">
        <f t="shared" si="5"/>
        <v>969</v>
      </c>
      <c r="H156" s="192">
        <f t="shared" si="6"/>
        <v>12854</v>
      </c>
      <c r="I156" s="192">
        <f t="shared" si="7"/>
        <v>18095</v>
      </c>
      <c r="J156" s="192">
        <f t="shared" si="8"/>
        <v>299</v>
      </c>
      <c r="K156" s="192">
        <f t="shared" si="9"/>
        <v>9439</v>
      </c>
      <c r="L156" s="192">
        <f t="shared" si="10"/>
        <v>0</v>
      </c>
      <c r="M156" s="192">
        <f t="shared" si="11"/>
        <v>0</v>
      </c>
      <c r="N156" s="192">
        <f t="shared" si="12"/>
        <v>8201</v>
      </c>
      <c r="O156" s="192">
        <f t="shared" si="13"/>
        <v>10442</v>
      </c>
      <c r="P156" s="192">
        <f t="shared" si="14"/>
        <v>4999</v>
      </c>
      <c r="Q156" s="192">
        <f t="shared" si="15"/>
        <v>13358</v>
      </c>
      <c r="R156" s="192">
        <f t="shared" si="16"/>
        <v>10277</v>
      </c>
      <c r="S156" s="192">
        <f t="shared" si="17"/>
        <v>6763</v>
      </c>
      <c r="T156" s="192">
        <f t="shared" si="18"/>
        <v>8060</v>
      </c>
      <c r="U156" s="192">
        <f t="shared" si="19"/>
        <v>5071</v>
      </c>
      <c r="V156" s="192">
        <f t="shared" si="20"/>
        <v>7014</v>
      </c>
      <c r="W156" s="192">
        <f t="shared" si="21"/>
        <v>7813</v>
      </c>
      <c r="X156" s="192">
        <f t="shared" si="22"/>
        <v>7549</v>
      </c>
      <c r="Y156" s="192">
        <f t="shared" si="23"/>
        <v>4165</v>
      </c>
      <c r="Z156" s="192">
        <f t="shared" si="24"/>
        <v>3099</v>
      </c>
      <c r="AA156" s="192">
        <f t="shared" si="25"/>
        <v>1763</v>
      </c>
      <c r="AB156" s="192">
        <f t="shared" si="26"/>
        <v>3689</v>
      </c>
      <c r="AC156" s="192">
        <f t="shared" si="27"/>
        <v>5640</v>
      </c>
      <c r="AD156" s="192">
        <f t="shared" si="28"/>
        <v>4777</v>
      </c>
      <c r="AE156" s="192">
        <f t="shared" si="28"/>
        <v>5681</v>
      </c>
      <c r="AF156" s="192">
        <f t="shared" si="29"/>
        <v>6426</v>
      </c>
    </row>
    <row r="157" spans="1:32" x14ac:dyDescent="0.25">
      <c r="A157" s="81" t="s">
        <v>60</v>
      </c>
      <c r="B157" s="192">
        <f t="shared" si="33"/>
        <v>10484</v>
      </c>
      <c r="C157" s="192">
        <f t="shared" si="30"/>
        <v>9764</v>
      </c>
      <c r="D157" s="192">
        <f t="shared" si="31"/>
        <v>7073</v>
      </c>
      <c r="E157" s="192">
        <f t="shared" si="32"/>
        <v>5857</v>
      </c>
      <c r="F157" s="192">
        <f t="shared" si="4"/>
        <v>9353</v>
      </c>
      <c r="G157" s="192">
        <f t="shared" si="5"/>
        <v>969</v>
      </c>
      <c r="H157" s="192">
        <f t="shared" si="6"/>
        <v>12854</v>
      </c>
      <c r="I157" s="192">
        <f t="shared" si="7"/>
        <v>18095</v>
      </c>
      <c r="J157" s="192">
        <f t="shared" si="8"/>
        <v>299</v>
      </c>
      <c r="K157" s="192">
        <f t="shared" si="9"/>
        <v>9439</v>
      </c>
      <c r="L157" s="192">
        <f t="shared" si="10"/>
        <v>0</v>
      </c>
      <c r="M157" s="192">
        <f t="shared" si="11"/>
        <v>0</v>
      </c>
      <c r="N157" s="192">
        <f>N81+N156</f>
        <v>8201</v>
      </c>
      <c r="O157" s="192">
        <f t="shared" si="13"/>
        <v>10442</v>
      </c>
      <c r="P157" s="192">
        <f t="shared" si="14"/>
        <v>4999</v>
      </c>
      <c r="Q157" s="192">
        <f t="shared" si="15"/>
        <v>13358</v>
      </c>
      <c r="R157" s="192">
        <f t="shared" si="16"/>
        <v>10277</v>
      </c>
      <c r="S157" s="192">
        <f t="shared" si="17"/>
        <v>6763</v>
      </c>
      <c r="T157" s="192">
        <f t="shared" si="18"/>
        <v>8060</v>
      </c>
      <c r="U157" s="192">
        <f t="shared" si="19"/>
        <v>5071</v>
      </c>
      <c r="V157" s="192">
        <f t="shared" si="20"/>
        <v>7014</v>
      </c>
      <c r="W157" s="192">
        <f t="shared" si="21"/>
        <v>7813</v>
      </c>
      <c r="X157" s="192">
        <f t="shared" si="22"/>
        <v>7549</v>
      </c>
      <c r="Y157" s="192">
        <f t="shared" si="23"/>
        <v>4165</v>
      </c>
      <c r="Z157" s="192">
        <f t="shared" si="24"/>
        <v>3099</v>
      </c>
      <c r="AA157" s="192">
        <f t="shared" si="25"/>
        <v>1763</v>
      </c>
      <c r="AB157" s="192">
        <f t="shared" si="26"/>
        <v>3689</v>
      </c>
      <c r="AC157" s="192">
        <f t="shared" si="27"/>
        <v>5640</v>
      </c>
      <c r="AD157" s="192">
        <f t="shared" si="28"/>
        <v>4777</v>
      </c>
      <c r="AE157" s="192">
        <f t="shared" si="28"/>
        <v>5681</v>
      </c>
      <c r="AF157" s="192">
        <f t="shared" si="29"/>
        <v>6426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G75"/>
  <sheetViews>
    <sheetView showGridLines="0" topLeftCell="A10" zoomScaleNormal="100" workbookViewId="0">
      <selection activeCell="AD21" sqref="AD21"/>
    </sheetView>
  </sheetViews>
  <sheetFormatPr defaultRowHeight="15" x14ac:dyDescent="0.25"/>
  <cols>
    <col min="1" max="1" width="9.28515625" style="300" bestFit="1" customWidth="1"/>
    <col min="2" max="2" width="6.7109375" style="300" customWidth="1"/>
    <col min="3" max="5" width="5" style="300" bestFit="1" customWidth="1"/>
    <col min="6" max="8" width="5.42578125" style="300" bestFit="1" customWidth="1"/>
    <col min="9" max="9" width="5" style="300" bestFit="1" customWidth="1"/>
    <col min="10" max="11" width="5.42578125" style="300" bestFit="1" customWidth="1"/>
    <col min="12" max="13" width="4.85546875" style="300" customWidth="1"/>
    <col min="14" max="14" width="5.42578125" style="300" bestFit="1" customWidth="1"/>
    <col min="15" max="15" width="7.140625" style="300" customWidth="1"/>
    <col min="16" max="16" width="5.85546875" style="300" customWidth="1"/>
    <col min="17" max="17" width="5.7109375" style="300" bestFit="1" customWidth="1"/>
    <col min="18" max="18" width="6" style="300" bestFit="1" customWidth="1"/>
    <col min="19" max="29" width="5" style="300" customWidth="1"/>
    <col min="30" max="30" width="9.7109375" style="300" customWidth="1"/>
    <col min="31" max="40" width="5" style="300" customWidth="1"/>
    <col min="41" max="43" width="7" style="300" bestFit="1" customWidth="1"/>
    <col min="44" max="45" width="6.7109375" style="300" customWidth="1"/>
    <col min="46" max="46" width="9.85546875" style="300" customWidth="1"/>
    <col min="47" max="49" width="9.140625" style="300"/>
    <col min="50" max="50" width="10.5703125" style="300" bestFit="1" customWidth="1"/>
    <col min="51" max="51" width="10.140625" style="300" customWidth="1"/>
    <col min="52" max="52" width="11" style="301" customWidth="1"/>
    <col min="53" max="53" width="13.140625" style="301" customWidth="1"/>
    <col min="54" max="54" width="10.140625" style="300" bestFit="1" customWidth="1"/>
    <col min="55" max="55" width="14.85546875" style="300" bestFit="1" customWidth="1"/>
    <col min="56" max="56" width="11.7109375" style="300" customWidth="1"/>
    <col min="57" max="58" width="9.140625" style="480"/>
    <col min="59" max="59" width="11" bestFit="1" customWidth="1"/>
  </cols>
  <sheetData>
    <row r="1" spans="1:59" ht="22.5" x14ac:dyDescent="0.3">
      <c r="A1" s="429" t="s">
        <v>163</v>
      </c>
      <c r="B1" s="298"/>
      <c r="C1" s="298"/>
      <c r="D1" s="298"/>
      <c r="E1" s="298"/>
      <c r="F1" s="298"/>
      <c r="G1" s="298"/>
      <c r="H1" s="298"/>
      <c r="I1" s="298"/>
      <c r="J1" s="298"/>
      <c r="K1" s="298"/>
      <c r="L1" s="298"/>
      <c r="M1" s="298"/>
      <c r="N1" s="298"/>
      <c r="O1" s="299"/>
      <c r="P1" s="299"/>
      <c r="Q1" s="299"/>
      <c r="R1" s="299"/>
      <c r="S1" s="299"/>
      <c r="T1" s="299"/>
      <c r="U1" s="299"/>
      <c r="V1" s="299"/>
      <c r="W1" s="299"/>
      <c r="X1" s="299"/>
      <c r="Y1" s="299"/>
      <c r="Z1" s="299"/>
      <c r="AA1" s="299"/>
      <c r="AB1" s="299"/>
      <c r="AC1" s="299"/>
      <c r="AD1" s="299"/>
      <c r="AE1" s="299"/>
      <c r="AF1" s="299"/>
      <c r="AG1" s="299"/>
      <c r="AH1" s="299"/>
      <c r="AI1" s="299"/>
      <c r="AJ1" s="299"/>
      <c r="AK1" s="299"/>
      <c r="AL1" s="299"/>
      <c r="AM1" s="299"/>
      <c r="AN1" s="299"/>
      <c r="AO1" s="299"/>
      <c r="AP1" s="299"/>
      <c r="AQ1" s="299"/>
      <c r="AR1" s="299"/>
      <c r="AS1" s="299"/>
    </row>
    <row r="2" spans="1:59" ht="15.75" x14ac:dyDescent="0.25">
      <c r="A2" s="298" t="s">
        <v>112</v>
      </c>
      <c r="B2" s="298"/>
      <c r="C2" s="298"/>
      <c r="D2" s="298"/>
      <c r="E2" s="298"/>
      <c r="F2" s="298"/>
      <c r="G2" s="298"/>
      <c r="H2" s="298"/>
      <c r="I2" s="298"/>
      <c r="J2" s="298"/>
      <c r="K2" s="298"/>
      <c r="L2" s="298"/>
      <c r="M2" s="298"/>
      <c r="N2" s="298"/>
      <c r="O2" s="299"/>
      <c r="P2" s="299"/>
      <c r="Q2" s="299"/>
      <c r="R2" s="299"/>
      <c r="S2" s="299"/>
      <c r="T2" s="299"/>
      <c r="U2" s="299"/>
      <c r="V2" s="299"/>
      <c r="W2" s="299"/>
      <c r="X2" s="299"/>
      <c r="Y2" s="299"/>
      <c r="Z2" s="299"/>
      <c r="AA2" s="299"/>
      <c r="AB2" s="299"/>
      <c r="AC2" s="299"/>
      <c r="AD2" s="299"/>
      <c r="AE2" s="299"/>
      <c r="AF2" s="299"/>
      <c r="AG2" s="299"/>
      <c r="AH2" s="299"/>
      <c r="AI2" s="299"/>
      <c r="AJ2" s="299"/>
      <c r="AK2" s="299"/>
      <c r="AL2" s="299"/>
      <c r="AM2" s="299"/>
      <c r="AN2" s="299"/>
      <c r="AO2" s="299"/>
      <c r="AP2" s="299"/>
      <c r="AQ2" s="299"/>
      <c r="AR2" s="299"/>
      <c r="AS2" s="299"/>
    </row>
    <row r="3" spans="1:59" ht="15.75" x14ac:dyDescent="0.25">
      <c r="A3" s="298" t="s">
        <v>157</v>
      </c>
      <c r="B3" s="298"/>
      <c r="C3" s="298"/>
      <c r="D3" s="298"/>
      <c r="E3" s="298"/>
      <c r="F3" s="298"/>
      <c r="G3" s="298"/>
      <c r="H3" s="298"/>
      <c r="I3" s="298"/>
      <c r="J3" s="298"/>
      <c r="K3" s="298"/>
      <c r="L3" s="298"/>
      <c r="M3" s="298"/>
      <c r="N3" s="298"/>
      <c r="O3" s="299"/>
      <c r="P3" s="299"/>
      <c r="Q3" s="299"/>
      <c r="R3" s="299"/>
      <c r="S3" s="299"/>
      <c r="T3" s="299"/>
      <c r="U3" s="299"/>
      <c r="V3" s="299"/>
      <c r="W3" s="299"/>
      <c r="X3" s="299"/>
      <c r="Y3" s="299"/>
      <c r="Z3" s="299"/>
      <c r="AA3" s="299"/>
      <c r="AB3" s="299"/>
      <c r="AC3" s="299"/>
      <c r="AD3" s="299"/>
      <c r="AE3" s="299"/>
      <c r="AF3" s="299"/>
      <c r="AG3" s="299"/>
      <c r="AH3" s="299"/>
      <c r="AI3" s="299"/>
      <c r="AJ3" s="299"/>
      <c r="AK3" s="299"/>
      <c r="AL3" s="299"/>
      <c r="AM3" s="299"/>
      <c r="AN3" s="299"/>
      <c r="AO3" s="299"/>
      <c r="AP3" s="299"/>
      <c r="AQ3" s="299"/>
      <c r="AR3" s="299"/>
      <c r="AS3" s="299"/>
    </row>
    <row r="4" spans="1:59" ht="15.75" x14ac:dyDescent="0.25">
      <c r="A4" s="298" t="s">
        <v>113</v>
      </c>
      <c r="B4" s="298"/>
      <c r="C4" s="298"/>
      <c r="D4" s="298"/>
      <c r="E4" s="298"/>
      <c r="F4" s="298"/>
      <c r="G4" s="298"/>
      <c r="H4" s="298"/>
      <c r="I4" s="298"/>
      <c r="J4" s="298"/>
      <c r="K4" s="298"/>
      <c r="L4" s="298"/>
      <c r="M4" s="298"/>
      <c r="N4" s="298"/>
      <c r="O4" s="299"/>
      <c r="P4" s="299"/>
      <c r="Q4" s="299"/>
      <c r="R4" s="299"/>
      <c r="S4" s="299"/>
      <c r="T4" s="299"/>
      <c r="U4" s="299"/>
      <c r="V4" s="299"/>
      <c r="W4" s="299"/>
      <c r="X4" s="299"/>
      <c r="Y4" s="299"/>
      <c r="Z4" s="299"/>
      <c r="AA4" s="299"/>
      <c r="AB4" s="299"/>
      <c r="AC4" s="299"/>
      <c r="AD4" s="299"/>
      <c r="AE4" s="299"/>
      <c r="AF4" s="299"/>
      <c r="AG4" s="299"/>
      <c r="AH4" s="299"/>
      <c r="AI4" s="299"/>
      <c r="AJ4" s="299"/>
      <c r="AK4" s="299"/>
      <c r="AL4" s="299"/>
      <c r="AM4" s="299"/>
      <c r="AN4" s="299"/>
      <c r="AO4" s="299"/>
      <c r="AP4" s="299"/>
      <c r="AQ4" s="299"/>
      <c r="AR4" s="299"/>
      <c r="AS4" s="299"/>
    </row>
    <row r="5" spans="1:59" ht="15.75" x14ac:dyDescent="0.25">
      <c r="A5" s="298"/>
      <c r="B5" s="298"/>
      <c r="C5" s="298"/>
      <c r="D5" s="298"/>
      <c r="E5" s="298"/>
      <c r="F5" s="298"/>
      <c r="G5" s="298"/>
      <c r="H5" s="298"/>
      <c r="I5" s="298"/>
      <c r="J5" s="298"/>
      <c r="K5" s="298"/>
      <c r="L5" s="298"/>
      <c r="M5" s="298"/>
      <c r="N5" s="298"/>
      <c r="O5" s="299"/>
      <c r="P5" s="299"/>
      <c r="Q5" s="299"/>
      <c r="R5" s="299"/>
      <c r="S5" s="299"/>
      <c r="T5" s="299"/>
      <c r="U5" s="299"/>
      <c r="V5" s="299"/>
      <c r="W5" s="299"/>
      <c r="X5" s="299"/>
      <c r="Y5" s="299"/>
      <c r="Z5" s="299"/>
      <c r="AA5" s="299"/>
      <c r="AB5" s="299"/>
      <c r="AC5" s="299"/>
      <c r="AD5" s="299"/>
      <c r="AE5" s="299"/>
      <c r="AF5" s="299"/>
      <c r="AG5" s="299"/>
      <c r="AH5" s="299"/>
      <c r="AI5" s="299"/>
      <c r="AJ5" s="299"/>
      <c r="AK5" s="299"/>
      <c r="AL5" s="299"/>
      <c r="AM5" s="299"/>
      <c r="AN5" s="299"/>
      <c r="AO5" s="299"/>
      <c r="AP5" s="299"/>
      <c r="AQ5" s="299"/>
      <c r="AR5" s="299"/>
      <c r="AS5" s="299"/>
    </row>
    <row r="6" spans="1:59" ht="15.75" x14ac:dyDescent="0.25">
      <c r="A6" s="298" t="s">
        <v>160</v>
      </c>
      <c r="B6" s="298"/>
      <c r="C6" s="298"/>
      <c r="D6" s="298"/>
      <c r="E6" s="298"/>
      <c r="F6" s="298"/>
      <c r="G6" s="298"/>
      <c r="H6" s="298"/>
      <c r="I6" s="298"/>
      <c r="J6" s="298"/>
      <c r="K6" s="298"/>
      <c r="L6" s="298"/>
      <c r="M6" s="298"/>
      <c r="N6" s="298"/>
      <c r="O6" s="299"/>
      <c r="P6" s="299"/>
      <c r="Q6" s="299"/>
      <c r="R6" s="299"/>
      <c r="S6" s="299"/>
      <c r="T6" s="299"/>
      <c r="U6" s="299"/>
      <c r="V6" s="299"/>
      <c r="W6" s="299"/>
      <c r="X6" s="299"/>
      <c r="Y6" s="299"/>
      <c r="Z6" s="299"/>
      <c r="AA6" s="299"/>
      <c r="AB6" s="299"/>
      <c r="AC6" s="299"/>
      <c r="AD6" s="299"/>
      <c r="AE6" s="299"/>
      <c r="AF6" s="299"/>
      <c r="AG6" s="299"/>
      <c r="AH6" s="299"/>
      <c r="AI6" s="299"/>
      <c r="AJ6" s="299"/>
      <c r="AK6" s="299"/>
      <c r="AL6" s="299"/>
      <c r="AM6" s="299"/>
      <c r="AN6" s="299"/>
      <c r="AO6" s="299"/>
      <c r="AP6" s="299"/>
      <c r="AQ6" s="299"/>
      <c r="AR6" s="299"/>
      <c r="AS6" s="299"/>
    </row>
    <row r="7" spans="1:59" ht="15.75" x14ac:dyDescent="0.25">
      <c r="A7" s="404" t="s">
        <v>159</v>
      </c>
      <c r="B7" s="298"/>
      <c r="C7" s="298"/>
      <c r="D7" s="298"/>
      <c r="E7" s="298"/>
      <c r="F7" s="298"/>
      <c r="G7" s="298"/>
      <c r="H7" s="298"/>
      <c r="I7" s="298"/>
      <c r="J7" s="298"/>
      <c r="K7" s="298"/>
      <c r="L7" s="298"/>
      <c r="M7" s="298"/>
      <c r="N7" s="298"/>
      <c r="O7" s="299"/>
      <c r="P7" s="299"/>
      <c r="Q7" s="299"/>
      <c r="R7" s="299"/>
      <c r="S7" s="299"/>
      <c r="T7" s="299"/>
      <c r="U7" s="299"/>
      <c r="V7" s="299"/>
      <c r="W7" s="299"/>
      <c r="X7" s="299"/>
      <c r="Y7" s="299"/>
      <c r="Z7" s="299"/>
      <c r="AA7" s="299"/>
      <c r="AB7" s="299"/>
      <c r="AC7" s="299"/>
      <c r="AD7" s="299"/>
      <c r="AE7" s="299"/>
      <c r="AF7" s="299"/>
      <c r="AG7" s="299"/>
      <c r="AH7" s="299"/>
      <c r="AI7" s="299"/>
      <c r="AJ7" s="299"/>
      <c r="AK7" s="299"/>
      <c r="AL7" s="299"/>
      <c r="AM7" s="299"/>
      <c r="AN7" s="299"/>
      <c r="AO7" s="299"/>
      <c r="AP7" s="299"/>
      <c r="AQ7" s="299"/>
      <c r="AR7" s="299"/>
      <c r="AS7" s="299"/>
    </row>
    <row r="8" spans="1:59" ht="15.75" x14ac:dyDescent="0.25">
      <c r="A8" s="298" t="s">
        <v>158</v>
      </c>
      <c r="B8" s="298"/>
      <c r="C8" s="298"/>
      <c r="D8" s="298"/>
      <c r="E8" s="298"/>
      <c r="F8" s="298"/>
      <c r="G8" s="298"/>
      <c r="H8" s="298"/>
      <c r="I8" s="298"/>
      <c r="J8" s="298"/>
      <c r="K8" s="298"/>
      <c r="L8" s="298"/>
      <c r="M8" s="298"/>
      <c r="N8" s="298"/>
      <c r="O8" s="299"/>
      <c r="P8" s="299"/>
      <c r="Q8" s="299"/>
      <c r="R8" s="299"/>
      <c r="S8" s="299"/>
      <c r="T8" s="299"/>
      <c r="U8" s="299"/>
      <c r="V8" s="299"/>
      <c r="W8" s="299"/>
      <c r="X8" s="299"/>
      <c r="Y8" s="299"/>
      <c r="Z8" s="299"/>
      <c r="AA8" s="299"/>
      <c r="AB8" s="299"/>
      <c r="AC8" s="299"/>
      <c r="AD8" s="299"/>
      <c r="AE8" s="299"/>
      <c r="AF8" s="299"/>
      <c r="AG8" s="299"/>
      <c r="AH8" s="299"/>
      <c r="AI8" s="299"/>
      <c r="AJ8" s="299"/>
      <c r="AK8" s="299"/>
      <c r="AL8" s="299"/>
      <c r="AM8" s="299"/>
      <c r="AN8" s="299"/>
      <c r="AO8" s="299"/>
      <c r="AP8" s="299"/>
      <c r="AQ8" s="299"/>
      <c r="AR8" s="299"/>
      <c r="AS8" s="299"/>
    </row>
    <row r="9" spans="1:59" ht="15.75" x14ac:dyDescent="0.25">
      <c r="A9" s="298"/>
      <c r="B9" s="298"/>
      <c r="C9" s="298"/>
      <c r="D9" s="298"/>
      <c r="E9" s="298"/>
      <c r="F9" s="298"/>
      <c r="G9" s="298"/>
      <c r="H9" s="298"/>
      <c r="I9" s="298"/>
      <c r="J9" s="298"/>
      <c r="K9" s="298"/>
      <c r="L9" s="298"/>
      <c r="M9" s="298"/>
      <c r="N9" s="298"/>
      <c r="O9" s="299"/>
      <c r="P9" s="299"/>
      <c r="Q9" s="299"/>
      <c r="R9" s="299"/>
      <c r="S9" s="299"/>
      <c r="T9" s="299"/>
      <c r="U9" s="299"/>
      <c r="V9" s="299"/>
      <c r="W9" s="299"/>
      <c r="X9" s="299"/>
      <c r="Y9" s="299"/>
      <c r="Z9" s="299"/>
      <c r="AA9" s="299"/>
      <c r="AB9" s="299"/>
      <c r="AC9" s="299"/>
      <c r="AD9" s="299"/>
      <c r="AE9" s="299"/>
      <c r="AF9" s="299"/>
      <c r="AG9" s="299"/>
      <c r="AH9" s="299"/>
      <c r="AI9" s="299"/>
      <c r="AJ9" s="299"/>
      <c r="AK9" s="299"/>
      <c r="AL9" s="299"/>
      <c r="AM9" s="299"/>
      <c r="AN9" s="299"/>
      <c r="AO9" s="299"/>
      <c r="AP9" s="299"/>
      <c r="AQ9" s="299"/>
      <c r="AR9" s="299"/>
      <c r="AS9" s="299"/>
    </row>
    <row r="10" spans="1:59" x14ac:dyDescent="0.25">
      <c r="A10" s="302" t="s">
        <v>152</v>
      </c>
      <c r="B10" s="299"/>
      <c r="C10" s="299"/>
      <c r="D10" s="299"/>
      <c r="E10" s="299"/>
      <c r="F10" s="299"/>
      <c r="G10" s="299"/>
      <c r="H10" s="299"/>
      <c r="I10" s="299"/>
      <c r="J10" s="299"/>
      <c r="K10" s="299"/>
      <c r="L10" s="299"/>
      <c r="M10" s="299"/>
      <c r="N10" s="299"/>
      <c r="O10" s="299"/>
      <c r="P10" s="299"/>
      <c r="Q10" s="299"/>
      <c r="R10" s="299"/>
      <c r="S10" s="299"/>
      <c r="T10" s="299"/>
      <c r="U10" s="299"/>
      <c r="V10" s="299"/>
      <c r="W10" s="299"/>
      <c r="X10" s="299"/>
      <c r="Y10" s="299"/>
      <c r="Z10" s="299"/>
      <c r="AA10" s="299"/>
      <c r="AB10" s="299"/>
      <c r="AC10" s="299"/>
      <c r="AD10" s="299"/>
      <c r="AT10" s="301"/>
      <c r="AU10" s="301"/>
      <c r="AV10" s="301"/>
      <c r="AW10" s="301"/>
      <c r="AX10" s="301"/>
      <c r="AY10" s="301"/>
      <c r="BC10" s="303"/>
    </row>
    <row r="11" spans="1:59" x14ac:dyDescent="0.25">
      <c r="A11" s="479" t="s">
        <v>76</v>
      </c>
      <c r="B11" s="331"/>
      <c r="C11" s="304"/>
      <c r="D11" s="304"/>
      <c r="E11" s="304"/>
      <c r="F11" s="304"/>
      <c r="G11" s="304"/>
      <c r="H11" s="304"/>
      <c r="I11" s="304"/>
      <c r="J11" s="304"/>
      <c r="K11" s="304"/>
      <c r="L11" s="304"/>
      <c r="M11" s="304"/>
      <c r="N11" s="304"/>
      <c r="O11" s="306" t="s">
        <v>61</v>
      </c>
      <c r="P11" s="307"/>
      <c r="Q11" s="307"/>
      <c r="R11" s="307"/>
      <c r="S11" s="307"/>
      <c r="T11" s="307"/>
      <c r="U11" s="307"/>
      <c r="V11" s="307"/>
      <c r="W11" s="307"/>
      <c r="X11" s="307"/>
      <c r="Y11" s="307"/>
      <c r="Z11" s="307"/>
      <c r="AA11" s="307"/>
      <c r="AB11" s="308" t="s">
        <v>62</v>
      </c>
      <c r="AC11" s="309"/>
      <c r="AD11" s="309"/>
      <c r="AE11" s="309"/>
      <c r="AF11" s="309"/>
      <c r="AG11" s="309"/>
      <c r="AH11" s="309"/>
      <c r="AI11" s="309"/>
      <c r="AJ11" s="309"/>
      <c r="AK11" s="309"/>
      <c r="AL11" s="309"/>
      <c r="AM11" s="309"/>
      <c r="AN11" s="309"/>
      <c r="AO11" s="310"/>
      <c r="AP11" s="310"/>
      <c r="AQ11" s="310"/>
      <c r="AR11" s="310"/>
      <c r="AS11" s="310"/>
      <c r="AT11" s="658" t="s">
        <v>79</v>
      </c>
      <c r="AU11" s="658"/>
      <c r="AV11" s="658"/>
      <c r="AW11" s="658"/>
      <c r="AX11" s="658"/>
      <c r="AY11" s="658"/>
      <c r="AZ11" s="657" t="s">
        <v>89</v>
      </c>
      <c r="BA11" s="657"/>
      <c r="BB11" s="661" t="s">
        <v>166</v>
      </c>
      <c r="BC11" s="662"/>
      <c r="BE11" s="481"/>
      <c r="BF11" s="481"/>
      <c r="BG11" s="1"/>
    </row>
    <row r="12" spans="1:59" x14ac:dyDescent="0.25">
      <c r="A12" s="469" t="s">
        <v>58</v>
      </c>
      <c r="B12" s="311">
        <v>1983</v>
      </c>
      <c r="C12" s="311">
        <v>2002</v>
      </c>
      <c r="D12" s="311">
        <v>2003</v>
      </c>
      <c r="E12" s="311">
        <v>2004</v>
      </c>
      <c r="F12" s="311">
        <v>2005</v>
      </c>
      <c r="G12" s="311">
        <v>2006</v>
      </c>
      <c r="H12" s="311">
        <v>2007</v>
      </c>
      <c r="I12" s="311">
        <v>2008</v>
      </c>
      <c r="J12" s="311">
        <v>2009</v>
      </c>
      <c r="K12" s="311">
        <v>2010</v>
      </c>
      <c r="L12" s="311">
        <v>2011</v>
      </c>
      <c r="M12" s="311">
        <v>2012</v>
      </c>
      <c r="N12" s="311">
        <v>2013</v>
      </c>
      <c r="O12" s="312">
        <v>1983</v>
      </c>
      <c r="P12" s="312">
        <v>2002</v>
      </c>
      <c r="Q12" s="312">
        <v>2003</v>
      </c>
      <c r="R12" s="312">
        <v>2004</v>
      </c>
      <c r="S12" s="312">
        <v>2005</v>
      </c>
      <c r="T12" s="312">
        <v>2006</v>
      </c>
      <c r="U12" s="312">
        <v>2007</v>
      </c>
      <c r="V12" s="312">
        <v>2008</v>
      </c>
      <c r="W12" s="312">
        <v>2009</v>
      </c>
      <c r="X12" s="312">
        <v>2010</v>
      </c>
      <c r="Y12" s="312">
        <v>2011</v>
      </c>
      <c r="Z12" s="312">
        <v>2012</v>
      </c>
      <c r="AA12" s="312">
        <v>2013</v>
      </c>
      <c r="AB12" s="313">
        <v>1983</v>
      </c>
      <c r="AC12" s="313">
        <v>2002</v>
      </c>
      <c r="AD12" s="313">
        <v>2003</v>
      </c>
      <c r="AE12" s="313">
        <v>2004</v>
      </c>
      <c r="AF12" s="313">
        <v>2005</v>
      </c>
      <c r="AG12" s="313">
        <v>2006</v>
      </c>
      <c r="AH12" s="313">
        <v>2007</v>
      </c>
      <c r="AI12" s="313">
        <v>2008</v>
      </c>
      <c r="AJ12" s="313">
        <v>2009</v>
      </c>
      <c r="AK12" s="313">
        <v>2010</v>
      </c>
      <c r="AL12" s="313">
        <v>2011</v>
      </c>
      <c r="AM12" s="313">
        <v>2012</v>
      </c>
      <c r="AN12" s="313">
        <v>2013</v>
      </c>
      <c r="AO12" s="314" t="s">
        <v>63</v>
      </c>
      <c r="AP12" s="315" t="s">
        <v>149</v>
      </c>
      <c r="AQ12" s="315" t="s">
        <v>65</v>
      </c>
      <c r="AR12" s="315" t="s">
        <v>150</v>
      </c>
      <c r="AS12" s="315" t="s">
        <v>151</v>
      </c>
      <c r="AT12" s="316" t="s">
        <v>80</v>
      </c>
      <c r="AU12" s="316" t="s">
        <v>81</v>
      </c>
      <c r="AV12" s="316"/>
      <c r="AW12" s="316" t="s">
        <v>49</v>
      </c>
      <c r="AX12" s="316"/>
      <c r="AY12" s="456" t="s">
        <v>156</v>
      </c>
      <c r="AZ12" s="413" t="s">
        <v>77</v>
      </c>
      <c r="BA12" s="446" t="s">
        <v>78</v>
      </c>
      <c r="BB12" s="445" t="s">
        <v>164</v>
      </c>
      <c r="BC12" s="477" t="s">
        <v>165</v>
      </c>
      <c r="BE12" s="481"/>
      <c r="BF12" s="481"/>
      <c r="BG12" s="1"/>
    </row>
    <row r="13" spans="1:59" x14ac:dyDescent="0.25">
      <c r="A13" s="471" t="s">
        <v>115</v>
      </c>
      <c r="B13" s="317">
        <f>SUM('Daily Weir Counts'!B29:B81)</f>
        <v>10350</v>
      </c>
      <c r="C13" s="317">
        <f>SUM('Daily Weir Counts'!U29:U81)</f>
        <v>4963</v>
      </c>
      <c r="D13" s="317">
        <f>SUM('Daily Weir Counts'!V29:V81)</f>
        <v>5544</v>
      </c>
      <c r="E13" s="317">
        <f>SUM('Daily Weir Counts'!W29:W81)</f>
        <v>6850</v>
      </c>
      <c r="F13" s="317">
        <f>SUM('Daily Weir Counts'!X29:X81)</f>
        <v>7199</v>
      </c>
      <c r="G13" s="317">
        <f>SUM('Daily Weir Counts'!Y29:Y81)</f>
        <v>4099</v>
      </c>
      <c r="H13" s="317">
        <f>SUM('Daily Weir Counts'!Z29:Z81)</f>
        <v>2789</v>
      </c>
      <c r="I13" s="317">
        <f>SUM('Daily Weir Counts'!AA29:AA81)</f>
        <v>1636</v>
      </c>
      <c r="J13" s="317">
        <f>SUM('Daily Weir Counts'!AB29:AB81)</f>
        <v>3110</v>
      </c>
      <c r="K13" s="317">
        <f>SUM('Daily Weir Counts'!AC29:AC81)</f>
        <v>4457</v>
      </c>
      <c r="L13" s="317">
        <f>SUM('Daily Weir Counts'!AD29:AD81)</f>
        <v>4537</v>
      </c>
      <c r="M13" s="317">
        <f>SUM('Daily Weir Counts'!AE29:AE81)</f>
        <v>5482</v>
      </c>
      <c r="N13" s="317">
        <f>SUM('Daily Weir Counts'!AF29:AF81)</f>
        <v>5672</v>
      </c>
      <c r="O13" s="318">
        <f>SUM('Daily Weir Counts'!B8:B28)/B14</f>
        <v>1.2781381152231973E-2</v>
      </c>
      <c r="P13" s="318">
        <f>SUM('Daily Weir Counts'!U8:U28)/C14</f>
        <v>2.129757444291067E-2</v>
      </c>
      <c r="Q13" s="318">
        <f>SUM('Daily Weir Counts'!V8:V28)/D14</f>
        <v>0.20958083832335328</v>
      </c>
      <c r="R13" s="318">
        <f>SUM('Daily Weir Counts'!W8:W28)/E14</f>
        <v>0.12325611160885704</v>
      </c>
      <c r="S13" s="318">
        <f>SUM('Daily Weir Counts'!X8:X28)/F14</f>
        <v>4.6363756788978673E-2</v>
      </c>
      <c r="T13" s="318">
        <f>SUM('Daily Weir Counts'!Y8:Y28)/G14</f>
        <v>1.5846338535414166E-2</v>
      </c>
      <c r="U13" s="318">
        <f>SUM('Daily Weir Counts'!Z8:Z28)/H14</f>
        <v>0.1000322684737012</v>
      </c>
      <c r="V13" s="318">
        <f>SUM('Daily Weir Counts'!AA8:AA28)/I14</f>
        <v>7.2036301758366422E-2</v>
      </c>
      <c r="W13" s="318">
        <f>SUM('Daily Weir Counts'!AB8:AB28)/J14</f>
        <v>0.15695310382217403</v>
      </c>
      <c r="X13" s="318">
        <f>SUM('Daily Weir Counts'!AC8:AC28)/K14</f>
        <v>0.2097517730496454</v>
      </c>
      <c r="Y13" s="318">
        <f>SUM('Daily Weir Counts'!AD8:AD28)/L14</f>
        <v>5.0240736864140677E-2</v>
      </c>
      <c r="Z13" s="318">
        <f>SUM('Daily Weir Counts'!AE8:AE28)/M14</f>
        <v>3.5029044182362259E-2</v>
      </c>
      <c r="AA13" s="318">
        <f>SUM('Daily Weir Counts'!AF8:AF28)/N14</f>
        <v>0.11733582321817616</v>
      </c>
      <c r="AB13" s="319">
        <f>1/(1-O13)</f>
        <v>1.0129468599033815</v>
      </c>
      <c r="AC13" s="319">
        <f t="shared" ref="AC13:AN13" si="0">1/(1-P13)</f>
        <v>1.0217610316340924</v>
      </c>
      <c r="AD13" s="319">
        <f t="shared" si="0"/>
        <v>1.2651515151515151</v>
      </c>
      <c r="AE13" s="319">
        <f t="shared" si="0"/>
        <v>1.1405839416058394</v>
      </c>
      <c r="AF13" s="319">
        <f t="shared" si="0"/>
        <v>1.0486178635921655</v>
      </c>
      <c r="AG13" s="319">
        <f t="shared" si="0"/>
        <v>1.0161014881678458</v>
      </c>
      <c r="AH13" s="319">
        <f t="shared" si="0"/>
        <v>1.1111509501613481</v>
      </c>
      <c r="AI13" s="319">
        <f t="shared" si="0"/>
        <v>1.0776283618581908</v>
      </c>
      <c r="AJ13" s="319">
        <f t="shared" si="0"/>
        <v>1.1861736334405146</v>
      </c>
      <c r="AK13" s="319">
        <f t="shared" si="0"/>
        <v>1.2654251738837783</v>
      </c>
      <c r="AL13" s="319">
        <f t="shared" si="0"/>
        <v>1.0528983910072736</v>
      </c>
      <c r="AM13" s="319">
        <f t="shared" si="0"/>
        <v>1.0363006202116016</v>
      </c>
      <c r="AN13" s="319">
        <f t="shared" si="0"/>
        <v>1.1329337094499294</v>
      </c>
      <c r="AO13" s="320">
        <f>AVERAGE(AB13:AN13)</f>
        <v>1.1052056569282676</v>
      </c>
      <c r="AP13" s="320">
        <f>STDEV(AB13:AN13)</f>
        <v>8.8847004522874015E-2</v>
      </c>
      <c r="AQ13" s="321">
        <f>AP13/AO13</f>
        <v>8.0389567286335881E-2</v>
      </c>
      <c r="AR13" s="322">
        <f>MIN(AB13:AN13)</f>
        <v>1.0129468599033815</v>
      </c>
      <c r="AS13" s="322">
        <f>MAX(AB13:AN13)</f>
        <v>1.2654251738837783</v>
      </c>
      <c r="AT13" s="552">
        <f>SLOPE($B$14:$N$14,B13:N13)</f>
        <v>1.0136990779799193</v>
      </c>
      <c r="AU13" s="324">
        <f>INTERCEPT($B$14:$N$14,B13:N13)</f>
        <v>428.41814520578009</v>
      </c>
      <c r="AV13" s="323">
        <f>AVERAGE(B13:N13)</f>
        <v>5129.8461538461543</v>
      </c>
      <c r="AW13" s="324">
        <f>COUNT(B13:N13)</f>
        <v>13</v>
      </c>
      <c r="AX13" s="324">
        <f>SUMSQ(B13:N13)-(SUM(B13:N13)^2/AW13)</f>
        <v>58740769.692307711</v>
      </c>
      <c r="AY13" s="428">
        <f>AR74</f>
        <v>228488.65437326545</v>
      </c>
      <c r="AZ13" s="447">
        <f>AS56</f>
        <v>482.5483338329384</v>
      </c>
      <c r="BA13" s="448">
        <f>AS74</f>
        <v>478.00486856648797</v>
      </c>
      <c r="BB13" s="452">
        <f>'Daily Weir Counts'!N4*AT13+AU13</f>
        <v>8201.4626751558026</v>
      </c>
      <c r="BC13" s="462">
        <f>'Daily Weir Counts'!N4*AO13</f>
        <v>8474.7169773259557</v>
      </c>
      <c r="BE13" s="300">
        <f>BA13/AVERAGE(B14:N14)</f>
        <v>8.4925220256171746E-2</v>
      </c>
      <c r="BF13" s="481"/>
      <c r="BG13" s="1"/>
    </row>
    <row r="14" spans="1:59" x14ac:dyDescent="0.25">
      <c r="A14" s="344" t="s">
        <v>9</v>
      </c>
      <c r="B14" s="326">
        <f>'Daily Weir Counts'!B6</f>
        <v>10484</v>
      </c>
      <c r="C14" s="326">
        <f>'Daily Weir Counts'!U6</f>
        <v>5071</v>
      </c>
      <c r="D14" s="326">
        <f>'Daily Weir Counts'!V6</f>
        <v>7014</v>
      </c>
      <c r="E14" s="326">
        <f>'Daily Weir Counts'!W6</f>
        <v>7813</v>
      </c>
      <c r="F14" s="326">
        <f>'Daily Weir Counts'!X6</f>
        <v>7549</v>
      </c>
      <c r="G14" s="326">
        <f>'Daily Weir Counts'!Y6</f>
        <v>4165</v>
      </c>
      <c r="H14" s="326">
        <f>'Daily Weir Counts'!Z6</f>
        <v>3099</v>
      </c>
      <c r="I14" s="326">
        <f>'Daily Weir Counts'!AA6</f>
        <v>1763</v>
      </c>
      <c r="J14" s="326">
        <f>'Daily Weir Counts'!AB6</f>
        <v>3689</v>
      </c>
      <c r="K14" s="326">
        <f>'Daily Weir Counts'!AC6</f>
        <v>5640</v>
      </c>
      <c r="L14" s="326">
        <f>'Daily Weir Counts'!AD6</f>
        <v>4777</v>
      </c>
      <c r="M14" s="326">
        <f>'Daily Weir Counts'!AE6</f>
        <v>5681</v>
      </c>
      <c r="N14" s="326">
        <f>'Daily Weir Counts'!AF6</f>
        <v>6426</v>
      </c>
      <c r="O14" s="347"/>
      <c r="P14" s="347"/>
      <c r="Q14" s="347"/>
      <c r="R14" s="347"/>
      <c r="S14" s="347"/>
      <c r="T14" s="347"/>
      <c r="U14" s="347"/>
      <c r="V14" s="347"/>
      <c r="W14" s="347"/>
      <c r="X14" s="347"/>
      <c r="Y14" s="347"/>
      <c r="Z14" s="347"/>
      <c r="AA14" s="347"/>
      <c r="AB14" s="347"/>
      <c r="AC14" s="347"/>
      <c r="AD14" s="347"/>
      <c r="AE14" s="347"/>
      <c r="AF14" s="347"/>
      <c r="AG14" s="347"/>
      <c r="AH14" s="347"/>
      <c r="AI14" s="347"/>
      <c r="AJ14" s="347"/>
      <c r="AK14" s="347"/>
      <c r="AL14" s="347"/>
      <c r="AM14" s="347"/>
      <c r="AN14" s="347"/>
      <c r="AO14" s="347"/>
      <c r="AP14" s="347"/>
      <c r="AQ14" s="348"/>
      <c r="AR14" s="349"/>
      <c r="AS14" s="349"/>
      <c r="AT14" s="350"/>
      <c r="AU14" s="350"/>
      <c r="AV14" s="350"/>
      <c r="AW14" s="351"/>
      <c r="AX14" s="351"/>
      <c r="AY14" s="352"/>
      <c r="AZ14" s="351"/>
      <c r="BA14" s="351"/>
      <c r="BB14" s="353"/>
      <c r="BC14" s="303"/>
      <c r="BE14" s="481"/>
      <c r="BF14" s="481"/>
      <c r="BG14" s="1"/>
    </row>
    <row r="15" spans="1:59" x14ac:dyDescent="0.25">
      <c r="A15" s="325" t="s">
        <v>162</v>
      </c>
      <c r="B15" s="326"/>
      <c r="C15" s="326"/>
      <c r="D15" s="326"/>
      <c r="E15" s="326"/>
      <c r="F15" s="326"/>
      <c r="G15" s="326"/>
      <c r="H15" s="326"/>
      <c r="I15" s="326"/>
      <c r="J15" s="326"/>
      <c r="K15" s="326"/>
      <c r="L15" s="326"/>
      <c r="M15" s="326"/>
      <c r="N15" s="326"/>
      <c r="O15" s="327"/>
      <c r="P15" s="327"/>
      <c r="Q15" s="327"/>
      <c r="R15" s="327"/>
      <c r="S15" s="327"/>
      <c r="T15" s="327"/>
      <c r="U15" s="327"/>
      <c r="V15" s="327"/>
      <c r="W15" s="327"/>
      <c r="X15" s="327"/>
      <c r="Y15" s="327"/>
      <c r="Z15" s="327"/>
      <c r="AA15" s="327"/>
      <c r="AB15" s="327"/>
      <c r="AC15" s="327"/>
      <c r="AD15" s="327"/>
      <c r="AE15" s="327"/>
      <c r="AF15" s="327"/>
      <c r="AG15" s="327"/>
      <c r="AH15" s="327"/>
      <c r="AI15" s="327"/>
      <c r="AJ15" s="327"/>
      <c r="AK15" s="327"/>
      <c r="AL15" s="327"/>
      <c r="AM15" s="327"/>
      <c r="AN15" s="327"/>
      <c r="AO15" s="327"/>
      <c r="AP15" s="327"/>
      <c r="AQ15" s="328"/>
      <c r="AR15" s="328"/>
      <c r="AS15" s="328"/>
      <c r="AZ15" s="300"/>
      <c r="BA15" s="300"/>
      <c r="BE15" s="481"/>
      <c r="BF15" s="481"/>
      <c r="BG15" s="1"/>
    </row>
    <row r="16" spans="1:59" ht="15.75" x14ac:dyDescent="0.25">
      <c r="A16" s="329" t="s">
        <v>153</v>
      </c>
      <c r="B16" s="298"/>
      <c r="C16" s="298"/>
      <c r="D16" s="298"/>
      <c r="E16" s="298"/>
      <c r="F16" s="298"/>
      <c r="G16" s="298"/>
      <c r="H16" s="298"/>
      <c r="I16" s="298"/>
      <c r="J16" s="298"/>
      <c r="K16" s="298"/>
      <c r="L16" s="298"/>
      <c r="M16" s="298"/>
      <c r="N16" s="298"/>
      <c r="O16" s="299"/>
      <c r="P16" s="299"/>
      <c r="Q16" s="299"/>
      <c r="R16" s="299"/>
      <c r="S16" s="299"/>
      <c r="T16" s="299"/>
      <c r="U16" s="299"/>
      <c r="V16" s="299"/>
      <c r="W16" s="299"/>
      <c r="X16" s="299"/>
      <c r="Y16" s="299"/>
      <c r="Z16" s="299"/>
      <c r="AA16" s="299"/>
      <c r="AB16" s="299"/>
      <c r="AC16" s="299"/>
      <c r="AD16" s="299"/>
      <c r="AE16" s="299"/>
      <c r="AF16" s="299"/>
      <c r="AG16" s="299"/>
      <c r="AH16" s="299"/>
      <c r="AI16" s="299"/>
      <c r="AJ16" s="299"/>
      <c r="AK16" s="299"/>
      <c r="AL16" s="299"/>
      <c r="AM16" s="299"/>
      <c r="AN16" s="299"/>
      <c r="AO16" s="299"/>
      <c r="AP16" s="299"/>
      <c r="AQ16" s="299"/>
      <c r="AR16" s="299"/>
      <c r="AS16" s="299"/>
      <c r="BE16"/>
      <c r="BF16"/>
    </row>
    <row r="17" spans="1:58" ht="15.75" x14ac:dyDescent="0.25">
      <c r="A17" s="329"/>
      <c r="B17" s="298"/>
      <c r="C17" s="298"/>
      <c r="D17" s="298"/>
      <c r="E17" s="298"/>
      <c r="F17" s="298"/>
      <c r="G17" s="298"/>
      <c r="H17" s="298"/>
      <c r="I17" s="298"/>
      <c r="J17" s="298"/>
      <c r="K17" s="298"/>
      <c r="L17" s="298"/>
      <c r="M17" s="298"/>
      <c r="N17" s="298"/>
      <c r="O17" s="299"/>
      <c r="P17" s="299"/>
      <c r="Q17" s="299"/>
      <c r="R17" s="299"/>
      <c r="S17" s="299"/>
      <c r="T17" s="299"/>
      <c r="U17" s="299"/>
      <c r="V17" s="299"/>
      <c r="W17" s="299"/>
      <c r="X17" s="299"/>
      <c r="Y17" s="299"/>
      <c r="Z17" s="299"/>
      <c r="AA17" s="299"/>
      <c r="AB17" s="299"/>
      <c r="AC17" s="299"/>
      <c r="AD17" s="299"/>
      <c r="AE17" s="299"/>
      <c r="AF17" s="299"/>
      <c r="AG17" s="299"/>
      <c r="AH17" s="299"/>
      <c r="AI17" s="299"/>
      <c r="AJ17" s="299"/>
      <c r="AK17" s="299"/>
      <c r="AL17" s="299"/>
      <c r="AM17" s="299"/>
      <c r="AN17" s="299"/>
      <c r="AO17" s="299"/>
      <c r="AP17" s="299"/>
      <c r="AQ17" s="299"/>
      <c r="AR17" s="299"/>
      <c r="AS17" s="299"/>
      <c r="BE17"/>
      <c r="BF17"/>
    </row>
    <row r="18" spans="1:58" x14ac:dyDescent="0.25">
      <c r="A18" s="302" t="s">
        <v>154</v>
      </c>
      <c r="B18" s="302"/>
      <c r="C18" s="302"/>
      <c r="D18" s="302"/>
      <c r="E18" s="302"/>
      <c r="F18" s="302"/>
      <c r="G18" s="302"/>
      <c r="H18" s="302"/>
      <c r="I18" s="302"/>
      <c r="J18" s="302"/>
      <c r="K18" s="302"/>
      <c r="L18" s="302"/>
      <c r="M18" s="302"/>
      <c r="N18" s="302"/>
      <c r="O18" s="299"/>
      <c r="P18" s="299"/>
      <c r="Q18" s="299"/>
      <c r="R18" s="299"/>
      <c r="S18" s="299"/>
      <c r="T18" s="299"/>
      <c r="U18" s="299"/>
      <c r="V18" s="299"/>
      <c r="W18" s="299"/>
      <c r="X18" s="299"/>
      <c r="Y18" s="299"/>
      <c r="Z18" s="299"/>
      <c r="AA18" s="299"/>
      <c r="AB18" s="299"/>
      <c r="AC18" s="299"/>
      <c r="AD18" s="299"/>
      <c r="AE18" s="299"/>
      <c r="AF18" s="299"/>
      <c r="AG18" s="299"/>
      <c r="AH18" s="299"/>
      <c r="AI18" s="299"/>
      <c r="AJ18" s="299"/>
      <c r="AK18" s="299"/>
      <c r="AL18" s="299"/>
      <c r="AM18" s="299"/>
      <c r="AN18" s="299"/>
      <c r="AO18" s="299"/>
      <c r="AP18" s="299"/>
      <c r="AQ18" s="299"/>
      <c r="AR18" s="299"/>
      <c r="AS18" s="299"/>
      <c r="AT18" s="330"/>
      <c r="BE18"/>
      <c r="BF18"/>
    </row>
    <row r="19" spans="1:58" x14ac:dyDescent="0.25">
      <c r="A19" s="305" t="s">
        <v>76</v>
      </c>
      <c r="B19" s="331"/>
      <c r="C19" s="331"/>
      <c r="D19" s="304"/>
      <c r="E19" s="304"/>
      <c r="F19" s="304"/>
      <c r="G19" s="304"/>
      <c r="H19" s="304"/>
      <c r="I19" s="304"/>
      <c r="J19" s="304"/>
      <c r="K19" s="304"/>
      <c r="L19" s="304"/>
      <c r="M19" s="304"/>
      <c r="N19" s="304"/>
      <c r="O19" s="304"/>
      <c r="P19" s="306" t="s">
        <v>61</v>
      </c>
      <c r="Q19" s="403"/>
      <c r="R19" s="307"/>
      <c r="S19" s="307"/>
      <c r="T19" s="307"/>
      <c r="U19" s="307"/>
      <c r="V19" s="307"/>
      <c r="W19" s="307"/>
      <c r="X19" s="307"/>
      <c r="Y19" s="307"/>
      <c r="Z19" s="307"/>
      <c r="AA19" s="307"/>
      <c r="AB19" s="307"/>
      <c r="AC19" s="307"/>
      <c r="AD19" s="308" t="s">
        <v>62</v>
      </c>
      <c r="AE19" s="308"/>
      <c r="AF19" s="309"/>
      <c r="AG19" s="309"/>
      <c r="AH19" s="309"/>
      <c r="AI19" s="309"/>
      <c r="AJ19" s="309"/>
      <c r="AK19" s="309"/>
      <c r="AL19" s="309"/>
      <c r="AM19" s="309"/>
      <c r="AN19" s="309"/>
      <c r="AO19" s="309"/>
      <c r="AP19" s="309"/>
      <c r="AQ19" s="309"/>
      <c r="AR19" s="436"/>
      <c r="AS19" s="444"/>
      <c r="AT19" s="444"/>
      <c r="AU19" s="444"/>
      <c r="AV19" s="444"/>
      <c r="AW19" s="332" t="s">
        <v>79</v>
      </c>
      <c r="AX19" s="333"/>
      <c r="AY19" s="333"/>
      <c r="AZ19" s="333"/>
      <c r="BA19" s="333"/>
      <c r="BB19" s="333"/>
      <c r="BC19" s="659" t="s">
        <v>89</v>
      </c>
      <c r="BD19" s="660"/>
      <c r="BE19"/>
      <c r="BF19"/>
    </row>
    <row r="20" spans="1:58" ht="23.25" customHeight="1" x14ac:dyDescent="0.25">
      <c r="A20" s="434" t="s">
        <v>58</v>
      </c>
      <c r="B20" s="334">
        <v>1983</v>
      </c>
      <c r="C20" s="334">
        <v>1995</v>
      </c>
      <c r="D20" s="334">
        <v>2002</v>
      </c>
      <c r="E20" s="334">
        <v>2003</v>
      </c>
      <c r="F20" s="334">
        <v>2004</v>
      </c>
      <c r="G20" s="334">
        <v>2005</v>
      </c>
      <c r="H20" s="334">
        <v>2006</v>
      </c>
      <c r="I20" s="334">
        <v>2007</v>
      </c>
      <c r="J20" s="334">
        <v>2008</v>
      </c>
      <c r="K20" s="334">
        <v>2009</v>
      </c>
      <c r="L20" s="334">
        <v>2010</v>
      </c>
      <c r="M20" s="334">
        <v>2011</v>
      </c>
      <c r="N20" s="334">
        <v>2012</v>
      </c>
      <c r="O20" s="334">
        <v>2013</v>
      </c>
      <c r="P20" s="335">
        <v>1983</v>
      </c>
      <c r="Q20" s="335">
        <v>1995</v>
      </c>
      <c r="R20" s="335">
        <v>2002</v>
      </c>
      <c r="S20" s="335">
        <v>2003</v>
      </c>
      <c r="T20" s="335">
        <v>2004</v>
      </c>
      <c r="U20" s="335">
        <v>2005</v>
      </c>
      <c r="V20" s="335">
        <v>2006</v>
      </c>
      <c r="W20" s="335">
        <v>2007</v>
      </c>
      <c r="X20" s="335">
        <v>2008</v>
      </c>
      <c r="Y20" s="335">
        <v>2009</v>
      </c>
      <c r="Z20" s="335">
        <v>2010</v>
      </c>
      <c r="AA20" s="335">
        <v>2011</v>
      </c>
      <c r="AB20" s="335">
        <v>2012</v>
      </c>
      <c r="AC20" s="335">
        <v>2013</v>
      </c>
      <c r="AD20" s="336">
        <v>1983</v>
      </c>
      <c r="AE20" s="336">
        <v>1995</v>
      </c>
      <c r="AF20" s="336">
        <v>2002</v>
      </c>
      <c r="AG20" s="336">
        <v>2003</v>
      </c>
      <c r="AH20" s="336">
        <v>2004</v>
      </c>
      <c r="AI20" s="336">
        <v>2005</v>
      </c>
      <c r="AJ20" s="336">
        <v>2006</v>
      </c>
      <c r="AK20" s="336">
        <v>2007</v>
      </c>
      <c r="AL20" s="336">
        <v>2008</v>
      </c>
      <c r="AM20" s="336">
        <v>2009</v>
      </c>
      <c r="AN20" s="336">
        <v>2010</v>
      </c>
      <c r="AO20" s="336">
        <v>2011</v>
      </c>
      <c r="AP20" s="336">
        <v>2012</v>
      </c>
      <c r="AQ20" s="336">
        <v>2013</v>
      </c>
      <c r="AR20" s="437" t="s">
        <v>63</v>
      </c>
      <c r="AS20" s="437" t="s">
        <v>149</v>
      </c>
      <c r="AT20" s="437" t="s">
        <v>65</v>
      </c>
      <c r="AU20" s="437" t="s">
        <v>150</v>
      </c>
      <c r="AV20" s="437" t="s">
        <v>151</v>
      </c>
      <c r="AW20" s="316" t="s">
        <v>80</v>
      </c>
      <c r="AX20" s="316" t="s">
        <v>81</v>
      </c>
      <c r="AY20" s="457"/>
      <c r="AZ20" s="316" t="s">
        <v>49</v>
      </c>
      <c r="BA20" s="458"/>
      <c r="BB20" s="456" t="s">
        <v>148</v>
      </c>
      <c r="BC20" s="435" t="s">
        <v>77</v>
      </c>
      <c r="BD20" s="454" t="s">
        <v>78</v>
      </c>
      <c r="BE20" s="569" t="s">
        <v>65</v>
      </c>
      <c r="BF20"/>
    </row>
    <row r="21" spans="1:58" x14ac:dyDescent="0.25">
      <c r="A21" s="361">
        <v>40781</v>
      </c>
      <c r="B21" s="355">
        <f>SUM('Daily Weir Counts'!B$8:B54)</f>
        <v>8975</v>
      </c>
      <c r="C21" s="355">
        <f>SUM('Daily Weir Counts'!N$8:N54)</f>
        <v>2085</v>
      </c>
      <c r="D21" s="355">
        <f>SUM('Daily Weir Counts'!U$8:U54)</f>
        <v>4045</v>
      </c>
      <c r="E21" s="355">
        <f>SUM('Daily Weir Counts'!V$8:V54)</f>
        <v>5261</v>
      </c>
      <c r="F21" s="355">
        <f>SUM('Daily Weir Counts'!W$8:W54)</f>
        <v>4420</v>
      </c>
      <c r="G21" s="355">
        <f>SUM('Daily Weir Counts'!X$8:X54)</f>
        <v>6225</v>
      </c>
      <c r="H21" s="355">
        <f>SUM('Daily Weir Counts'!Y$8:Y54)</f>
        <v>3903</v>
      </c>
      <c r="I21" s="355">
        <f>SUM('Daily Weir Counts'!Z$8:Z54)</f>
        <v>1969</v>
      </c>
      <c r="J21" s="355">
        <f>SUM('Daily Weir Counts'!AA$8:AA54)</f>
        <v>1566</v>
      </c>
      <c r="K21" s="355">
        <f>SUM('Daily Weir Counts'!AB$8:AB54)</f>
        <v>2974</v>
      </c>
      <c r="L21" s="355">
        <f>SUM('Daily Weir Counts'!AC$8:AC54)</f>
        <v>4849</v>
      </c>
      <c r="M21" s="355">
        <f>SUM('Daily Weir Counts'!AD$8:AD54)</f>
        <v>4730</v>
      </c>
      <c r="N21" s="355">
        <f>SUM('Daily Weir Counts'!AE$8:AE54)</f>
        <v>4905</v>
      </c>
      <c r="O21" s="355">
        <f>SUM('Daily Weir Counts'!AF$8:AF54)</f>
        <v>5144</v>
      </c>
      <c r="P21" s="356">
        <f>B21/B$35</f>
        <v>0.85606638687523851</v>
      </c>
      <c r="Q21" s="356">
        <f>C21/C$35</f>
        <v>0.25423728813559321</v>
      </c>
      <c r="R21" s="356">
        <f t="shared" ref="Q21:AC34" si="1">D21/D$35</f>
        <v>0.79767304279234863</v>
      </c>
      <c r="S21" s="356">
        <f>E21/E$35</f>
        <v>0.75007128599942974</v>
      </c>
      <c r="T21" s="356">
        <f t="shared" si="1"/>
        <v>0.56572379367720471</v>
      </c>
      <c r="U21" s="356">
        <f t="shared" si="1"/>
        <v>0.82461253146112068</v>
      </c>
      <c r="V21" s="356">
        <f t="shared" si="1"/>
        <v>0.93709483793517412</v>
      </c>
      <c r="W21" s="356">
        <f t="shared" si="1"/>
        <v>0.63536624717650858</v>
      </c>
      <c r="X21" s="356">
        <f t="shared" si="1"/>
        <v>0.8882586500283608</v>
      </c>
      <c r="Y21" s="356">
        <f t="shared" si="1"/>
        <v>0.80618053673082135</v>
      </c>
      <c r="Z21" s="356">
        <f t="shared" si="1"/>
        <v>0.85975177304964534</v>
      </c>
      <c r="AA21" s="356">
        <f t="shared" si="1"/>
        <v>0.99016118903077244</v>
      </c>
      <c r="AB21" s="356">
        <f t="shared" si="1"/>
        <v>0.86340433022355223</v>
      </c>
      <c r="AC21" s="356">
        <f>O21/O$35</f>
        <v>0.80049797696856517</v>
      </c>
      <c r="AD21" s="357">
        <f>1/P21</f>
        <v>1.1681337047353759</v>
      </c>
      <c r="AE21" s="357">
        <f t="shared" ref="AE21:AE34" si="2">1/Q21</f>
        <v>3.9333333333333336</v>
      </c>
      <c r="AF21" s="357">
        <f t="shared" ref="AF21:AF34" si="3">1/R21</f>
        <v>1.2536464771322622</v>
      </c>
      <c r="AG21" s="357">
        <f t="shared" ref="AG21:AG34" si="4">1/S21</f>
        <v>1.3332066147120318</v>
      </c>
      <c r="AH21" s="357">
        <f t="shared" ref="AH21:AH34" si="5">1/T21</f>
        <v>1.7676470588235293</v>
      </c>
      <c r="AI21" s="357">
        <f t="shared" ref="AI21:AI34" si="6">1/U21</f>
        <v>1.2126907630522088</v>
      </c>
      <c r="AJ21" s="357">
        <f t="shared" ref="AJ21:AJ34" si="7">1/V21</f>
        <v>1.0671278503715091</v>
      </c>
      <c r="AK21" s="357">
        <f t="shared" ref="AK21:AK34" si="8">1/W21</f>
        <v>1.5738953783646521</v>
      </c>
      <c r="AL21" s="357">
        <f t="shared" ref="AL21:AL34" si="9">1/X21</f>
        <v>1.1257982120051084</v>
      </c>
      <c r="AM21" s="357">
        <f t="shared" ref="AM21:AM34" si="10">1/Y21</f>
        <v>1.2404169468728985</v>
      </c>
      <c r="AN21" s="357">
        <f t="shared" ref="AN21:AN34" si="11">1/Z21</f>
        <v>1.1631264178181069</v>
      </c>
      <c r="AO21" s="357">
        <f t="shared" ref="AO21:AO34" si="12">1/AA21</f>
        <v>1.0099365750528542</v>
      </c>
      <c r="AP21" s="357">
        <f t="shared" ref="AP21:AP34" si="13">1/AB21</f>
        <v>1.1582059123343527</v>
      </c>
      <c r="AQ21" s="357">
        <f t="shared" ref="AQ21:AQ34" si="14">1/AC21</f>
        <v>1.2492223950233281</v>
      </c>
      <c r="AR21" s="449">
        <f>AVERAGE(AD21:AQ21)</f>
        <v>1.4468848314022538</v>
      </c>
      <c r="AS21" s="449">
        <f t="shared" ref="AS21:AS34" si="15">STDEV(AD21:AQ21)</f>
        <v>0.74255528834973417</v>
      </c>
      <c r="AT21" s="450">
        <f>AS21/AR21</f>
        <v>0.51320967103517423</v>
      </c>
      <c r="AU21" s="451">
        <f t="shared" ref="AU21:AU34" si="16">MIN(AD21:AQ21)</f>
        <v>1.0099365750528542</v>
      </c>
      <c r="AV21" s="451">
        <f t="shared" ref="AV21:AV34" si="17">MAX(AD21:AQ21)</f>
        <v>3.9333333333333336</v>
      </c>
      <c r="AW21" s="430">
        <f>SLOPE($B$35:$O$35,B21:O21)</f>
        <v>0.88354344115795491</v>
      </c>
      <c r="AX21" s="430">
        <f>INTERCEPT($B$35:$O$35,B21:O21)</f>
        <v>1959.3420981332638</v>
      </c>
      <c r="AY21" s="431">
        <f t="shared" ref="AY21:AY34" si="18">AVERAGE(B21:O21)</f>
        <v>4360.7857142857147</v>
      </c>
      <c r="AZ21" s="431">
        <f t="shared" ref="AZ21:AZ34" si="19">COUNT(B21:O21)</f>
        <v>14</v>
      </c>
      <c r="BA21" s="431">
        <f t="shared" ref="BA21:BA34" si="20">SUMSQ(B21:O21)-(SUM(B21:O21)^2/AZ21)</f>
        <v>47807556.357142866</v>
      </c>
      <c r="BB21" s="431">
        <f>AR59</f>
        <v>2641542.6000874131</v>
      </c>
      <c r="BC21" s="414">
        <f>AS41</f>
        <v>1896.0914280107063</v>
      </c>
      <c r="BD21" s="455">
        <f>AS59</f>
        <v>1625.2823139649963</v>
      </c>
      <c r="BE21" s="300">
        <f>BD21/AVERAGE($B$35:$O$35)</f>
        <v>0.27962877151243604</v>
      </c>
      <c r="BF21"/>
    </row>
    <row r="22" spans="1:58" x14ac:dyDescent="0.25">
      <c r="A22" s="362">
        <v>40782</v>
      </c>
      <c r="B22" s="326">
        <f>SUM('Daily Weir Counts'!B$8:B55)</f>
        <v>8975</v>
      </c>
      <c r="C22" s="326">
        <f>SUM('Daily Weir Counts'!N$8:N55)</f>
        <v>2101</v>
      </c>
      <c r="D22" s="326">
        <f>SUM('Daily Weir Counts'!U$8:U55)</f>
        <v>4048</v>
      </c>
      <c r="E22" s="326">
        <f>SUM('Daily Weir Counts'!V$8:V55)</f>
        <v>5274</v>
      </c>
      <c r="F22" s="326">
        <f>SUM('Daily Weir Counts'!W$8:W55)</f>
        <v>4931</v>
      </c>
      <c r="G22" s="326">
        <f>SUM('Daily Weir Counts'!X$8:X55)</f>
        <v>6293</v>
      </c>
      <c r="H22" s="326">
        <f>SUM('Daily Weir Counts'!Y$8:Y55)</f>
        <v>3904</v>
      </c>
      <c r="I22" s="326">
        <f>SUM('Daily Weir Counts'!Z$8:Z55)</f>
        <v>1980</v>
      </c>
      <c r="J22" s="326">
        <f>SUM('Daily Weir Counts'!AA$8:AA55)</f>
        <v>1566</v>
      </c>
      <c r="K22" s="326">
        <f>SUM('Daily Weir Counts'!AB$8:AB55)</f>
        <v>3001</v>
      </c>
      <c r="L22" s="326">
        <f>SUM('Daily Weir Counts'!AC$8:AC55)</f>
        <v>4853</v>
      </c>
      <c r="M22" s="326">
        <f>SUM('Daily Weir Counts'!AD$8:AD55)</f>
        <v>4734</v>
      </c>
      <c r="N22" s="326">
        <f>SUM('Daily Weir Counts'!AE$8:AE55)</f>
        <v>4916</v>
      </c>
      <c r="O22" s="326">
        <f>SUM('Daily Weir Counts'!AF$8:AF55)</f>
        <v>5150</v>
      </c>
      <c r="P22" s="345">
        <f t="shared" ref="P22:P34" si="21">B22/B$35</f>
        <v>0.85606638687523851</v>
      </c>
      <c r="Q22" s="345">
        <f>C22/C$35</f>
        <v>0.25618826972320446</v>
      </c>
      <c r="R22" s="345">
        <f t="shared" si="1"/>
        <v>0.79826464208242953</v>
      </c>
      <c r="S22" s="345">
        <f>E22/E$35</f>
        <v>0.75192472198460225</v>
      </c>
      <c r="T22" s="345">
        <f t="shared" si="1"/>
        <v>0.63112760783309874</v>
      </c>
      <c r="U22" s="345">
        <f t="shared" si="1"/>
        <v>0.83362034706583654</v>
      </c>
      <c r="V22" s="345">
        <f t="shared" si="1"/>
        <v>0.93733493397358947</v>
      </c>
      <c r="W22" s="345">
        <f t="shared" si="1"/>
        <v>0.63891577928363985</v>
      </c>
      <c r="X22" s="345">
        <f t="shared" si="1"/>
        <v>0.8882586500283608</v>
      </c>
      <c r="Y22" s="345">
        <f t="shared" si="1"/>
        <v>0.8134995933857414</v>
      </c>
      <c r="Z22" s="345">
        <f t="shared" si="1"/>
        <v>0.86046099290780143</v>
      </c>
      <c r="AA22" s="345">
        <f t="shared" si="1"/>
        <v>0.99099853464517484</v>
      </c>
      <c r="AB22" s="345">
        <f t="shared" si="1"/>
        <v>0.86534060904770282</v>
      </c>
      <c r="AC22" s="345">
        <f>O22/O$35</f>
        <v>0.80143168378462493</v>
      </c>
      <c r="AD22" s="346">
        <f t="shared" ref="AD22:AD34" si="22">1/P22</f>
        <v>1.1681337047353759</v>
      </c>
      <c r="AE22" s="346">
        <f t="shared" si="2"/>
        <v>3.9033793431699193</v>
      </c>
      <c r="AF22" s="346">
        <f t="shared" si="3"/>
        <v>1.2527173913043477</v>
      </c>
      <c r="AG22" s="346">
        <f t="shared" si="4"/>
        <v>1.3299203640500568</v>
      </c>
      <c r="AH22" s="346">
        <f t="shared" si="5"/>
        <v>1.5844656256337455</v>
      </c>
      <c r="AI22" s="346">
        <f t="shared" si="6"/>
        <v>1.1995868425234388</v>
      </c>
      <c r="AJ22" s="346">
        <f t="shared" si="7"/>
        <v>1.0668545081967213</v>
      </c>
      <c r="AK22" s="346">
        <f t="shared" si="8"/>
        <v>1.5651515151515152</v>
      </c>
      <c r="AL22" s="346">
        <f t="shared" si="9"/>
        <v>1.1257982120051084</v>
      </c>
      <c r="AM22" s="346">
        <f t="shared" si="10"/>
        <v>1.2292569143618794</v>
      </c>
      <c r="AN22" s="346">
        <f t="shared" si="11"/>
        <v>1.1621677313002265</v>
      </c>
      <c r="AO22" s="346">
        <f t="shared" si="12"/>
        <v>1.0090832277144064</v>
      </c>
      <c r="AP22" s="346">
        <f t="shared" si="13"/>
        <v>1.1556143205858422</v>
      </c>
      <c r="AQ22" s="346">
        <f t="shared" si="14"/>
        <v>1.2477669902912623</v>
      </c>
      <c r="AR22" s="438">
        <f t="shared" ref="AR22:AR34" si="23">AVERAGE(AD22:AQ22)</f>
        <v>1.4285640493588458</v>
      </c>
      <c r="AS22" s="438">
        <f t="shared" si="15"/>
        <v>0.73090691255838958</v>
      </c>
      <c r="AT22" s="439">
        <f t="shared" ref="AT22:AT34" si="24">AS22/AR22</f>
        <v>0.51163748162809231</v>
      </c>
      <c r="AU22" s="440">
        <f t="shared" si="16"/>
        <v>1.0090832277144064</v>
      </c>
      <c r="AV22" s="440">
        <f t="shared" si="17"/>
        <v>3.9033793431699193</v>
      </c>
      <c r="AW22" s="430">
        <f t="shared" ref="AW22:AW34" si="25">SLOPE($B$35:$O$35,B22:O22)</f>
        <v>0.89909593190517045</v>
      </c>
      <c r="AX22" s="430">
        <f t="shared" ref="AX22:AX33" si="26">INTERCEPT($B$35:$O$35,B22:O22)</f>
        <v>1848.1717505158181</v>
      </c>
      <c r="AY22" s="432">
        <f t="shared" si="18"/>
        <v>4409</v>
      </c>
      <c r="AZ22" s="432">
        <f t="shared" si="19"/>
        <v>14</v>
      </c>
      <c r="BA22" s="432">
        <f t="shared" si="20"/>
        <v>48204776</v>
      </c>
      <c r="BB22" s="432">
        <f t="shared" ref="BB22:BB33" si="27">AR60</f>
        <v>2504330.8014578051</v>
      </c>
      <c r="BC22" s="415">
        <f>AS42</f>
        <v>1829.8266381400188</v>
      </c>
      <c r="BD22" s="455">
        <f t="shared" ref="BD22:BD33" si="28">AS60</f>
        <v>1582.5077571556499</v>
      </c>
      <c r="BE22" s="300">
        <f t="shared" ref="BE22:BE34" si="29">BD22/AVERAGE($B$35:$O$35)</f>
        <v>0.27226943666346037</v>
      </c>
      <c r="BF22"/>
    </row>
    <row r="23" spans="1:58" x14ac:dyDescent="0.25">
      <c r="A23" s="362">
        <v>40783</v>
      </c>
      <c r="B23" s="326">
        <f>SUM('Daily Weir Counts'!B$8:B56)</f>
        <v>8976</v>
      </c>
      <c r="C23" s="326">
        <f>SUM('Daily Weir Counts'!N$8:N56)</f>
        <v>2108</v>
      </c>
      <c r="D23" s="326">
        <f>SUM('Daily Weir Counts'!U$8:U56)</f>
        <v>4104</v>
      </c>
      <c r="E23" s="326">
        <f>SUM('Daily Weir Counts'!V$8:V56)</f>
        <v>5278</v>
      </c>
      <c r="F23" s="326">
        <f>SUM('Daily Weir Counts'!W$8:W56)</f>
        <v>5341</v>
      </c>
      <c r="G23" s="326">
        <f>SUM('Daily Weir Counts'!X$8:X56)</f>
        <v>6348</v>
      </c>
      <c r="H23" s="326">
        <f>SUM('Daily Weir Counts'!Y$8:Y56)</f>
        <v>3904</v>
      </c>
      <c r="I23" s="326">
        <f>SUM('Daily Weir Counts'!Z$8:Z56)</f>
        <v>1981</v>
      </c>
      <c r="J23" s="326">
        <f>SUM('Daily Weir Counts'!AA$8:AA56)</f>
        <v>1568</v>
      </c>
      <c r="K23" s="326">
        <f>SUM('Daily Weir Counts'!AB$8:AB56)</f>
        <v>3001</v>
      </c>
      <c r="L23" s="326">
        <f>SUM('Daily Weir Counts'!AC$8:AC56)</f>
        <v>4855</v>
      </c>
      <c r="M23" s="326">
        <f>SUM('Daily Weir Counts'!AD$8:AD56)</f>
        <v>4734</v>
      </c>
      <c r="N23" s="326">
        <f>SUM('Daily Weir Counts'!AE$8:AE56)</f>
        <v>5387</v>
      </c>
      <c r="O23" s="326">
        <f>SUM('Daily Weir Counts'!AF$8:AF56)</f>
        <v>5155</v>
      </c>
      <c r="P23" s="345">
        <f t="shared" si="21"/>
        <v>0.85616177031667307</v>
      </c>
      <c r="Q23" s="345">
        <f t="shared" si="1"/>
        <v>0.25704182416778443</v>
      </c>
      <c r="R23" s="345">
        <f t="shared" si="1"/>
        <v>0.80930782883060537</v>
      </c>
      <c r="S23" s="345">
        <f>E23/E$35</f>
        <v>0.75249500998003993</v>
      </c>
      <c r="T23" s="345">
        <f t="shared" si="1"/>
        <v>0.68360424932804298</v>
      </c>
      <c r="U23" s="345">
        <f t="shared" si="1"/>
        <v>0.84090608027553315</v>
      </c>
      <c r="V23" s="345">
        <f t="shared" si="1"/>
        <v>0.93733493397358947</v>
      </c>
      <c r="W23" s="345">
        <f t="shared" si="1"/>
        <v>0.63923846402065188</v>
      </c>
      <c r="X23" s="345">
        <f t="shared" si="1"/>
        <v>0.88939307997731143</v>
      </c>
      <c r="Y23" s="345">
        <f t="shared" si="1"/>
        <v>0.8134995933857414</v>
      </c>
      <c r="Z23" s="345">
        <f t="shared" si="1"/>
        <v>0.86081560283687941</v>
      </c>
      <c r="AA23" s="345">
        <f t="shared" si="1"/>
        <v>0.99099853464517484</v>
      </c>
      <c r="AB23" s="345">
        <f t="shared" si="1"/>
        <v>0.94824854779088186</v>
      </c>
      <c r="AC23" s="345">
        <f t="shared" si="1"/>
        <v>0.80220977279800809</v>
      </c>
      <c r="AD23" s="346">
        <f t="shared" si="22"/>
        <v>1.1680035650623886</v>
      </c>
      <c r="AE23" s="346">
        <f t="shared" si="2"/>
        <v>3.8904174573055026</v>
      </c>
      <c r="AF23" s="346">
        <f t="shared" si="3"/>
        <v>1.2356237816764133</v>
      </c>
      <c r="AG23" s="346">
        <f t="shared" si="4"/>
        <v>1.3289124668435013</v>
      </c>
      <c r="AH23" s="346">
        <f t="shared" si="5"/>
        <v>1.4628346751544654</v>
      </c>
      <c r="AI23" s="346">
        <f t="shared" si="6"/>
        <v>1.1891934467548835</v>
      </c>
      <c r="AJ23" s="346">
        <f t="shared" si="7"/>
        <v>1.0668545081967213</v>
      </c>
      <c r="AK23" s="346">
        <f t="shared" si="8"/>
        <v>1.5643614336193841</v>
      </c>
      <c r="AL23" s="346">
        <f t="shared" si="9"/>
        <v>1.1243622448979591</v>
      </c>
      <c r="AM23" s="346">
        <f t="shared" si="10"/>
        <v>1.2292569143618794</v>
      </c>
      <c r="AN23" s="346">
        <f t="shared" si="11"/>
        <v>1.1616889804325439</v>
      </c>
      <c r="AO23" s="346">
        <f t="shared" si="12"/>
        <v>1.0090832277144064</v>
      </c>
      <c r="AP23" s="346">
        <f t="shared" si="13"/>
        <v>1.0545758307035455</v>
      </c>
      <c r="AQ23" s="346">
        <f t="shared" si="14"/>
        <v>1.246556741028128</v>
      </c>
      <c r="AR23" s="438">
        <f t="shared" si="23"/>
        <v>1.4094089481251231</v>
      </c>
      <c r="AS23" s="438">
        <f t="shared" si="15"/>
        <v>0.73016454242980644</v>
      </c>
      <c r="AT23" s="439">
        <f t="shared" si="24"/>
        <v>0.51806435839726528</v>
      </c>
      <c r="AU23" s="440">
        <f t="shared" si="16"/>
        <v>1.0090832277144064</v>
      </c>
      <c r="AV23" s="440">
        <f t="shared" si="17"/>
        <v>3.8904174573055026</v>
      </c>
      <c r="AW23" s="430">
        <f t="shared" si="25"/>
        <v>0.89096930533983809</v>
      </c>
      <c r="AX23" s="430">
        <f t="shared" si="26"/>
        <v>1819.4704130698974</v>
      </c>
      <c r="AY23" s="432">
        <f t="shared" si="18"/>
        <v>4481.4285714285716</v>
      </c>
      <c r="AZ23" s="432">
        <f t="shared" si="19"/>
        <v>14</v>
      </c>
      <c r="BA23" s="432">
        <f t="shared" si="20"/>
        <v>49576673.428571403</v>
      </c>
      <c r="BB23" s="432">
        <f t="shared" si="27"/>
        <v>2472013.7892865366</v>
      </c>
      <c r="BC23" s="415">
        <f t="shared" ref="BC23:BC34" si="30">AS43</f>
        <v>1823.3386803479989</v>
      </c>
      <c r="BD23" s="455">
        <f t="shared" si="28"/>
        <v>1572.2639057380084</v>
      </c>
      <c r="BE23" s="300">
        <f t="shared" si="29"/>
        <v>0.27050698864882411</v>
      </c>
      <c r="BF23"/>
    </row>
    <row r="24" spans="1:58" x14ac:dyDescent="0.25">
      <c r="A24" s="362">
        <v>40784</v>
      </c>
      <c r="B24" s="326">
        <f>SUM('Daily Weir Counts'!B$8:B57)</f>
        <v>8979</v>
      </c>
      <c r="C24" s="326">
        <f>SUM('Daily Weir Counts'!N$8:N57)</f>
        <v>2341</v>
      </c>
      <c r="D24" s="326">
        <f>SUM('Daily Weir Counts'!U$8:U57)</f>
        <v>4125</v>
      </c>
      <c r="E24" s="326">
        <f>SUM('Daily Weir Counts'!V$8:V57)</f>
        <v>5278</v>
      </c>
      <c r="F24" s="326">
        <f>SUM('Daily Weir Counts'!W$8:W57)</f>
        <v>5385</v>
      </c>
      <c r="G24" s="326">
        <f>SUM('Daily Weir Counts'!X$8:X57)</f>
        <v>6360</v>
      </c>
      <c r="H24" s="326">
        <f>SUM('Daily Weir Counts'!Y$8:Y57)</f>
        <v>4013</v>
      </c>
      <c r="I24" s="326">
        <f>SUM('Daily Weir Counts'!Z$8:Z57)</f>
        <v>2000</v>
      </c>
      <c r="J24" s="326">
        <f>SUM('Daily Weir Counts'!AA$8:AA57)</f>
        <v>1568</v>
      </c>
      <c r="K24" s="326">
        <f>SUM('Daily Weir Counts'!AB$8:AB57)</f>
        <v>3143</v>
      </c>
      <c r="L24" s="326">
        <f>SUM('Daily Weir Counts'!AC$8:AC57)</f>
        <v>4862</v>
      </c>
      <c r="M24" s="326">
        <f>SUM('Daily Weir Counts'!AD$8:AD57)</f>
        <v>4736</v>
      </c>
      <c r="N24" s="326">
        <f>SUM('Daily Weir Counts'!AE$8:AE57)</f>
        <v>5415</v>
      </c>
      <c r="O24" s="326">
        <f>SUM('Daily Weir Counts'!AF$8:AF57)</f>
        <v>5176</v>
      </c>
      <c r="P24" s="345">
        <f t="shared" si="21"/>
        <v>0.85644792064097675</v>
      </c>
      <c r="Q24" s="345">
        <f t="shared" si="1"/>
        <v>0.28545299353737347</v>
      </c>
      <c r="R24" s="345">
        <f t="shared" si="1"/>
        <v>0.81344902386117135</v>
      </c>
      <c r="S24" s="345">
        <f t="shared" si="1"/>
        <v>0.75249500998003993</v>
      </c>
      <c r="T24" s="345">
        <f t="shared" si="1"/>
        <v>0.68923588890311016</v>
      </c>
      <c r="U24" s="345">
        <f t="shared" si="1"/>
        <v>0.84249569479401243</v>
      </c>
      <c r="V24" s="345">
        <f t="shared" si="1"/>
        <v>0.96350540216086433</v>
      </c>
      <c r="W24" s="345">
        <f t="shared" si="1"/>
        <v>0.64536947402387868</v>
      </c>
      <c r="X24" s="345">
        <f t="shared" si="1"/>
        <v>0.88939307997731143</v>
      </c>
      <c r="Y24" s="345">
        <f t="shared" si="1"/>
        <v>0.85199240986717273</v>
      </c>
      <c r="Z24" s="345">
        <f t="shared" si="1"/>
        <v>0.86205673758865253</v>
      </c>
      <c r="AA24" s="345">
        <f t="shared" si="1"/>
        <v>0.99141720745237594</v>
      </c>
      <c r="AB24" s="345">
        <f t="shared" si="1"/>
        <v>0.95317725752508364</v>
      </c>
      <c r="AC24" s="345">
        <f t="shared" si="1"/>
        <v>0.80547774665421723</v>
      </c>
      <c r="AD24" s="346">
        <f t="shared" si="22"/>
        <v>1.1676133199688161</v>
      </c>
      <c r="AE24" s="346">
        <f t="shared" si="2"/>
        <v>3.5032037590773175</v>
      </c>
      <c r="AF24" s="346">
        <f t="shared" si="3"/>
        <v>1.2293333333333334</v>
      </c>
      <c r="AG24" s="346">
        <f t="shared" si="4"/>
        <v>1.3289124668435013</v>
      </c>
      <c r="AH24" s="346">
        <f t="shared" si="5"/>
        <v>1.4508820798514392</v>
      </c>
      <c r="AI24" s="346">
        <f t="shared" si="6"/>
        <v>1.1869496855345911</v>
      </c>
      <c r="AJ24" s="346">
        <f t="shared" si="7"/>
        <v>1.037876900074757</v>
      </c>
      <c r="AK24" s="346">
        <f t="shared" si="8"/>
        <v>1.5495000000000001</v>
      </c>
      <c r="AL24" s="346">
        <f t="shared" si="9"/>
        <v>1.1243622448979591</v>
      </c>
      <c r="AM24" s="346">
        <f t="shared" si="10"/>
        <v>1.1737193763919822</v>
      </c>
      <c r="AN24" s="346">
        <f t="shared" si="11"/>
        <v>1.1600164541341011</v>
      </c>
      <c r="AO24" s="346">
        <f t="shared" si="12"/>
        <v>1.0086570945945945</v>
      </c>
      <c r="AP24" s="346">
        <f t="shared" si="13"/>
        <v>1.0491228070175438</v>
      </c>
      <c r="AQ24" s="346">
        <f t="shared" si="14"/>
        <v>1.241499227202473</v>
      </c>
      <c r="AR24" s="438">
        <f t="shared" si="23"/>
        <v>1.3722606249230291</v>
      </c>
      <c r="AS24" s="438">
        <f t="shared" si="15"/>
        <v>0.63175568091875756</v>
      </c>
      <c r="AT24" s="439">
        <f t="shared" si="24"/>
        <v>0.46037587135038077</v>
      </c>
      <c r="AU24" s="440">
        <f t="shared" si="16"/>
        <v>1.0086570945945945</v>
      </c>
      <c r="AV24" s="440">
        <f t="shared" si="17"/>
        <v>3.5032037590773175</v>
      </c>
      <c r="AW24" s="430">
        <f t="shared" si="25"/>
        <v>0.92103556934151265</v>
      </c>
      <c r="AX24" s="430">
        <f t="shared" si="26"/>
        <v>1642.560327111828</v>
      </c>
      <c r="AY24" s="432">
        <f t="shared" si="18"/>
        <v>4527.2142857142853</v>
      </c>
      <c r="AZ24" s="432">
        <f t="shared" si="19"/>
        <v>14</v>
      </c>
      <c r="BA24" s="432">
        <f t="shared" si="20"/>
        <v>48107270.357142866</v>
      </c>
      <c r="BB24" s="432">
        <f t="shared" si="27"/>
        <v>2350810.1461790786</v>
      </c>
      <c r="BC24" s="415">
        <f t="shared" si="30"/>
        <v>1695.5226366695097</v>
      </c>
      <c r="BD24" s="455">
        <f t="shared" si="28"/>
        <v>1533.2351894536855</v>
      </c>
      <c r="BE24" s="300">
        <f t="shared" si="29"/>
        <v>0.26379212324081497</v>
      </c>
      <c r="BF24"/>
    </row>
    <row r="25" spans="1:58" x14ac:dyDescent="0.25">
      <c r="A25" s="362">
        <v>40785</v>
      </c>
      <c r="B25" s="326">
        <f>SUM('Daily Weir Counts'!B$8:B58)</f>
        <v>8995</v>
      </c>
      <c r="C25" s="326">
        <f>SUM('Daily Weir Counts'!N$8:N58)</f>
        <v>2397</v>
      </c>
      <c r="D25" s="326">
        <f>SUM('Daily Weir Counts'!U$8:U58)</f>
        <v>4125</v>
      </c>
      <c r="E25" s="326">
        <f>SUM('Daily Weir Counts'!V$8:V58)</f>
        <v>5281</v>
      </c>
      <c r="F25" s="326">
        <f>SUM('Daily Weir Counts'!W$8:W58)</f>
        <v>5416</v>
      </c>
      <c r="G25" s="326">
        <f>SUM('Daily Weir Counts'!X$8:X58)</f>
        <v>6617</v>
      </c>
      <c r="H25" s="326">
        <f>SUM('Daily Weir Counts'!Y$8:Y58)</f>
        <v>4013</v>
      </c>
      <c r="I25" s="326">
        <f>SUM('Daily Weir Counts'!Z$8:Z58)</f>
        <v>2003</v>
      </c>
      <c r="J25" s="326">
        <f>SUM('Daily Weir Counts'!AA$8:AA58)</f>
        <v>1570</v>
      </c>
      <c r="K25" s="326">
        <f>SUM('Daily Weir Counts'!AB$8:AB58)</f>
        <v>3244</v>
      </c>
      <c r="L25" s="326">
        <f>SUM('Daily Weir Counts'!AC$8:AC58)</f>
        <v>4866</v>
      </c>
      <c r="M25" s="326">
        <f>SUM('Daily Weir Counts'!AD$8:AD58)</f>
        <v>4736</v>
      </c>
      <c r="N25" s="326">
        <f>SUM('Daily Weir Counts'!AE$8:AE58)</f>
        <v>5416</v>
      </c>
      <c r="O25" s="326">
        <f>SUM('Daily Weir Counts'!AF$8:AF58)</f>
        <v>5197</v>
      </c>
      <c r="P25" s="345">
        <f t="shared" si="21"/>
        <v>0.85797405570392982</v>
      </c>
      <c r="Q25" s="345">
        <f t="shared" si="1"/>
        <v>0.29228142909401295</v>
      </c>
      <c r="R25" s="345">
        <f t="shared" si="1"/>
        <v>0.81344902386117135</v>
      </c>
      <c r="S25" s="345">
        <f t="shared" si="1"/>
        <v>0.75292272597661825</v>
      </c>
      <c r="T25" s="345">
        <f t="shared" si="1"/>
        <v>0.69320363496736204</v>
      </c>
      <c r="U25" s="345">
        <f t="shared" si="1"/>
        <v>0.87653993906477679</v>
      </c>
      <c r="V25" s="345">
        <f t="shared" si="1"/>
        <v>0.96350540216086433</v>
      </c>
      <c r="W25" s="345">
        <f t="shared" si="1"/>
        <v>0.64633752823491453</v>
      </c>
      <c r="X25" s="345">
        <f t="shared" si="1"/>
        <v>0.89052750992626206</v>
      </c>
      <c r="Y25" s="345">
        <f t="shared" si="1"/>
        <v>0.87937110328002166</v>
      </c>
      <c r="Z25" s="345">
        <f t="shared" si="1"/>
        <v>0.86276595744680851</v>
      </c>
      <c r="AA25" s="345">
        <f t="shared" si="1"/>
        <v>0.99141720745237594</v>
      </c>
      <c r="AB25" s="345">
        <f t="shared" si="1"/>
        <v>0.95335328287273369</v>
      </c>
      <c r="AC25" s="345">
        <f t="shared" si="1"/>
        <v>0.80874572051042637</v>
      </c>
      <c r="AD25" s="346">
        <f t="shared" si="22"/>
        <v>1.1655364091161757</v>
      </c>
      <c r="AE25" s="346">
        <f t="shared" si="2"/>
        <v>3.421360033375052</v>
      </c>
      <c r="AF25" s="346">
        <f t="shared" si="3"/>
        <v>1.2293333333333334</v>
      </c>
      <c r="AG25" s="346">
        <f t="shared" si="4"/>
        <v>1.3281575459193333</v>
      </c>
      <c r="AH25" s="346">
        <f t="shared" si="5"/>
        <v>1.4425775480059084</v>
      </c>
      <c r="AI25" s="346">
        <f t="shared" si="6"/>
        <v>1.1408493274897991</v>
      </c>
      <c r="AJ25" s="346">
        <f t="shared" si="7"/>
        <v>1.037876900074757</v>
      </c>
      <c r="AK25" s="346">
        <f t="shared" si="8"/>
        <v>1.5471792311532699</v>
      </c>
      <c r="AL25" s="346">
        <f t="shared" si="9"/>
        <v>1.1229299363057326</v>
      </c>
      <c r="AM25" s="346">
        <f t="shared" si="10"/>
        <v>1.1371763255240444</v>
      </c>
      <c r="AN25" s="346">
        <f t="shared" si="11"/>
        <v>1.1590628853267571</v>
      </c>
      <c r="AO25" s="346">
        <f t="shared" si="12"/>
        <v>1.0086570945945945</v>
      </c>
      <c r="AP25" s="346">
        <f t="shared" si="13"/>
        <v>1.0489290989660265</v>
      </c>
      <c r="AQ25" s="346">
        <f t="shared" si="14"/>
        <v>1.2364825861073696</v>
      </c>
      <c r="AR25" s="438">
        <f t="shared" si="23"/>
        <v>1.3590077325208685</v>
      </c>
      <c r="AS25" s="438">
        <f t="shared" si="15"/>
        <v>0.61271353946253493</v>
      </c>
      <c r="AT25" s="439">
        <f t="shared" si="24"/>
        <v>0.45085360796733087</v>
      </c>
      <c r="AU25" s="440">
        <f t="shared" si="16"/>
        <v>1.0086570945945945</v>
      </c>
      <c r="AV25" s="440">
        <f t="shared" si="17"/>
        <v>3.421360033375052</v>
      </c>
      <c r="AW25" s="430">
        <f t="shared" si="25"/>
        <v>0.91837153734250487</v>
      </c>
      <c r="AX25" s="430">
        <f t="shared" si="26"/>
        <v>1622.1499771935833</v>
      </c>
      <c r="AY25" s="432">
        <f t="shared" si="18"/>
        <v>4562.5714285714284</v>
      </c>
      <c r="AZ25" s="432">
        <f t="shared" si="19"/>
        <v>14</v>
      </c>
      <c r="BA25" s="432">
        <f t="shared" si="20"/>
        <v>48793283.428571403</v>
      </c>
      <c r="BB25" s="432">
        <f t="shared" si="27"/>
        <v>2322239.263529086</v>
      </c>
      <c r="BC25" s="415">
        <f t="shared" si="30"/>
        <v>1678.6748937888465</v>
      </c>
      <c r="BD25" s="455">
        <f t="shared" si="28"/>
        <v>1523.8895181505404</v>
      </c>
      <c r="BE25" s="300">
        <f t="shared" si="29"/>
        <v>0.26218420653428165</v>
      </c>
      <c r="BF25"/>
    </row>
    <row r="26" spans="1:58" x14ac:dyDescent="0.25">
      <c r="A26" s="362">
        <v>40786</v>
      </c>
      <c r="B26" s="326">
        <f>SUM('Daily Weir Counts'!B$8:B59)</f>
        <v>9013</v>
      </c>
      <c r="C26" s="326">
        <f>SUM('Daily Weir Counts'!N$8:N59)</f>
        <v>3783</v>
      </c>
      <c r="D26" s="326">
        <f>SUM('Daily Weir Counts'!U$8:U59)</f>
        <v>4139</v>
      </c>
      <c r="E26" s="326">
        <f>SUM('Daily Weir Counts'!V$8:V59)</f>
        <v>5411</v>
      </c>
      <c r="F26" s="326">
        <f>SUM('Daily Weir Counts'!W$8:W59)</f>
        <v>5450</v>
      </c>
      <c r="G26" s="326">
        <f>SUM('Daily Weir Counts'!X$8:X59)</f>
        <v>6787</v>
      </c>
      <c r="H26" s="326">
        <f>SUM('Daily Weir Counts'!Y$8:Y59)</f>
        <v>4144</v>
      </c>
      <c r="I26" s="326">
        <f>SUM('Daily Weir Counts'!Z$8:Z59)</f>
        <v>2042</v>
      </c>
      <c r="J26" s="326">
        <f>SUM('Daily Weir Counts'!AA$8:AA59)</f>
        <v>1572</v>
      </c>
      <c r="K26" s="326">
        <f>SUM('Daily Weir Counts'!AB$8:AB59)</f>
        <v>3274</v>
      </c>
      <c r="L26" s="326">
        <f>SUM('Daily Weir Counts'!AC$8:AC59)</f>
        <v>4869</v>
      </c>
      <c r="M26" s="326">
        <f>SUM('Daily Weir Counts'!AD$8:AD59)</f>
        <v>4739</v>
      </c>
      <c r="N26" s="326">
        <f>SUM('Daily Weir Counts'!AE$8:AE59)</f>
        <v>5441</v>
      </c>
      <c r="O26" s="326">
        <f>SUM('Daily Weir Counts'!AF$8:AF59)</f>
        <v>5219</v>
      </c>
      <c r="P26" s="345">
        <f t="shared" si="21"/>
        <v>0.85969095764975201</v>
      </c>
      <c r="Q26" s="345">
        <f t="shared" si="1"/>
        <v>0.46128520912083892</v>
      </c>
      <c r="R26" s="345">
        <f t="shared" si="1"/>
        <v>0.81620982054821534</v>
      </c>
      <c r="S26" s="345">
        <f t="shared" si="1"/>
        <v>0.77145708582834327</v>
      </c>
      <c r="T26" s="345">
        <f t="shared" si="1"/>
        <v>0.69755535645718669</v>
      </c>
      <c r="U26" s="345">
        <f t="shared" si="1"/>
        <v>0.89905947807656639</v>
      </c>
      <c r="V26" s="345">
        <f t="shared" si="1"/>
        <v>0.99495798319327733</v>
      </c>
      <c r="W26" s="345">
        <f t="shared" si="1"/>
        <v>0.65892223297838015</v>
      </c>
      <c r="X26" s="345">
        <f t="shared" si="1"/>
        <v>0.89166193987521269</v>
      </c>
      <c r="Y26" s="345">
        <f t="shared" si="1"/>
        <v>0.88750338845215504</v>
      </c>
      <c r="Z26" s="345">
        <f t="shared" si="1"/>
        <v>0.86329787234042554</v>
      </c>
      <c r="AA26" s="345">
        <f t="shared" si="1"/>
        <v>0.99204521666317769</v>
      </c>
      <c r="AB26" s="345">
        <f t="shared" si="1"/>
        <v>0.95775391656398523</v>
      </c>
      <c r="AC26" s="345">
        <f t="shared" si="1"/>
        <v>0.81216931216931221</v>
      </c>
      <c r="AD26" s="346">
        <f t="shared" si="22"/>
        <v>1.163208698546544</v>
      </c>
      <c r="AE26" s="346">
        <f t="shared" si="2"/>
        <v>2.1678561987840337</v>
      </c>
      <c r="AF26" s="346">
        <f t="shared" si="3"/>
        <v>1.2251751630828702</v>
      </c>
      <c r="AG26" s="346">
        <f t="shared" si="4"/>
        <v>1.2962483829236742</v>
      </c>
      <c r="AH26" s="346">
        <f t="shared" si="5"/>
        <v>1.4335779816513763</v>
      </c>
      <c r="AI26" s="346">
        <f t="shared" si="6"/>
        <v>1.112273463975247</v>
      </c>
      <c r="AJ26" s="346">
        <f t="shared" si="7"/>
        <v>1.0050675675675675</v>
      </c>
      <c r="AK26" s="346">
        <f t="shared" si="8"/>
        <v>1.5176297747306562</v>
      </c>
      <c r="AL26" s="346">
        <f t="shared" si="9"/>
        <v>1.1215012722646311</v>
      </c>
      <c r="AM26" s="346">
        <f t="shared" si="10"/>
        <v>1.1267562614538791</v>
      </c>
      <c r="AN26" s="346">
        <f t="shared" si="11"/>
        <v>1.1583487369069625</v>
      </c>
      <c r="AO26" s="346">
        <f t="shared" si="12"/>
        <v>1.0080185693184216</v>
      </c>
      <c r="AP26" s="346">
        <f t="shared" si="13"/>
        <v>1.0441095386877413</v>
      </c>
      <c r="AQ26" s="346">
        <f t="shared" si="14"/>
        <v>1.2312703583061888</v>
      </c>
      <c r="AR26" s="438">
        <f t="shared" si="23"/>
        <v>1.257931569157128</v>
      </c>
      <c r="AS26" s="438">
        <f t="shared" si="15"/>
        <v>0.30096662700071286</v>
      </c>
      <c r="AT26" s="439">
        <f t="shared" si="24"/>
        <v>0.23925516648125331</v>
      </c>
      <c r="AU26" s="440">
        <f t="shared" si="16"/>
        <v>1.0050675675675675</v>
      </c>
      <c r="AV26" s="440">
        <f t="shared" si="17"/>
        <v>2.1678561987840337</v>
      </c>
      <c r="AW26" s="430">
        <f t="shared" si="25"/>
        <v>1.0686923620127633</v>
      </c>
      <c r="AX26" s="430">
        <f t="shared" si="26"/>
        <v>783.09579382236552</v>
      </c>
      <c r="AY26" s="432">
        <f t="shared" si="18"/>
        <v>4705.9285714285716</v>
      </c>
      <c r="AZ26" s="432">
        <f t="shared" si="19"/>
        <v>14</v>
      </c>
      <c r="BA26" s="432">
        <f t="shared" si="20"/>
        <v>45221160.928571403</v>
      </c>
      <c r="BB26" s="432">
        <f t="shared" si="27"/>
        <v>1447682.7340332593</v>
      </c>
      <c r="BC26" s="415">
        <f t="shared" si="30"/>
        <v>1169.6540278650159</v>
      </c>
      <c r="BD26" s="455">
        <f t="shared" si="28"/>
        <v>1203.1968808275972</v>
      </c>
      <c r="BE26" s="300">
        <f t="shared" si="29"/>
        <v>0.20700924558307968</v>
      </c>
      <c r="BF26"/>
    </row>
    <row r="27" spans="1:58" s="190" customFormat="1" x14ac:dyDescent="0.25">
      <c r="A27" s="542">
        <v>40787</v>
      </c>
      <c r="B27" s="543">
        <f>SUM('Daily Weir Counts'!B$8:B60)</f>
        <v>9026</v>
      </c>
      <c r="C27" s="543">
        <f>SUM('Daily Weir Counts'!N$8:N60)</f>
        <v>6066</v>
      </c>
      <c r="D27" s="543">
        <f>SUM('Daily Weir Counts'!U$8:U60)</f>
        <v>4143</v>
      </c>
      <c r="E27" s="543">
        <f>SUM('Daily Weir Counts'!V$8:V60)</f>
        <v>5634</v>
      </c>
      <c r="F27" s="543">
        <f>SUM('Daily Weir Counts'!W$8:W60)</f>
        <v>5485</v>
      </c>
      <c r="G27" s="543">
        <f>SUM('Daily Weir Counts'!X$8:X60)</f>
        <v>6861</v>
      </c>
      <c r="H27" s="543">
        <f>SUM('Daily Weir Counts'!Y$8:Y60)</f>
        <v>4144</v>
      </c>
      <c r="I27" s="543">
        <f>SUM('Daily Weir Counts'!Z$8:Z60)</f>
        <v>2045</v>
      </c>
      <c r="J27" s="543">
        <f>SUM('Daily Weir Counts'!AA$8:AA60)</f>
        <v>1575</v>
      </c>
      <c r="K27" s="543">
        <f>SUM('Daily Weir Counts'!AB$8:AB60)</f>
        <v>3287</v>
      </c>
      <c r="L27" s="543">
        <f>SUM('Daily Weir Counts'!AC$8:AC60)</f>
        <v>5172</v>
      </c>
      <c r="M27" s="543">
        <f>SUM('Daily Weir Counts'!AD$8:AD60)</f>
        <v>4739</v>
      </c>
      <c r="N27" s="543">
        <f>SUM('Daily Weir Counts'!AE$8:AE60)</f>
        <v>5466</v>
      </c>
      <c r="O27" s="543">
        <f>SUM('Daily Weir Counts'!AF$8:AF60)</f>
        <v>6032</v>
      </c>
      <c r="P27" s="544">
        <f t="shared" si="21"/>
        <v>0.8609309423884014</v>
      </c>
      <c r="Q27" s="544">
        <f t="shared" si="1"/>
        <v>0.73966589440312158</v>
      </c>
      <c r="R27" s="544">
        <f t="shared" si="1"/>
        <v>0.81699861960165643</v>
      </c>
      <c r="S27" s="544">
        <f t="shared" si="1"/>
        <v>0.80325064157399484</v>
      </c>
      <c r="T27" s="544">
        <f t="shared" si="1"/>
        <v>0.70203506975553565</v>
      </c>
      <c r="U27" s="544">
        <f t="shared" si="1"/>
        <v>0.90886210094052189</v>
      </c>
      <c r="V27" s="544">
        <f t="shared" si="1"/>
        <v>0.99495798319327733</v>
      </c>
      <c r="W27" s="544">
        <f t="shared" si="1"/>
        <v>0.65989028718941589</v>
      </c>
      <c r="X27" s="544">
        <f t="shared" si="1"/>
        <v>0.89336358479863864</v>
      </c>
      <c r="Y27" s="544">
        <f t="shared" si="1"/>
        <v>0.89102737869341286</v>
      </c>
      <c r="Z27" s="544">
        <f t="shared" si="1"/>
        <v>0.91702127659574473</v>
      </c>
      <c r="AA27" s="544">
        <f t="shared" si="1"/>
        <v>0.99204521666317769</v>
      </c>
      <c r="AB27" s="544">
        <f t="shared" si="1"/>
        <v>0.96215455025523677</v>
      </c>
      <c r="AC27" s="544">
        <f t="shared" si="1"/>
        <v>0.93868658574540931</v>
      </c>
      <c r="AD27" s="545">
        <f t="shared" si="22"/>
        <v>1.161533348105473</v>
      </c>
      <c r="AE27" s="545">
        <f t="shared" si="2"/>
        <v>1.3519617540389053</v>
      </c>
      <c r="AF27" s="545">
        <f t="shared" si="3"/>
        <v>1.2239922761284094</v>
      </c>
      <c r="AG27" s="545">
        <f t="shared" si="4"/>
        <v>1.2449414270500534</v>
      </c>
      <c r="AH27" s="545">
        <f t="shared" si="5"/>
        <v>1.4244302643573381</v>
      </c>
      <c r="AI27" s="545">
        <f t="shared" si="6"/>
        <v>1.10027692756158</v>
      </c>
      <c r="AJ27" s="545">
        <f t="shared" si="7"/>
        <v>1.0050675675675675</v>
      </c>
      <c r="AK27" s="545">
        <f t="shared" si="8"/>
        <v>1.5154034229828852</v>
      </c>
      <c r="AL27" s="545">
        <f t="shared" si="9"/>
        <v>1.1193650793650793</v>
      </c>
      <c r="AM27" s="545">
        <f t="shared" si="10"/>
        <v>1.1222999695771221</v>
      </c>
      <c r="AN27" s="545">
        <f t="shared" si="11"/>
        <v>1.0904872389791183</v>
      </c>
      <c r="AO27" s="545">
        <f t="shared" si="12"/>
        <v>1.0080185693184216</v>
      </c>
      <c r="AP27" s="545">
        <f t="shared" si="13"/>
        <v>1.0393340651298939</v>
      </c>
      <c r="AQ27" s="545">
        <f t="shared" si="14"/>
        <v>1.0653183023872679</v>
      </c>
      <c r="AR27" s="546">
        <f t="shared" si="23"/>
        <v>1.1766021580392227</v>
      </c>
      <c r="AS27" s="546">
        <f t="shared" si="15"/>
        <v>0.15753790807421195</v>
      </c>
      <c r="AT27" s="547">
        <f t="shared" si="24"/>
        <v>0.13389224811277317</v>
      </c>
      <c r="AU27" s="548">
        <f t="shared" si="16"/>
        <v>1.0050675675675675</v>
      </c>
      <c r="AV27" s="548">
        <f t="shared" si="17"/>
        <v>1.5154034229828852</v>
      </c>
      <c r="AW27" s="430">
        <f t="shared" si="25"/>
        <v>1.1471985228376396</v>
      </c>
      <c r="AX27" s="430">
        <f t="shared" si="26"/>
        <v>102.92449437767573</v>
      </c>
      <c r="AY27" s="549">
        <f t="shared" si="18"/>
        <v>4976.7857142857147</v>
      </c>
      <c r="AZ27" s="549">
        <f>COUNT(B27:O27)</f>
        <v>14</v>
      </c>
      <c r="BA27" s="549">
        <f t="shared" si="20"/>
        <v>47682078.357142866</v>
      </c>
      <c r="BB27" s="549">
        <f t="shared" si="27"/>
        <v>522228.71591716592</v>
      </c>
      <c r="BC27" s="550">
        <f t="shared" si="30"/>
        <v>672.64682900645948</v>
      </c>
      <c r="BD27" s="551">
        <f t="shared" si="28"/>
        <v>722.65393925250692</v>
      </c>
      <c r="BE27" s="300">
        <f t="shared" si="29"/>
        <v>0.12433214311477039</v>
      </c>
    </row>
    <row r="28" spans="1:58" s="202" customFormat="1" x14ac:dyDescent="0.25">
      <c r="A28" s="362">
        <v>40788</v>
      </c>
      <c r="B28" s="326">
        <f>SUM('Daily Weir Counts'!B$8:B61)</f>
        <v>9143</v>
      </c>
      <c r="C28" s="326">
        <f>SUM('Daily Weir Counts'!N$8:N61)</f>
        <v>6423</v>
      </c>
      <c r="D28" s="326">
        <f>SUM('Daily Weir Counts'!U$8:U61)</f>
        <v>4143</v>
      </c>
      <c r="E28" s="326">
        <f>SUM('Daily Weir Counts'!V$8:V61)</f>
        <v>6344</v>
      </c>
      <c r="F28" s="326">
        <f>SUM('Daily Weir Counts'!W$8:W61)</f>
        <v>5491</v>
      </c>
      <c r="G28" s="326">
        <f>SUM('Daily Weir Counts'!X$8:X61)</f>
        <v>6903</v>
      </c>
      <c r="H28" s="326">
        <f>SUM('Daily Weir Counts'!Y$8:Y61)</f>
        <v>4144</v>
      </c>
      <c r="I28" s="326">
        <f>SUM('Daily Weir Counts'!Z$8:Z61)</f>
        <v>2049</v>
      </c>
      <c r="J28" s="326">
        <f>SUM('Daily Weir Counts'!AA$8:AA61)</f>
        <v>1575</v>
      </c>
      <c r="K28" s="326">
        <f>SUM('Daily Weir Counts'!AB$8:AB61)</f>
        <v>3307</v>
      </c>
      <c r="L28" s="326">
        <f>SUM('Daily Weir Counts'!AC$8:AC61)</f>
        <v>5359</v>
      </c>
      <c r="M28" s="326">
        <f>SUM('Daily Weir Counts'!AD$8:AD61)</f>
        <v>4742</v>
      </c>
      <c r="N28" s="326">
        <f>SUM('Daily Weir Counts'!AE$8:AE61)</f>
        <v>5468</v>
      </c>
      <c r="O28" s="326">
        <f>SUM('Daily Weir Counts'!AF$8:AF61)</f>
        <v>6089</v>
      </c>
      <c r="P28" s="345">
        <f t="shared" si="21"/>
        <v>0.8720908050362457</v>
      </c>
      <c r="Q28" s="345">
        <f t="shared" si="1"/>
        <v>0.78319717107669795</v>
      </c>
      <c r="R28" s="345">
        <f t="shared" si="1"/>
        <v>0.81699861960165643</v>
      </c>
      <c r="S28" s="345">
        <f t="shared" si="1"/>
        <v>0.90447676076418593</v>
      </c>
      <c r="T28" s="345">
        <f t="shared" si="1"/>
        <v>0.70280302060668121</v>
      </c>
      <c r="U28" s="345">
        <f t="shared" si="1"/>
        <v>0.91442575175519936</v>
      </c>
      <c r="V28" s="345">
        <f t="shared" si="1"/>
        <v>0.99495798319327733</v>
      </c>
      <c r="W28" s="345">
        <f t="shared" si="1"/>
        <v>0.66118102613746366</v>
      </c>
      <c r="X28" s="345">
        <f t="shared" si="1"/>
        <v>0.89336358479863864</v>
      </c>
      <c r="Y28" s="345">
        <f t="shared" si="1"/>
        <v>0.89644890214150175</v>
      </c>
      <c r="Z28" s="345">
        <f t="shared" si="1"/>
        <v>0.950177304964539</v>
      </c>
      <c r="AA28" s="345">
        <f t="shared" si="1"/>
        <v>0.99267322587397944</v>
      </c>
      <c r="AB28" s="345">
        <f t="shared" si="1"/>
        <v>0.96250660095053686</v>
      </c>
      <c r="AC28" s="345">
        <f t="shared" si="1"/>
        <v>0.94755680049797697</v>
      </c>
      <c r="AD28" s="346">
        <f t="shared" si="22"/>
        <v>1.1466695832877611</v>
      </c>
      <c r="AE28" s="346">
        <f t="shared" si="2"/>
        <v>1.2768176864393586</v>
      </c>
      <c r="AF28" s="346">
        <f t="shared" si="3"/>
        <v>1.2239922761284094</v>
      </c>
      <c r="AG28" s="346">
        <f t="shared" si="4"/>
        <v>1.1056116015132409</v>
      </c>
      <c r="AH28" s="346">
        <f t="shared" si="5"/>
        <v>1.4228737934802402</v>
      </c>
      <c r="AI28" s="346">
        <f t="shared" si="6"/>
        <v>1.0935825003621613</v>
      </c>
      <c r="AJ28" s="346">
        <f t="shared" si="7"/>
        <v>1.0050675675675675</v>
      </c>
      <c r="AK28" s="346">
        <f t="shared" si="8"/>
        <v>1.512445095168375</v>
      </c>
      <c r="AL28" s="346">
        <f t="shared" si="9"/>
        <v>1.1193650793650793</v>
      </c>
      <c r="AM28" s="346">
        <f t="shared" si="10"/>
        <v>1.1155125491381916</v>
      </c>
      <c r="AN28" s="346">
        <f t="shared" si="11"/>
        <v>1.0524351558126517</v>
      </c>
      <c r="AO28" s="346">
        <f t="shared" si="12"/>
        <v>1.0073808519611978</v>
      </c>
      <c r="AP28" s="346">
        <f t="shared" si="13"/>
        <v>1.0389539136795904</v>
      </c>
      <c r="AQ28" s="346">
        <f t="shared" si="14"/>
        <v>1.0553457053703399</v>
      </c>
      <c r="AR28" s="438">
        <f t="shared" si="23"/>
        <v>1.1554323828052975</v>
      </c>
      <c r="AS28" s="438">
        <f t="shared" si="15"/>
        <v>0.15352735240838095</v>
      </c>
      <c r="AT28" s="439">
        <f t="shared" si="24"/>
        <v>0.13287437213385764</v>
      </c>
      <c r="AU28" s="440">
        <f t="shared" si="16"/>
        <v>1.0050675675675675</v>
      </c>
      <c r="AV28" s="440">
        <f t="shared" si="17"/>
        <v>1.512445095168375</v>
      </c>
      <c r="AW28" s="430">
        <f t="shared" si="25"/>
        <v>1.1144657190416378</v>
      </c>
      <c r="AX28" s="430">
        <f t="shared" si="26"/>
        <v>146.02357990115888</v>
      </c>
      <c r="AY28" s="432">
        <f t="shared" si="18"/>
        <v>5084.2857142857147</v>
      </c>
      <c r="AZ28" s="432">
        <f t="shared" si="19"/>
        <v>14</v>
      </c>
      <c r="BA28" s="432">
        <f t="shared" si="20"/>
        <v>51131596.857142866</v>
      </c>
      <c r="BB28" s="432">
        <f t="shared" si="27"/>
        <v>459354.94355060969</v>
      </c>
      <c r="BC28" s="415">
        <f t="shared" si="30"/>
        <v>635.40452450282521</v>
      </c>
      <c r="BD28" s="455">
        <f t="shared" si="28"/>
        <v>677.7572895591826</v>
      </c>
      <c r="BE28" s="300">
        <f t="shared" si="29"/>
        <v>0.11660770355685685</v>
      </c>
    </row>
    <row r="29" spans="1:58" x14ac:dyDescent="0.25">
      <c r="A29" s="362">
        <v>40789</v>
      </c>
      <c r="B29" s="326">
        <f>SUM('Daily Weir Counts'!B$8:B62)</f>
        <v>9210</v>
      </c>
      <c r="C29" s="326">
        <f>SUM('Daily Weir Counts'!N$8:N62)</f>
        <v>6633</v>
      </c>
      <c r="D29" s="326">
        <f>SUM('Daily Weir Counts'!U$8:U62)</f>
        <v>4148</v>
      </c>
      <c r="E29" s="326">
        <f>SUM('Daily Weir Counts'!V$8:V62)</f>
        <v>6411</v>
      </c>
      <c r="F29" s="326">
        <f>SUM('Daily Weir Counts'!W$8:W62)</f>
        <v>6067</v>
      </c>
      <c r="G29" s="326">
        <f>SUM('Daily Weir Counts'!X$8:X62)</f>
        <v>6936</v>
      </c>
      <c r="H29" s="326">
        <f>SUM('Daily Weir Counts'!Y$8:Y62)</f>
        <v>4144</v>
      </c>
      <c r="I29" s="326">
        <f>SUM('Daily Weir Counts'!Z$8:Z62)</f>
        <v>2050</v>
      </c>
      <c r="J29" s="326">
        <f>SUM('Daily Weir Counts'!AA$8:AA62)</f>
        <v>1575</v>
      </c>
      <c r="K29" s="326">
        <f>SUM('Daily Weir Counts'!AB$8:AB62)</f>
        <v>3312</v>
      </c>
      <c r="L29" s="326">
        <f>SUM('Daily Weir Counts'!AC$8:AC62)</f>
        <v>5434</v>
      </c>
      <c r="M29" s="326">
        <f>SUM('Daily Weir Counts'!AD$8:AD62)</f>
        <v>4751</v>
      </c>
      <c r="N29" s="326">
        <f>SUM('Daily Weir Counts'!AE$8:AE62)</f>
        <v>5471</v>
      </c>
      <c r="O29" s="326">
        <f>SUM('Daily Weir Counts'!AF$8:AF62)</f>
        <v>6105</v>
      </c>
      <c r="P29" s="345">
        <f t="shared" si="21"/>
        <v>0.87848149561236166</v>
      </c>
      <c r="Q29" s="345">
        <f t="shared" si="1"/>
        <v>0.80880380441409583</v>
      </c>
      <c r="R29" s="345">
        <f t="shared" si="1"/>
        <v>0.81798461841845793</v>
      </c>
      <c r="S29" s="345">
        <f t="shared" si="1"/>
        <v>0.91402908468776733</v>
      </c>
      <c r="T29" s="345">
        <f t="shared" si="1"/>
        <v>0.77652630231665176</v>
      </c>
      <c r="U29" s="345">
        <f t="shared" si="1"/>
        <v>0.91879719168101737</v>
      </c>
      <c r="V29" s="345">
        <f t="shared" si="1"/>
        <v>0.99495798319327733</v>
      </c>
      <c r="W29" s="345">
        <f t="shared" si="1"/>
        <v>0.66150371087447568</v>
      </c>
      <c r="X29" s="345">
        <f t="shared" si="1"/>
        <v>0.89336358479863864</v>
      </c>
      <c r="Y29" s="345">
        <f t="shared" si="1"/>
        <v>0.897804283003524</v>
      </c>
      <c r="Z29" s="345">
        <f t="shared" si="1"/>
        <v>0.96347517730496457</v>
      </c>
      <c r="AA29" s="345">
        <f t="shared" si="1"/>
        <v>0.9945572535063848</v>
      </c>
      <c r="AB29" s="345">
        <f t="shared" si="1"/>
        <v>0.9630346769934871</v>
      </c>
      <c r="AC29" s="345">
        <f t="shared" si="1"/>
        <v>0.95004668534080294</v>
      </c>
      <c r="AD29" s="346">
        <f t="shared" si="22"/>
        <v>1.138327904451683</v>
      </c>
      <c r="AE29" s="346">
        <f t="shared" si="2"/>
        <v>1.2363937886325946</v>
      </c>
      <c r="AF29" s="346">
        <f t="shared" si="3"/>
        <v>1.2225168756027001</v>
      </c>
      <c r="AG29" s="346">
        <f t="shared" si="4"/>
        <v>1.0940570893776322</v>
      </c>
      <c r="AH29" s="346">
        <f t="shared" si="5"/>
        <v>1.2877863853634415</v>
      </c>
      <c r="AI29" s="346">
        <f t="shared" si="6"/>
        <v>1.0883794694348328</v>
      </c>
      <c r="AJ29" s="346">
        <f t="shared" si="7"/>
        <v>1.0050675675675675</v>
      </c>
      <c r="AK29" s="346">
        <f t="shared" si="8"/>
        <v>1.5117073170731707</v>
      </c>
      <c r="AL29" s="346">
        <f t="shared" si="9"/>
        <v>1.1193650793650793</v>
      </c>
      <c r="AM29" s="346">
        <f t="shared" si="10"/>
        <v>1.1138285024154588</v>
      </c>
      <c r="AN29" s="346">
        <f t="shared" si="11"/>
        <v>1.0379094589620905</v>
      </c>
      <c r="AO29" s="346">
        <f t="shared" si="12"/>
        <v>1.0054725320985056</v>
      </c>
      <c r="AP29" s="346">
        <f t="shared" si="13"/>
        <v>1.0383842076402852</v>
      </c>
      <c r="AQ29" s="346">
        <f t="shared" si="14"/>
        <v>1.0525798525798526</v>
      </c>
      <c r="AR29" s="438">
        <f t="shared" si="23"/>
        <v>1.1394125736117782</v>
      </c>
      <c r="AS29" s="438">
        <f t="shared" si="15"/>
        <v>0.13775312807523746</v>
      </c>
      <c r="AT29" s="439">
        <f>AS29/AR29</f>
        <v>0.12089837453573059</v>
      </c>
      <c r="AU29" s="440">
        <f t="shared" si="16"/>
        <v>1.0050675675675675</v>
      </c>
      <c r="AV29" s="440">
        <f t="shared" si="17"/>
        <v>1.5117073170731707</v>
      </c>
      <c r="AW29" s="430">
        <f t="shared" si="25"/>
        <v>1.1071848312502288</v>
      </c>
      <c r="AX29" s="430">
        <f t="shared" si="26"/>
        <v>98.658392618908692</v>
      </c>
      <c r="AY29" s="432">
        <f t="shared" si="18"/>
        <v>5160.5</v>
      </c>
      <c r="AZ29" s="432">
        <f t="shared" si="19"/>
        <v>14</v>
      </c>
      <c r="BA29" s="432">
        <f t="shared" si="20"/>
        <v>53341983.5</v>
      </c>
      <c r="BB29" s="432">
        <f t="shared" si="27"/>
        <v>302476.8569111657</v>
      </c>
      <c r="BC29" s="415">
        <f t="shared" si="30"/>
        <v>517.49406361880528</v>
      </c>
      <c r="BD29" s="455">
        <f t="shared" si="28"/>
        <v>549.97896042591094</v>
      </c>
      <c r="BE29" s="300">
        <f t="shared" si="29"/>
        <v>9.4623524627178296E-2</v>
      </c>
      <c r="BF29"/>
    </row>
    <row r="30" spans="1:58" x14ac:dyDescent="0.25">
      <c r="A30" s="362">
        <v>40790</v>
      </c>
      <c r="B30" s="326">
        <f>SUM('Daily Weir Counts'!B$8:B63)</f>
        <v>9480</v>
      </c>
      <c r="C30" s="326">
        <f>SUM('Daily Weir Counts'!N$8:N63)</f>
        <v>6666</v>
      </c>
      <c r="D30" s="326">
        <f>SUM('Daily Weir Counts'!U$8:U63)</f>
        <v>4182</v>
      </c>
      <c r="E30" s="326">
        <f>SUM('Daily Weir Counts'!V$8:V63)</f>
        <v>6453</v>
      </c>
      <c r="F30" s="326">
        <f>SUM('Daily Weir Counts'!W$8:W63)</f>
        <v>6533</v>
      </c>
      <c r="G30" s="326">
        <f>SUM('Daily Weir Counts'!X$8:X63)</f>
        <v>6975</v>
      </c>
      <c r="H30" s="326">
        <f>SUM('Daily Weir Counts'!Y$8:Y63)</f>
        <v>4144</v>
      </c>
      <c r="I30" s="326">
        <f>SUM('Daily Weir Counts'!Z$8:Z63)</f>
        <v>2129</v>
      </c>
      <c r="J30" s="326">
        <f>SUM('Daily Weir Counts'!AA$8:AA63)</f>
        <v>1578</v>
      </c>
      <c r="K30" s="326">
        <f>SUM('Daily Weir Counts'!AB$8:AB63)</f>
        <v>3365</v>
      </c>
      <c r="L30" s="326">
        <f>SUM('Daily Weir Counts'!AC$8:AC63)</f>
        <v>5479</v>
      </c>
      <c r="M30" s="326">
        <f>SUM('Daily Weir Counts'!AD$8:AD63)</f>
        <v>4760</v>
      </c>
      <c r="N30" s="326">
        <f>SUM('Daily Weir Counts'!AE$8:AE63)</f>
        <v>5500</v>
      </c>
      <c r="O30" s="326">
        <f>SUM('Daily Weir Counts'!AF$8:AF63)</f>
        <v>6129</v>
      </c>
      <c r="P30" s="345">
        <f t="shared" si="21"/>
        <v>0.90423502479969475</v>
      </c>
      <c r="Q30" s="345">
        <f t="shared" si="1"/>
        <v>0.81282770393854409</v>
      </c>
      <c r="R30" s="345">
        <f t="shared" si="1"/>
        <v>0.8246894103727076</v>
      </c>
      <c r="S30" s="345">
        <f t="shared" si="1"/>
        <v>0.92001710863986308</v>
      </c>
      <c r="T30" s="345">
        <f t="shared" si="1"/>
        <v>0.83617048508895431</v>
      </c>
      <c r="U30" s="345">
        <f t="shared" si="1"/>
        <v>0.92396343886607502</v>
      </c>
      <c r="V30" s="345">
        <f t="shared" si="1"/>
        <v>0.99495798319327733</v>
      </c>
      <c r="W30" s="345">
        <f t="shared" si="1"/>
        <v>0.68699580509841884</v>
      </c>
      <c r="X30" s="345">
        <f t="shared" si="1"/>
        <v>0.8950652297220647</v>
      </c>
      <c r="Y30" s="345">
        <f t="shared" si="1"/>
        <v>0.91217132014095959</v>
      </c>
      <c r="Z30" s="345">
        <f t="shared" si="1"/>
        <v>0.97145390070921989</v>
      </c>
      <c r="AA30" s="345">
        <f t="shared" si="1"/>
        <v>0.99644128113879005</v>
      </c>
      <c r="AB30" s="345">
        <f t="shared" si="1"/>
        <v>0.96813941207533882</v>
      </c>
      <c r="AC30" s="345">
        <f t="shared" si="1"/>
        <v>0.95378151260504207</v>
      </c>
      <c r="AD30" s="346">
        <f t="shared" si="22"/>
        <v>1.1059071729957806</v>
      </c>
      <c r="AE30" s="346">
        <f t="shared" si="2"/>
        <v>1.2302730273027302</v>
      </c>
      <c r="AF30" s="346">
        <f t="shared" si="3"/>
        <v>1.2125777140124341</v>
      </c>
      <c r="AG30" s="346">
        <f t="shared" si="4"/>
        <v>1.086936308693631</v>
      </c>
      <c r="AH30" s="346">
        <f t="shared" si="5"/>
        <v>1.195928363692025</v>
      </c>
      <c r="AI30" s="346">
        <f t="shared" si="6"/>
        <v>1.0822939068100359</v>
      </c>
      <c r="AJ30" s="346">
        <f t="shared" si="7"/>
        <v>1.0050675675675675</v>
      </c>
      <c r="AK30" s="346">
        <f t="shared" si="8"/>
        <v>1.4556129638327853</v>
      </c>
      <c r="AL30" s="346">
        <f t="shared" si="9"/>
        <v>1.1172370088719898</v>
      </c>
      <c r="AM30" s="346">
        <f t="shared" si="10"/>
        <v>1.0962852897473998</v>
      </c>
      <c r="AN30" s="346">
        <f t="shared" si="11"/>
        <v>1.0293849242562512</v>
      </c>
      <c r="AO30" s="346">
        <f t="shared" si="12"/>
        <v>1.0035714285714286</v>
      </c>
      <c r="AP30" s="346">
        <f t="shared" si="13"/>
        <v>1.032909090909091</v>
      </c>
      <c r="AQ30" s="346">
        <f t="shared" si="14"/>
        <v>1.0484581497797356</v>
      </c>
      <c r="AR30" s="438">
        <f t="shared" si="23"/>
        <v>1.1216030655030633</v>
      </c>
      <c r="AS30" s="438">
        <f t="shared" si="15"/>
        <v>0.12091280763251674</v>
      </c>
      <c r="AT30" s="439">
        <f t="shared" si="24"/>
        <v>0.10780356380203431</v>
      </c>
      <c r="AU30" s="440">
        <f t="shared" si="16"/>
        <v>1.0035714285714286</v>
      </c>
      <c r="AV30" s="440">
        <f t="shared" si="17"/>
        <v>1.4556129638327853</v>
      </c>
      <c r="AW30" s="430">
        <f t="shared" si="25"/>
        <v>1.0861577944987508</v>
      </c>
      <c r="AX30" s="430">
        <f t="shared" si="26"/>
        <v>119.81029601736827</v>
      </c>
      <c r="AY30" s="432">
        <f t="shared" si="18"/>
        <v>5240.9285714285716</v>
      </c>
      <c r="AZ30" s="432">
        <f t="shared" si="19"/>
        <v>14</v>
      </c>
      <c r="BA30" s="432">
        <f t="shared" si="20"/>
        <v>56234718.928571403</v>
      </c>
      <c r="BB30" s="432">
        <f t="shared" si="27"/>
        <v>223096.29882156255</v>
      </c>
      <c r="BC30" s="415">
        <f t="shared" si="30"/>
        <v>447.90858915180684</v>
      </c>
      <c r="BD30" s="455">
        <f t="shared" si="28"/>
        <v>472.33070916632403</v>
      </c>
      <c r="BE30" s="300">
        <f t="shared" si="29"/>
        <v>8.1264193190883058E-2</v>
      </c>
      <c r="BF30"/>
    </row>
    <row r="31" spans="1:58" x14ac:dyDescent="0.25">
      <c r="A31" s="362">
        <v>40791</v>
      </c>
      <c r="B31" s="326">
        <f>SUM('Daily Weir Counts'!B$8:B64)</f>
        <v>9540</v>
      </c>
      <c r="C31" s="326">
        <f>SUM('Daily Weir Counts'!N$8:N64)</f>
        <v>6688</v>
      </c>
      <c r="D31" s="326">
        <f>SUM('Daily Weir Counts'!U$8:U64)</f>
        <v>4255</v>
      </c>
      <c r="E31" s="326">
        <f>SUM('Daily Weir Counts'!V$8:V64)</f>
        <v>6488</v>
      </c>
      <c r="F31" s="326">
        <f>SUM('Daily Weir Counts'!W$8:W64)</f>
        <v>6669</v>
      </c>
      <c r="G31" s="326">
        <f>SUM('Daily Weir Counts'!X$8:X64)</f>
        <v>7018</v>
      </c>
      <c r="H31" s="326">
        <f>SUM('Daily Weir Counts'!Y$8:Y64)</f>
        <v>4144</v>
      </c>
      <c r="I31" s="326">
        <f>SUM('Daily Weir Counts'!Z$8:Z64)</f>
        <v>2696</v>
      </c>
      <c r="J31" s="326">
        <f>SUM('Daily Weir Counts'!AA$8:AA64)</f>
        <v>1581</v>
      </c>
      <c r="K31" s="326">
        <f>SUM('Daily Weir Counts'!AB$8:AB64)</f>
        <v>3401</v>
      </c>
      <c r="L31" s="326">
        <f>SUM('Daily Weir Counts'!AC$8:AC64)</f>
        <v>5513</v>
      </c>
      <c r="M31" s="326">
        <f>SUM('Daily Weir Counts'!AD$8:AD64)</f>
        <v>4760</v>
      </c>
      <c r="N31" s="326">
        <f>SUM('Daily Weir Counts'!AE$8:AE64)</f>
        <v>5515</v>
      </c>
      <c r="O31" s="326">
        <f>SUM('Daily Weir Counts'!AF$8:AF64)</f>
        <v>6243</v>
      </c>
      <c r="P31" s="345">
        <f t="shared" si="21"/>
        <v>0.9099580312857688</v>
      </c>
      <c r="Q31" s="345">
        <f t="shared" si="1"/>
        <v>0.81551030362150956</v>
      </c>
      <c r="R31" s="345">
        <f t="shared" si="1"/>
        <v>0.83908499309800832</v>
      </c>
      <c r="S31" s="345">
        <f t="shared" si="1"/>
        <v>0.92500712859994294</v>
      </c>
      <c r="T31" s="345">
        <f t="shared" si="1"/>
        <v>0.85357737104825293</v>
      </c>
      <c r="U31" s="345">
        <f t="shared" si="1"/>
        <v>0.92965955755729235</v>
      </c>
      <c r="V31" s="345">
        <f t="shared" si="1"/>
        <v>0.99495798319327733</v>
      </c>
      <c r="W31" s="345">
        <f t="shared" si="1"/>
        <v>0.86995805098418844</v>
      </c>
      <c r="X31" s="345">
        <f t="shared" si="1"/>
        <v>0.89676687464549065</v>
      </c>
      <c r="Y31" s="345">
        <f t="shared" si="1"/>
        <v>0.92193006234751962</v>
      </c>
      <c r="Z31" s="345">
        <f t="shared" si="1"/>
        <v>0.97748226950354611</v>
      </c>
      <c r="AA31" s="345">
        <f t="shared" si="1"/>
        <v>0.99644128113879005</v>
      </c>
      <c r="AB31" s="345">
        <f t="shared" si="1"/>
        <v>0.97077979229008982</v>
      </c>
      <c r="AC31" s="345">
        <f t="shared" si="1"/>
        <v>0.97152194211017739</v>
      </c>
      <c r="AD31" s="346">
        <f t="shared" si="22"/>
        <v>1.0989517819706498</v>
      </c>
      <c r="AE31" s="346">
        <f t="shared" si="2"/>
        <v>1.2262260765550239</v>
      </c>
      <c r="AF31" s="346">
        <f t="shared" si="3"/>
        <v>1.1917743830787308</v>
      </c>
      <c r="AG31" s="346">
        <f t="shared" si="4"/>
        <v>1.0810727496917387</v>
      </c>
      <c r="AH31" s="346">
        <f t="shared" si="5"/>
        <v>1.1715399610136452</v>
      </c>
      <c r="AI31" s="346">
        <f t="shared" si="6"/>
        <v>1.0756625819321743</v>
      </c>
      <c r="AJ31" s="346">
        <f t="shared" si="7"/>
        <v>1.0050675675675675</v>
      </c>
      <c r="AK31" s="346">
        <f t="shared" si="8"/>
        <v>1.1494807121661721</v>
      </c>
      <c r="AL31" s="346">
        <f t="shared" si="9"/>
        <v>1.1151170145477545</v>
      </c>
      <c r="AM31" s="346">
        <f t="shared" si="10"/>
        <v>1.0846809761834755</v>
      </c>
      <c r="AN31" s="346">
        <f t="shared" si="11"/>
        <v>1.0230364592780701</v>
      </c>
      <c r="AO31" s="346">
        <f t="shared" si="12"/>
        <v>1.0035714285714286</v>
      </c>
      <c r="AP31" s="346">
        <f t="shared" si="13"/>
        <v>1.0300997280145059</v>
      </c>
      <c r="AQ31" s="346">
        <f t="shared" si="14"/>
        <v>1.0293128303700145</v>
      </c>
      <c r="AR31" s="438">
        <f t="shared" si="23"/>
        <v>1.0918281607814966</v>
      </c>
      <c r="AS31" s="438">
        <f t="shared" si="15"/>
        <v>7.1531893960224205E-2</v>
      </c>
      <c r="AT31" s="439">
        <f t="shared" si="24"/>
        <v>6.5515707077040311E-2</v>
      </c>
      <c r="AU31" s="440">
        <f t="shared" si="16"/>
        <v>1.0035714285714286</v>
      </c>
      <c r="AV31" s="440">
        <f t="shared" si="17"/>
        <v>1.2262260765550239</v>
      </c>
      <c r="AW31" s="430">
        <f t="shared" si="25"/>
        <v>1.1133964910176484</v>
      </c>
      <c r="AX31" s="430">
        <f t="shared" si="26"/>
        <v>-113.44899587257078</v>
      </c>
      <c r="AY31" s="432">
        <f t="shared" si="18"/>
        <v>5322.2142857142853</v>
      </c>
      <c r="AZ31" s="432">
        <f t="shared" si="19"/>
        <v>14</v>
      </c>
      <c r="BA31" s="432">
        <f t="shared" si="20"/>
        <v>54053046.357142866</v>
      </c>
      <c r="BB31" s="432">
        <f t="shared" si="27"/>
        <v>167706.62937652791</v>
      </c>
      <c r="BC31" s="415">
        <f t="shared" si="30"/>
        <v>381.50546412842499</v>
      </c>
      <c r="BD31" s="455">
        <f t="shared" si="28"/>
        <v>409.51999875040036</v>
      </c>
      <c r="BE31" s="300">
        <f t="shared" si="29"/>
        <v>7.045765106554594E-2</v>
      </c>
      <c r="BF31"/>
    </row>
    <row r="32" spans="1:58" x14ac:dyDescent="0.25">
      <c r="A32" s="362">
        <v>40792</v>
      </c>
      <c r="B32" s="326">
        <f>SUM('Daily Weir Counts'!B$8:B65)</f>
        <v>9558</v>
      </c>
      <c r="C32" s="326">
        <f>SUM('Daily Weir Counts'!N$8:N65)</f>
        <v>6691</v>
      </c>
      <c r="D32" s="326">
        <f>SUM('Daily Weir Counts'!U$8:U65)</f>
        <v>4289</v>
      </c>
      <c r="E32" s="326">
        <f>SUM('Daily Weir Counts'!V$8:V65)</f>
        <v>6533</v>
      </c>
      <c r="F32" s="326">
        <f>SUM('Daily Weir Counts'!W$8:W65)</f>
        <v>6794</v>
      </c>
      <c r="G32" s="326">
        <f>SUM('Daily Weir Counts'!X$8:X65)</f>
        <v>7073</v>
      </c>
      <c r="H32" s="326">
        <f>SUM('Daily Weir Counts'!Y$8:Y65)</f>
        <v>4144</v>
      </c>
      <c r="I32" s="326">
        <f>SUM('Daily Weir Counts'!Z$8:Z65)</f>
        <v>3013</v>
      </c>
      <c r="J32" s="326">
        <f>SUM('Daily Weir Counts'!AA$8:AA65)</f>
        <v>1589</v>
      </c>
      <c r="K32" s="326">
        <f>SUM('Daily Weir Counts'!AB$8:AB65)</f>
        <v>3424</v>
      </c>
      <c r="L32" s="326">
        <f>SUM('Daily Weir Counts'!AC$8:AC65)</f>
        <v>5528</v>
      </c>
      <c r="M32" s="326">
        <f>SUM('Daily Weir Counts'!AD$8:AD65)</f>
        <v>4760</v>
      </c>
      <c r="N32" s="326">
        <f>SUM('Daily Weir Counts'!AE$8:AE65)</f>
        <v>5516</v>
      </c>
      <c r="O32" s="326">
        <f>SUM('Daily Weir Counts'!AF$8:AF65)</f>
        <v>6270</v>
      </c>
      <c r="P32" s="345">
        <f t="shared" si="21"/>
        <v>0.91167493323159099</v>
      </c>
      <c r="Q32" s="345">
        <f t="shared" si="1"/>
        <v>0.81587611266918669</v>
      </c>
      <c r="R32" s="345">
        <f t="shared" si="1"/>
        <v>0.84578978505225799</v>
      </c>
      <c r="S32" s="345">
        <f t="shared" si="1"/>
        <v>0.931422868548617</v>
      </c>
      <c r="T32" s="345">
        <f t="shared" si="1"/>
        <v>0.86957634711378473</v>
      </c>
      <c r="U32" s="345">
        <f t="shared" si="1"/>
        <v>0.93694529076698896</v>
      </c>
      <c r="V32" s="345">
        <f t="shared" si="1"/>
        <v>0.99495798319327733</v>
      </c>
      <c r="W32" s="345">
        <f t="shared" si="1"/>
        <v>0.97224911261697322</v>
      </c>
      <c r="X32" s="345">
        <f t="shared" si="1"/>
        <v>0.90130459444129329</v>
      </c>
      <c r="Y32" s="345">
        <f t="shared" si="1"/>
        <v>0.92816481431282194</v>
      </c>
      <c r="Z32" s="345">
        <f t="shared" si="1"/>
        <v>0.98014184397163118</v>
      </c>
      <c r="AA32" s="345">
        <f t="shared" si="1"/>
        <v>0.99644128113879005</v>
      </c>
      <c r="AB32" s="345">
        <f t="shared" si="1"/>
        <v>0.97095581763773986</v>
      </c>
      <c r="AC32" s="345">
        <f t="shared" si="1"/>
        <v>0.97572362278244629</v>
      </c>
      <c r="AD32" s="346">
        <f t="shared" si="22"/>
        <v>1.0968821929273906</v>
      </c>
      <c r="AE32" s="346">
        <f t="shared" si="2"/>
        <v>1.2256762815722613</v>
      </c>
      <c r="AF32" s="346">
        <f t="shared" si="3"/>
        <v>1.1823268827232454</v>
      </c>
      <c r="AG32" s="346">
        <f t="shared" si="4"/>
        <v>1.0736262054186438</v>
      </c>
      <c r="AH32" s="346">
        <f t="shared" si="5"/>
        <v>1.1499852811304092</v>
      </c>
      <c r="AI32" s="346">
        <f t="shared" si="6"/>
        <v>1.067298176162873</v>
      </c>
      <c r="AJ32" s="346">
        <f t="shared" si="7"/>
        <v>1.0050675675675675</v>
      </c>
      <c r="AK32" s="346">
        <f t="shared" si="8"/>
        <v>1.0285429804181878</v>
      </c>
      <c r="AL32" s="346">
        <f t="shared" si="9"/>
        <v>1.1095028319697922</v>
      </c>
      <c r="AM32" s="346">
        <f t="shared" si="10"/>
        <v>1.077394859813084</v>
      </c>
      <c r="AN32" s="346">
        <f t="shared" si="11"/>
        <v>1.0202604920405209</v>
      </c>
      <c r="AO32" s="346">
        <f t="shared" si="12"/>
        <v>1.0035714285714286</v>
      </c>
      <c r="AP32" s="346">
        <f t="shared" si="13"/>
        <v>1.0299129804205946</v>
      </c>
      <c r="AQ32" s="346">
        <f t="shared" si="14"/>
        <v>1.0248803827751196</v>
      </c>
      <c r="AR32" s="438">
        <f t="shared" si="23"/>
        <v>1.0782091816793655</v>
      </c>
      <c r="AS32" s="438">
        <f t="shared" si="15"/>
        <v>6.8572979840907947E-2</v>
      </c>
      <c r="AT32" s="439">
        <f t="shared" si="24"/>
        <v>6.3598957425035144E-2</v>
      </c>
      <c r="AU32" s="440">
        <f t="shared" si="16"/>
        <v>1.0035714285714286</v>
      </c>
      <c r="AV32" s="440">
        <f t="shared" si="17"/>
        <v>1.2256762815722613</v>
      </c>
      <c r="AW32" s="430">
        <f t="shared" si="25"/>
        <v>1.1246145718430338</v>
      </c>
      <c r="AX32" s="430">
        <f t="shared" si="26"/>
        <v>-227.05519573592574</v>
      </c>
      <c r="AY32" s="432">
        <f t="shared" si="18"/>
        <v>5370.1428571428569</v>
      </c>
      <c r="AZ32" s="432">
        <f t="shared" si="19"/>
        <v>14</v>
      </c>
      <c r="BA32" s="432">
        <f t="shared" si="20"/>
        <v>53103281.714285731</v>
      </c>
      <c r="BB32" s="432">
        <f t="shared" si="27"/>
        <v>154719.66031243323</v>
      </c>
      <c r="BC32" s="415">
        <f t="shared" si="30"/>
        <v>375.86656436386914</v>
      </c>
      <c r="BD32" s="455">
        <f t="shared" si="28"/>
        <v>393.34420081200284</v>
      </c>
      <c r="BE32" s="300">
        <f t="shared" si="29"/>
        <v>6.7674615486506898E-2</v>
      </c>
      <c r="BF32"/>
    </row>
    <row r="33" spans="1:58" x14ac:dyDescent="0.25">
      <c r="A33" s="362">
        <v>40793</v>
      </c>
      <c r="B33" s="326">
        <f>SUM('Daily Weir Counts'!B$8:B66)</f>
        <v>9560</v>
      </c>
      <c r="C33" s="326">
        <f>SUM('Daily Weir Counts'!N$8:N66)</f>
        <v>6702</v>
      </c>
      <c r="D33" s="326">
        <f>SUM('Daily Weir Counts'!U$8:U66)</f>
        <v>4315</v>
      </c>
      <c r="E33" s="326">
        <f>SUM('Daily Weir Counts'!V$8:V66)</f>
        <v>6563</v>
      </c>
      <c r="F33" s="326">
        <f>SUM('Daily Weir Counts'!W$8:W66)</f>
        <v>7029</v>
      </c>
      <c r="G33" s="326">
        <f>SUM('Daily Weir Counts'!X$8:X66)</f>
        <v>7201</v>
      </c>
      <c r="H33" s="326">
        <f>SUM('Daily Weir Counts'!Y$8:Y66)</f>
        <v>4146</v>
      </c>
      <c r="I33" s="326">
        <f>SUM('Daily Weir Counts'!Z$8:Z66)</f>
        <v>3058</v>
      </c>
      <c r="J33" s="326">
        <f>SUM('Daily Weir Counts'!AA$8:AA66)</f>
        <v>1589</v>
      </c>
      <c r="K33" s="326">
        <f>SUM('Daily Weir Counts'!AB$8:AB66)</f>
        <v>3424</v>
      </c>
      <c r="L33" s="326">
        <f>SUM('Daily Weir Counts'!AC$8:AC66)</f>
        <v>5548</v>
      </c>
      <c r="M33" s="326">
        <f>SUM('Daily Weir Counts'!AD$8:AD66)</f>
        <v>4760</v>
      </c>
      <c r="N33" s="326">
        <f>SUM('Daily Weir Counts'!AE$8:AE66)</f>
        <v>5518</v>
      </c>
      <c r="O33" s="326">
        <f>SUM('Daily Weir Counts'!AF$8:AF66)</f>
        <v>6292</v>
      </c>
      <c r="P33" s="345">
        <f t="shared" si="21"/>
        <v>0.91186570011446011</v>
      </c>
      <c r="Q33" s="345">
        <f t="shared" si="1"/>
        <v>0.81721741251066948</v>
      </c>
      <c r="R33" s="345">
        <f t="shared" si="1"/>
        <v>0.85091697889962536</v>
      </c>
      <c r="S33" s="345">
        <f t="shared" si="1"/>
        <v>0.93570002851439982</v>
      </c>
      <c r="T33" s="345">
        <f t="shared" si="1"/>
        <v>0.89965442211698454</v>
      </c>
      <c r="U33" s="345">
        <f t="shared" si="1"/>
        <v>0.9539011789641012</v>
      </c>
      <c r="V33" s="345">
        <f t="shared" si="1"/>
        <v>0.99543817527010803</v>
      </c>
      <c r="W33" s="345">
        <f t="shared" si="1"/>
        <v>0.98676992578251044</v>
      </c>
      <c r="X33" s="345">
        <f t="shared" si="1"/>
        <v>0.90130459444129329</v>
      </c>
      <c r="Y33" s="345">
        <f t="shared" si="1"/>
        <v>0.92816481431282194</v>
      </c>
      <c r="Z33" s="345">
        <f t="shared" si="1"/>
        <v>0.98368794326241138</v>
      </c>
      <c r="AA33" s="345">
        <f t="shared" si="1"/>
        <v>0.99644128113879005</v>
      </c>
      <c r="AB33" s="345">
        <f t="shared" si="1"/>
        <v>0.97130786833303995</v>
      </c>
      <c r="AC33" s="345">
        <f t="shared" si="1"/>
        <v>0.97914721444133213</v>
      </c>
      <c r="AD33" s="346">
        <f t="shared" si="22"/>
        <v>1.096652719665272</v>
      </c>
      <c r="AE33" s="346">
        <f t="shared" si="2"/>
        <v>1.2236645777379886</v>
      </c>
      <c r="AF33" s="346">
        <f t="shared" si="3"/>
        <v>1.1752027809965238</v>
      </c>
      <c r="AG33" s="346">
        <f t="shared" si="4"/>
        <v>1.0687185738229468</v>
      </c>
      <c r="AH33" s="346">
        <f t="shared" si="5"/>
        <v>1.1115379143548156</v>
      </c>
      <c r="AI33" s="346">
        <f t="shared" si="6"/>
        <v>1.0483266213025968</v>
      </c>
      <c r="AJ33" s="346">
        <f t="shared" si="7"/>
        <v>1.0045827303424988</v>
      </c>
      <c r="AK33" s="346">
        <f t="shared" si="8"/>
        <v>1.0134074558534991</v>
      </c>
      <c r="AL33" s="346">
        <f t="shared" si="9"/>
        <v>1.1095028319697922</v>
      </c>
      <c r="AM33" s="346">
        <f t="shared" si="10"/>
        <v>1.077394859813084</v>
      </c>
      <c r="AN33" s="346">
        <f t="shared" si="11"/>
        <v>1.0165825522710887</v>
      </c>
      <c r="AO33" s="346">
        <f t="shared" si="12"/>
        <v>1.0035714285714286</v>
      </c>
      <c r="AP33" s="346">
        <f t="shared" si="13"/>
        <v>1.0295396882928598</v>
      </c>
      <c r="AQ33" s="346">
        <f t="shared" si="14"/>
        <v>1.0212968849332484</v>
      </c>
      <c r="AR33" s="438">
        <f t="shared" si="23"/>
        <v>1.0714272585662603</v>
      </c>
      <c r="AS33" s="438">
        <f t="shared" si="15"/>
        <v>6.6755324654557552E-2</v>
      </c>
      <c r="AT33" s="439">
        <f t="shared" si="24"/>
        <v>6.2305046022337315E-2</v>
      </c>
      <c r="AU33" s="440">
        <f t="shared" si="16"/>
        <v>1.0035714285714286</v>
      </c>
      <c r="AV33" s="440">
        <f t="shared" si="17"/>
        <v>1.2236645777379886</v>
      </c>
      <c r="AW33" s="430">
        <f t="shared" si="25"/>
        <v>1.114415878451203</v>
      </c>
      <c r="AX33" s="430">
        <f t="shared" si="26"/>
        <v>-213.91814843916563</v>
      </c>
      <c r="AY33" s="432">
        <f t="shared" si="18"/>
        <v>5407.5</v>
      </c>
      <c r="AZ33" s="432">
        <f t="shared" si="19"/>
        <v>14</v>
      </c>
      <c r="BA33" s="432">
        <f t="shared" si="20"/>
        <v>54153921.5</v>
      </c>
      <c r="BB33" s="432">
        <f t="shared" si="27"/>
        <v>147037.14473096069</v>
      </c>
      <c r="BC33" s="415">
        <f t="shared" si="30"/>
        <v>365.40946189989324</v>
      </c>
      <c r="BD33" s="455">
        <f t="shared" si="28"/>
        <v>383.45422768690486</v>
      </c>
      <c r="BE33" s="300">
        <f t="shared" si="29"/>
        <v>6.5973052003350879E-2</v>
      </c>
      <c r="BF33"/>
    </row>
    <row r="34" spans="1:58" x14ac:dyDescent="0.25">
      <c r="A34" s="363">
        <v>40794</v>
      </c>
      <c r="B34" s="358">
        <f>SUM('Daily Weir Counts'!B$8:B67)</f>
        <v>9573</v>
      </c>
      <c r="C34" s="358">
        <f>SUM('Daily Weir Counts'!N$8:N67)</f>
        <v>6713</v>
      </c>
      <c r="D34" s="358">
        <f>SUM('Daily Weir Counts'!U$8:U67)</f>
        <v>4323</v>
      </c>
      <c r="E34" s="358">
        <f>SUM('Daily Weir Counts'!V$8:V67)</f>
        <v>6589</v>
      </c>
      <c r="F34" s="358">
        <f>SUM('Daily Weir Counts'!W$8:W67)</f>
        <v>7178</v>
      </c>
      <c r="G34" s="358">
        <f>SUM('Daily Weir Counts'!X$8:X67)</f>
        <v>7227</v>
      </c>
      <c r="H34" s="358">
        <f>SUM('Daily Weir Counts'!Y$8:Y67)</f>
        <v>4150</v>
      </c>
      <c r="I34" s="358">
        <f>SUM('Daily Weir Counts'!Z$8:Z67)</f>
        <v>3075</v>
      </c>
      <c r="J34" s="358">
        <f>SUM('Daily Weir Counts'!AA$8:AA67)</f>
        <v>1599</v>
      </c>
      <c r="K34" s="358">
        <f>SUM('Daily Weir Counts'!AB$8:AB67)</f>
        <v>3460</v>
      </c>
      <c r="L34" s="358">
        <f>SUM('Daily Weir Counts'!AC$8:AC67)</f>
        <v>5567</v>
      </c>
      <c r="M34" s="358">
        <f>SUM('Daily Weir Counts'!AD$8:AD67)</f>
        <v>4769</v>
      </c>
      <c r="N34" s="358">
        <f>SUM('Daily Weir Counts'!AE$8:AE67)</f>
        <v>5531</v>
      </c>
      <c r="O34" s="358">
        <f>SUM('Daily Weir Counts'!AF$8:AF67)</f>
        <v>6300</v>
      </c>
      <c r="P34" s="359">
        <f t="shared" si="21"/>
        <v>0.9131056848531095</v>
      </c>
      <c r="Q34" s="359">
        <f t="shared" si="1"/>
        <v>0.81855871235215216</v>
      </c>
      <c r="R34" s="359">
        <f t="shared" si="1"/>
        <v>0.85249457700650755</v>
      </c>
      <c r="S34" s="359">
        <f t="shared" si="1"/>
        <v>0.93940690048474484</v>
      </c>
      <c r="T34" s="359">
        <f t="shared" si="1"/>
        <v>0.91872520158709847</v>
      </c>
      <c r="U34" s="359">
        <f t="shared" si="1"/>
        <v>0.9573453437541396</v>
      </c>
      <c r="V34" s="359">
        <f t="shared" si="1"/>
        <v>0.99639855942376954</v>
      </c>
      <c r="W34" s="359">
        <f t="shared" si="1"/>
        <v>0.99225556631171341</v>
      </c>
      <c r="X34" s="359">
        <f t="shared" si="1"/>
        <v>0.90697674418604646</v>
      </c>
      <c r="Y34" s="359">
        <f t="shared" si="1"/>
        <v>0.93792355651938197</v>
      </c>
      <c r="Z34" s="359">
        <f t="shared" si="1"/>
        <v>0.98705673758865253</v>
      </c>
      <c r="AA34" s="359">
        <f t="shared" si="1"/>
        <v>0.9983253087711953</v>
      </c>
      <c r="AB34" s="359">
        <f t="shared" si="1"/>
        <v>0.97359619785249074</v>
      </c>
      <c r="AC34" s="359">
        <f t="shared" si="1"/>
        <v>0.98039215686274506</v>
      </c>
      <c r="AD34" s="360">
        <f t="shared" si="22"/>
        <v>1.0951634806225843</v>
      </c>
      <c r="AE34" s="360">
        <f t="shared" si="2"/>
        <v>1.2216594667063907</v>
      </c>
      <c r="AF34" s="360">
        <f t="shared" si="3"/>
        <v>1.1730279898218829</v>
      </c>
      <c r="AG34" s="360">
        <f t="shared" si="4"/>
        <v>1.0645014417969343</v>
      </c>
      <c r="AH34" s="360">
        <f t="shared" si="5"/>
        <v>1.088464753413207</v>
      </c>
      <c r="AI34" s="360">
        <f t="shared" si="6"/>
        <v>1.0445551404455515</v>
      </c>
      <c r="AJ34" s="360">
        <f t="shared" si="7"/>
        <v>1.0036144578313253</v>
      </c>
      <c r="AK34" s="360">
        <f t="shared" si="8"/>
        <v>1.0078048780487805</v>
      </c>
      <c r="AL34" s="360">
        <f t="shared" si="9"/>
        <v>1.1025641025641026</v>
      </c>
      <c r="AM34" s="360">
        <f t="shared" si="10"/>
        <v>1.0661849710982658</v>
      </c>
      <c r="AN34" s="360">
        <f t="shared" si="11"/>
        <v>1.0131129872462725</v>
      </c>
      <c r="AO34" s="360">
        <f t="shared" si="12"/>
        <v>1.0016775005242189</v>
      </c>
      <c r="AP34" s="360">
        <f t="shared" si="13"/>
        <v>1.0271198698246249</v>
      </c>
      <c r="AQ34" s="360">
        <f t="shared" si="14"/>
        <v>1.02</v>
      </c>
      <c r="AR34" s="441">
        <f t="shared" si="23"/>
        <v>1.0663893599960101</v>
      </c>
      <c r="AS34" s="441">
        <f t="shared" si="15"/>
        <v>6.6028967809695402E-2</v>
      </c>
      <c r="AT34" s="442">
        <f t="shared" si="24"/>
        <v>6.1918254520039892E-2</v>
      </c>
      <c r="AU34" s="443">
        <f t="shared" si="16"/>
        <v>1.0016775005242189</v>
      </c>
      <c r="AV34" s="443">
        <f t="shared" si="17"/>
        <v>1.2216594667063907</v>
      </c>
      <c r="AW34" s="430">
        <f t="shared" si="25"/>
        <v>1.1097953554543152</v>
      </c>
      <c r="AX34" s="430">
        <f>INTERCEPT($B$35:$O$35,B34:O34)</f>
        <v>-216.59828312303489</v>
      </c>
      <c r="AY34" s="433">
        <f t="shared" si="18"/>
        <v>5432.4285714285716</v>
      </c>
      <c r="AZ34" s="433">
        <f t="shared" si="19"/>
        <v>14</v>
      </c>
      <c r="BA34" s="433">
        <f t="shared" si="20"/>
        <v>54628575.428571403</v>
      </c>
      <c r="BB34" s="433">
        <f>AR72</f>
        <v>144698.42838238168</v>
      </c>
      <c r="BC34" s="416">
        <f t="shared" si="30"/>
        <v>362.97064402781308</v>
      </c>
      <c r="BD34" s="455">
        <f>AS72</f>
        <v>380.39246625344947</v>
      </c>
      <c r="BE34" s="300">
        <f t="shared" si="29"/>
        <v>6.5446277927890331E-2</v>
      </c>
      <c r="BF34"/>
    </row>
    <row r="35" spans="1:58" s="120" customFormat="1" x14ac:dyDescent="0.25">
      <c r="A35" s="337" t="s">
        <v>188</v>
      </c>
      <c r="B35" s="326">
        <f>'Daily Weir Counts'!B6</f>
        <v>10484</v>
      </c>
      <c r="C35" s="326">
        <f>'Daily Weir Counts'!N6</f>
        <v>8201</v>
      </c>
      <c r="D35" s="326">
        <f>'Daily Weir Counts'!U6</f>
        <v>5071</v>
      </c>
      <c r="E35" s="326">
        <f>'Daily Weir Counts'!V6</f>
        <v>7014</v>
      </c>
      <c r="F35" s="326">
        <f>'Daily Weir Counts'!W6</f>
        <v>7813</v>
      </c>
      <c r="G35" s="326">
        <f>'Daily Weir Counts'!X6</f>
        <v>7549</v>
      </c>
      <c r="H35" s="326">
        <f>'Daily Weir Counts'!Y6</f>
        <v>4165</v>
      </c>
      <c r="I35" s="326">
        <f>'Daily Weir Counts'!Z6</f>
        <v>3099</v>
      </c>
      <c r="J35" s="326">
        <f>'Daily Weir Counts'!AA6</f>
        <v>1763</v>
      </c>
      <c r="K35" s="326">
        <f>'Daily Weir Counts'!AB6</f>
        <v>3689</v>
      </c>
      <c r="L35" s="326">
        <f>'Daily Weir Counts'!AC6</f>
        <v>5640</v>
      </c>
      <c r="M35" s="326">
        <f>'Daily Weir Counts'!AD6</f>
        <v>4777</v>
      </c>
      <c r="N35" s="326">
        <f>'Daily Weir Counts'!AE6</f>
        <v>5681</v>
      </c>
      <c r="O35" s="326">
        <f>'Daily Weir Counts'!AF6</f>
        <v>6426</v>
      </c>
      <c r="P35" s="338"/>
      <c r="Q35" s="338"/>
      <c r="R35" s="338"/>
      <c r="S35" s="338"/>
      <c r="T35" s="338"/>
      <c r="U35" s="338"/>
      <c r="V35" s="338"/>
      <c r="W35" s="338"/>
      <c r="X35" s="338"/>
      <c r="Y35" s="338"/>
      <c r="Z35" s="338"/>
      <c r="AA35" s="338"/>
      <c r="AB35" s="338"/>
      <c r="AC35" s="338"/>
      <c r="AD35" s="338"/>
      <c r="AE35" s="338"/>
      <c r="AF35" s="338"/>
      <c r="AG35" s="338"/>
      <c r="AH35" s="338"/>
      <c r="AI35" s="338"/>
      <c r="AJ35" s="338"/>
      <c r="AK35" s="338"/>
      <c r="AL35" s="338"/>
      <c r="AM35" s="338"/>
      <c r="AN35" s="327"/>
      <c r="AO35" s="338"/>
      <c r="AP35" s="338"/>
      <c r="AQ35" s="339"/>
      <c r="AR35" s="339"/>
      <c r="AS35" s="339"/>
      <c r="AT35" s="340"/>
      <c r="AU35" s="340"/>
      <c r="AV35" s="340"/>
      <c r="AW35" s="341"/>
      <c r="AX35" s="341"/>
      <c r="AY35" s="341"/>
      <c r="AZ35" s="341"/>
      <c r="BA35" s="341"/>
      <c r="BB35" s="342"/>
      <c r="BC35" s="303"/>
      <c r="BD35" s="342"/>
      <c r="BE35" s="483"/>
      <c r="BF35" s="483"/>
    </row>
    <row r="36" spans="1:58" s="120" customFormat="1" x14ac:dyDescent="0.25">
      <c r="A36" s="325" t="s">
        <v>162</v>
      </c>
      <c r="B36" s="326"/>
      <c r="C36" s="326"/>
      <c r="D36" s="326"/>
      <c r="E36" s="326"/>
      <c r="F36" s="326"/>
      <c r="G36" s="326"/>
      <c r="H36" s="326"/>
      <c r="I36" s="326"/>
      <c r="J36" s="326"/>
      <c r="K36" s="326"/>
      <c r="L36" s="326"/>
      <c r="M36" s="326"/>
      <c r="N36" s="326"/>
      <c r="O36" s="338"/>
      <c r="P36" s="338"/>
      <c r="Q36" s="338"/>
      <c r="R36" s="338"/>
      <c r="S36" s="338"/>
      <c r="T36" s="338"/>
      <c r="U36" s="338"/>
      <c r="V36" s="338"/>
      <c r="W36" s="338"/>
      <c r="X36" s="338"/>
      <c r="Y36" s="338"/>
      <c r="Z36" s="338"/>
      <c r="AA36" s="338"/>
      <c r="AB36" s="338"/>
      <c r="AC36" s="338"/>
      <c r="AD36" s="338"/>
      <c r="AE36" s="338"/>
      <c r="AF36" s="338"/>
      <c r="AG36" s="338"/>
      <c r="AH36" s="338"/>
      <c r="AI36" s="338"/>
      <c r="AJ36" s="338"/>
      <c r="AK36" s="338"/>
      <c r="AL36" s="338"/>
      <c r="AM36" s="338"/>
      <c r="AN36" s="327"/>
      <c r="AO36" s="338"/>
      <c r="AP36" s="338"/>
      <c r="AQ36" s="339"/>
      <c r="AR36" s="339"/>
      <c r="AS36" s="339"/>
      <c r="AT36" s="340"/>
      <c r="AU36" s="340"/>
      <c r="AV36" s="340"/>
      <c r="AW36" s="341"/>
      <c r="AX36" s="341"/>
      <c r="AY36" s="341"/>
      <c r="AZ36" s="341"/>
      <c r="BA36" s="341"/>
      <c r="BB36" s="342"/>
      <c r="BC36" s="303"/>
      <c r="BD36" s="342"/>
      <c r="BE36" s="483"/>
      <c r="BF36" s="483"/>
    </row>
    <row r="37" spans="1:58" x14ac:dyDescent="0.25">
      <c r="A37" s="354" t="s">
        <v>155</v>
      </c>
      <c r="O37" s="427"/>
      <c r="P37" s="427"/>
      <c r="Q37" s="427"/>
      <c r="R37" s="427"/>
      <c r="S37" s="427"/>
      <c r="T37" s="427"/>
      <c r="U37" s="427"/>
      <c r="V37" s="427"/>
      <c r="W37" s="427"/>
      <c r="X37" s="427"/>
      <c r="Y37" s="427"/>
      <c r="Z37" s="427"/>
      <c r="AA37" s="427"/>
      <c r="AB37" s="427"/>
      <c r="AC37" s="427"/>
      <c r="AD37" s="427"/>
    </row>
    <row r="38" spans="1:58" x14ac:dyDescent="0.25">
      <c r="B38" s="300">
        <f>B34/B35</f>
        <v>0.9131056848531095</v>
      </c>
      <c r="C38" s="300">
        <f t="shared" ref="C38:O38" si="31">C34/C35</f>
        <v>0.81855871235215216</v>
      </c>
      <c r="D38" s="300">
        <f t="shared" si="31"/>
        <v>0.85249457700650755</v>
      </c>
      <c r="E38" s="300">
        <f t="shared" si="31"/>
        <v>0.93940690048474484</v>
      </c>
      <c r="F38" s="300">
        <f t="shared" si="31"/>
        <v>0.91872520158709847</v>
      </c>
      <c r="G38" s="300">
        <f t="shared" si="31"/>
        <v>0.9573453437541396</v>
      </c>
      <c r="H38" s="300">
        <f t="shared" si="31"/>
        <v>0.99639855942376954</v>
      </c>
      <c r="I38" s="300">
        <f t="shared" si="31"/>
        <v>0.99225556631171341</v>
      </c>
      <c r="J38" s="300">
        <f t="shared" si="31"/>
        <v>0.90697674418604646</v>
      </c>
      <c r="K38" s="300">
        <f t="shared" si="31"/>
        <v>0.93792355651938197</v>
      </c>
      <c r="L38" s="300">
        <f t="shared" si="31"/>
        <v>0.98705673758865253</v>
      </c>
      <c r="M38" s="300">
        <f t="shared" si="31"/>
        <v>0.9983253087711953</v>
      </c>
      <c r="N38" s="300">
        <f t="shared" si="31"/>
        <v>0.97359619785249074</v>
      </c>
      <c r="O38" s="300">
        <f t="shared" si="31"/>
        <v>0.98039215686274506</v>
      </c>
    </row>
    <row r="39" spans="1:58" s="117" customFormat="1" ht="15.75" x14ac:dyDescent="0.25">
      <c r="A39" s="298" t="s">
        <v>82</v>
      </c>
      <c r="B39" s="298"/>
      <c r="C39" s="298"/>
      <c r="D39" s="298"/>
      <c r="E39" s="298"/>
      <c r="F39" s="298"/>
      <c r="G39" s="298"/>
      <c r="H39" s="298"/>
      <c r="I39" s="298"/>
      <c r="J39" s="298"/>
      <c r="K39" s="298"/>
      <c r="L39" s="298"/>
      <c r="M39" s="298"/>
      <c r="N39" s="298"/>
      <c r="O39" s="298"/>
      <c r="P39" s="298"/>
      <c r="Q39" s="298"/>
      <c r="R39" s="298"/>
      <c r="S39" s="298"/>
      <c r="T39" s="298"/>
      <c r="U39" s="298"/>
      <c r="V39" s="298"/>
      <c r="W39" s="298"/>
      <c r="X39" s="298"/>
      <c r="Y39" s="298"/>
      <c r="Z39" s="298"/>
      <c r="AA39" s="298"/>
      <c r="AB39" s="298"/>
      <c r="AC39" s="298"/>
      <c r="AD39" s="298"/>
      <c r="AE39" s="298"/>
      <c r="AF39" s="298"/>
      <c r="AG39" s="298"/>
      <c r="AH39" s="298"/>
      <c r="AI39" s="298"/>
      <c r="AJ39" s="298"/>
      <c r="AK39" s="298"/>
      <c r="AL39" s="298"/>
      <c r="AM39" s="298"/>
      <c r="AN39" s="298"/>
      <c r="AO39" s="298"/>
      <c r="AP39" s="298"/>
      <c r="AQ39" s="298"/>
      <c r="AR39" s="298"/>
      <c r="AS39" s="298"/>
      <c r="AT39" s="298"/>
      <c r="AU39" s="298"/>
      <c r="AV39" s="298"/>
      <c r="AW39" s="298"/>
      <c r="AX39" s="298"/>
      <c r="AY39" s="298"/>
      <c r="AZ39" s="343"/>
      <c r="BA39" s="343"/>
      <c r="BB39" s="298"/>
      <c r="BC39" s="298"/>
      <c r="BD39" s="298"/>
      <c r="BE39" s="482"/>
      <c r="BF39" s="482"/>
    </row>
    <row r="40" spans="1:58" x14ac:dyDescent="0.25">
      <c r="A40" s="405" t="s">
        <v>83</v>
      </c>
      <c r="B40" s="406"/>
      <c r="C40" s="406"/>
      <c r="D40" s="406"/>
      <c r="E40" s="406"/>
      <c r="F40" s="406"/>
      <c r="G40" s="406"/>
      <c r="H40" s="406"/>
      <c r="I40" s="406"/>
      <c r="J40" s="406"/>
      <c r="K40" s="406"/>
      <c r="L40" s="406"/>
      <c r="M40" s="406"/>
      <c r="N40" s="406"/>
      <c r="O40" s="406"/>
      <c r="P40" s="407" t="s">
        <v>85</v>
      </c>
      <c r="Q40" s="406"/>
      <c r="R40" s="406"/>
      <c r="S40" s="406"/>
      <c r="T40" s="406"/>
      <c r="U40" s="406"/>
      <c r="V40" s="406"/>
      <c r="W40" s="406"/>
      <c r="X40" s="406"/>
      <c r="Y40" s="406"/>
      <c r="Z40" s="406"/>
      <c r="AA40" s="406"/>
      <c r="AB40" s="406"/>
      <c r="AC40" s="406"/>
      <c r="AD40" s="407" t="s">
        <v>86</v>
      </c>
      <c r="AE40" s="406"/>
      <c r="AF40" s="406"/>
      <c r="AG40" s="406"/>
      <c r="AH40" s="406"/>
      <c r="AI40" s="406"/>
      <c r="AJ40" s="406"/>
      <c r="AK40" s="406"/>
      <c r="AL40" s="406"/>
      <c r="AM40" s="406"/>
      <c r="AN40" s="406"/>
      <c r="AO40" s="406"/>
      <c r="AP40" s="406"/>
      <c r="AQ40" s="406"/>
      <c r="AR40" s="408" t="s">
        <v>87</v>
      </c>
      <c r="AS40" s="408" t="s">
        <v>88</v>
      </c>
    </row>
    <row r="41" spans="1:58" x14ac:dyDescent="0.25">
      <c r="A41" s="367">
        <v>40781</v>
      </c>
      <c r="B41" s="375">
        <f t="shared" ref="B41:O41" si="32">B21*$AR21</f>
        <v>12985.791361835227</v>
      </c>
      <c r="C41" s="376">
        <f t="shared" si="32"/>
        <v>3016.7548734736993</v>
      </c>
      <c r="D41" s="376">
        <f t="shared" si="32"/>
        <v>5852.6491430221167</v>
      </c>
      <c r="E41" s="376">
        <f t="shared" si="32"/>
        <v>7612.061098007257</v>
      </c>
      <c r="F41" s="376">
        <f t="shared" si="32"/>
        <v>6395.2309547979612</v>
      </c>
      <c r="G41" s="376">
        <f t="shared" si="32"/>
        <v>9006.8580754790291</v>
      </c>
      <c r="H41" s="376">
        <f t="shared" si="32"/>
        <v>5647.1914969629961</v>
      </c>
      <c r="I41" s="376">
        <f t="shared" si="32"/>
        <v>2848.9162330310378</v>
      </c>
      <c r="J41" s="376">
        <f t="shared" si="32"/>
        <v>2265.8216459759292</v>
      </c>
      <c r="K41" s="376">
        <f t="shared" si="32"/>
        <v>4303.0354885903025</v>
      </c>
      <c r="L41" s="376">
        <f t="shared" si="32"/>
        <v>7015.9445474695285</v>
      </c>
      <c r="M41" s="376">
        <f t="shared" si="32"/>
        <v>6843.7652525326603</v>
      </c>
      <c r="N41" s="376">
        <f t="shared" si="32"/>
        <v>7096.970098028055</v>
      </c>
      <c r="O41" s="376">
        <f t="shared" si="32"/>
        <v>7442.7755727331933</v>
      </c>
      <c r="P41" s="377">
        <f t="shared" ref="P41:P54" si="33">B$35-B41</f>
        <v>-2501.7913618352268</v>
      </c>
      <c r="Q41" s="378">
        <f t="shared" ref="Q41:Q54" si="34">C$35-C41</f>
        <v>5184.2451265263007</v>
      </c>
      <c r="R41" s="378">
        <f t="shared" ref="R41:R54" si="35">D$35-D41</f>
        <v>-781.64914302211673</v>
      </c>
      <c r="S41" s="378">
        <f t="shared" ref="S41:S54" si="36">E$35-E41</f>
        <v>-598.06109800725699</v>
      </c>
      <c r="T41" s="378">
        <f t="shared" ref="T41:T54" si="37">F$35-F41</f>
        <v>1417.7690452020388</v>
      </c>
      <c r="U41" s="378">
        <f t="shared" ref="U41:U54" si="38">G$35-G41</f>
        <v>-1457.8580754790291</v>
      </c>
      <c r="V41" s="378">
        <f t="shared" ref="V41:V54" si="39">H$35-H41</f>
        <v>-1482.1914969629961</v>
      </c>
      <c r="W41" s="378">
        <f t="shared" ref="W41:W54" si="40">I$35-I41</f>
        <v>250.08376696896221</v>
      </c>
      <c r="X41" s="378">
        <f t="shared" ref="X41:X54" si="41">J$35-J41</f>
        <v>-502.82164597592919</v>
      </c>
      <c r="Y41" s="378">
        <f t="shared" ref="Y41:Y54" si="42">K$35-K41</f>
        <v>-614.03548859030252</v>
      </c>
      <c r="Z41" s="378">
        <f t="shared" ref="Z41:Z54" si="43">L$35-L41</f>
        <v>-1375.9445474695285</v>
      </c>
      <c r="AA41" s="378">
        <f t="shared" ref="AA41:AA54" si="44">M$35-M41</f>
        <v>-2066.7652525326603</v>
      </c>
      <c r="AB41" s="378">
        <f t="shared" ref="AB41:AB54" si="45">N$35-N41</f>
        <v>-1415.970098028055</v>
      </c>
      <c r="AC41" s="378">
        <f t="shared" ref="AC41:AC54" si="46">O$35-O41</f>
        <v>-1016.7755727331933</v>
      </c>
      <c r="AD41" s="379">
        <f>P41^2</f>
        <v>6258960.0181533583</v>
      </c>
      <c r="AE41" s="380">
        <f t="shared" ref="AE41:AQ54" si="47">Q41^2</f>
        <v>26876397.531911701</v>
      </c>
      <c r="AF41" s="380">
        <f t="shared" si="47"/>
        <v>610975.38278720947</v>
      </c>
      <c r="AG41" s="380">
        <f t="shared" si="47"/>
        <v>357677.07694964582</v>
      </c>
      <c r="AH41" s="380">
        <f t="shared" si="47"/>
        <v>2010069.0655331006</v>
      </c>
      <c r="AI41" s="380">
        <f t="shared" si="47"/>
        <v>2125350.1682394184</v>
      </c>
      <c r="AJ41" s="380">
        <f t="shared" si="47"/>
        <v>2196891.6336694071</v>
      </c>
      <c r="AK41" s="380">
        <f t="shared" si="47"/>
        <v>62541.890501386195</v>
      </c>
      <c r="AL41" s="380">
        <f t="shared" si="47"/>
        <v>252829.60766194266</v>
      </c>
      <c r="AM41" s="380">
        <f t="shared" si="47"/>
        <v>377039.58124833152</v>
      </c>
      <c r="AN41" s="380">
        <f t="shared" si="47"/>
        <v>1893223.3977111257</v>
      </c>
      <c r="AO41" s="380">
        <f t="shared" si="47"/>
        <v>4271518.609076391</v>
      </c>
      <c r="AP41" s="380">
        <f t="shared" si="47"/>
        <v>2004971.3185095796</v>
      </c>
      <c r="AQ41" s="380">
        <f>AC41^2</f>
        <v>1033832.5653069132</v>
      </c>
      <c r="AR41" s="379">
        <f>AVERAGE(AD41:AQ41)</f>
        <v>3595162.7033756794</v>
      </c>
      <c r="AS41" s="381">
        <f>SQRT(AR41)</f>
        <v>1896.0914280107063</v>
      </c>
    </row>
    <row r="42" spans="1:58" x14ac:dyDescent="0.25">
      <c r="A42" s="367">
        <v>40782</v>
      </c>
      <c r="B42" s="382">
        <f t="shared" ref="B42:O42" si="48">B22*$AR22</f>
        <v>12821.362342995641</v>
      </c>
      <c r="C42" s="383">
        <f t="shared" si="48"/>
        <v>3001.4130677029352</v>
      </c>
      <c r="D42" s="383">
        <f t="shared" si="48"/>
        <v>5782.8272718046082</v>
      </c>
      <c r="E42" s="383">
        <f t="shared" si="48"/>
        <v>7534.2467963185527</v>
      </c>
      <c r="F42" s="383">
        <f t="shared" si="48"/>
        <v>7044.2493273884693</v>
      </c>
      <c r="G42" s="383">
        <f t="shared" si="48"/>
        <v>8989.9535626152174</v>
      </c>
      <c r="H42" s="383">
        <f t="shared" si="48"/>
        <v>5577.1140486969343</v>
      </c>
      <c r="I42" s="383">
        <f t="shared" si="48"/>
        <v>2828.5568177305149</v>
      </c>
      <c r="J42" s="383">
        <f t="shared" si="48"/>
        <v>2237.1313012959527</v>
      </c>
      <c r="K42" s="383">
        <f t="shared" si="48"/>
        <v>4287.1207121258967</v>
      </c>
      <c r="L42" s="383">
        <f t="shared" si="48"/>
        <v>6932.8213315384792</v>
      </c>
      <c r="M42" s="383">
        <f t="shared" si="48"/>
        <v>6762.822209664776</v>
      </c>
      <c r="N42" s="383">
        <f t="shared" si="48"/>
        <v>7022.8208666480859</v>
      </c>
      <c r="O42" s="383">
        <f t="shared" si="48"/>
        <v>7357.1048541980563</v>
      </c>
      <c r="P42" s="384">
        <f t="shared" si="33"/>
        <v>-2337.3623429956406</v>
      </c>
      <c r="Q42" s="385">
        <f t="shared" si="34"/>
        <v>5199.5869322970648</v>
      </c>
      <c r="R42" s="385">
        <f t="shared" si="35"/>
        <v>-711.82727180460824</v>
      </c>
      <c r="S42" s="385">
        <f t="shared" si="36"/>
        <v>-520.2467963185527</v>
      </c>
      <c r="T42" s="385">
        <f t="shared" si="37"/>
        <v>768.75067261153072</v>
      </c>
      <c r="U42" s="385">
        <f t="shared" si="38"/>
        <v>-1440.9535626152174</v>
      </c>
      <c r="V42" s="385">
        <f t="shared" si="39"/>
        <v>-1412.1140486969343</v>
      </c>
      <c r="W42" s="385">
        <f t="shared" si="40"/>
        <v>270.44318226948508</v>
      </c>
      <c r="X42" s="385">
        <f t="shared" si="41"/>
        <v>-474.13130129595265</v>
      </c>
      <c r="Y42" s="385">
        <f t="shared" si="42"/>
        <v>-598.12071212589672</v>
      </c>
      <c r="Z42" s="385">
        <f t="shared" si="43"/>
        <v>-1292.8213315384792</v>
      </c>
      <c r="AA42" s="385">
        <f t="shared" si="44"/>
        <v>-1985.822209664776</v>
      </c>
      <c r="AB42" s="385">
        <f t="shared" si="45"/>
        <v>-1341.8208666480859</v>
      </c>
      <c r="AC42" s="385">
        <f t="shared" si="46"/>
        <v>-931.10485419805627</v>
      </c>
      <c r="AD42" s="386">
        <f t="shared" ref="AD42:AD54" si="49">P42^2</f>
        <v>5463262.7224540701</v>
      </c>
      <c r="AE42" s="366">
        <f t="shared" si="47"/>
        <v>27035704.266514402</v>
      </c>
      <c r="AF42" s="366">
        <f t="shared" si="47"/>
        <v>506698.06488479162</v>
      </c>
      <c r="AG42" s="366">
        <f t="shared" si="47"/>
        <v>270656.72907971765</v>
      </c>
      <c r="AH42" s="366">
        <f t="shared" si="47"/>
        <v>590977.59664068092</v>
      </c>
      <c r="AI42" s="366">
        <f t="shared" si="47"/>
        <v>2076347.1696134871</v>
      </c>
      <c r="AJ42" s="366">
        <f t="shared" si="47"/>
        <v>1994066.0865272479</v>
      </c>
      <c r="AK42" s="366">
        <f t="shared" si="47"/>
        <v>73139.514836045928</v>
      </c>
      <c r="AL42" s="366">
        <f t="shared" si="47"/>
        <v>224800.49086859342</v>
      </c>
      <c r="AM42" s="366">
        <f t="shared" si="47"/>
        <v>357748.3862739898</v>
      </c>
      <c r="AN42" s="366">
        <f t="shared" si="47"/>
        <v>1671386.9952809263</v>
      </c>
      <c r="AO42" s="366">
        <f t="shared" si="47"/>
        <v>3943489.8483978934</v>
      </c>
      <c r="AP42" s="366">
        <f t="shared" si="47"/>
        <v>1800483.2381722205</v>
      </c>
      <c r="AQ42" s="366">
        <f t="shared" si="47"/>
        <v>866956.24951118359</v>
      </c>
      <c r="AR42" s="386">
        <f t="shared" ref="AR42:AR54" si="50">AVERAGE(AD42:AQ42)</f>
        <v>3348265.5256468034</v>
      </c>
      <c r="AS42" s="387">
        <f t="shared" ref="AS42:AS54" si="51">SQRT(AR42)</f>
        <v>1829.8266381400188</v>
      </c>
    </row>
    <row r="43" spans="1:58" x14ac:dyDescent="0.25">
      <c r="A43" s="367">
        <v>40783</v>
      </c>
      <c r="B43" s="382">
        <f t="shared" ref="B43:O43" si="52">B23*$AR23</f>
        <v>12650.854718371105</v>
      </c>
      <c r="C43" s="383">
        <f t="shared" si="52"/>
        <v>2971.0340626477596</v>
      </c>
      <c r="D43" s="383">
        <f t="shared" si="52"/>
        <v>5784.2143231055052</v>
      </c>
      <c r="E43" s="383">
        <f t="shared" si="52"/>
        <v>7438.8604282043998</v>
      </c>
      <c r="F43" s="383">
        <f t="shared" si="52"/>
        <v>7527.6531919362824</v>
      </c>
      <c r="G43" s="383">
        <f t="shared" si="52"/>
        <v>8946.9280026982815</v>
      </c>
      <c r="H43" s="383">
        <f t="shared" si="52"/>
        <v>5502.3325334804804</v>
      </c>
      <c r="I43" s="383">
        <f t="shared" si="52"/>
        <v>2792.0391262358689</v>
      </c>
      <c r="J43" s="383">
        <f t="shared" si="52"/>
        <v>2209.9532306601932</v>
      </c>
      <c r="K43" s="383">
        <f t="shared" si="52"/>
        <v>4229.6362533234942</v>
      </c>
      <c r="L43" s="383">
        <f t="shared" si="52"/>
        <v>6842.6804431474729</v>
      </c>
      <c r="M43" s="383">
        <f t="shared" si="52"/>
        <v>6672.1419604243329</v>
      </c>
      <c r="N43" s="383">
        <f t="shared" si="52"/>
        <v>7592.4860035500378</v>
      </c>
      <c r="O43" s="383">
        <f t="shared" si="52"/>
        <v>7265.5031275850097</v>
      </c>
      <c r="P43" s="384">
        <f t="shared" si="33"/>
        <v>-2166.8547183711053</v>
      </c>
      <c r="Q43" s="385">
        <f t="shared" si="34"/>
        <v>5229.9659373522409</v>
      </c>
      <c r="R43" s="385">
        <f t="shared" si="35"/>
        <v>-713.21432310550517</v>
      </c>
      <c r="S43" s="385">
        <f t="shared" si="36"/>
        <v>-424.8604282043998</v>
      </c>
      <c r="T43" s="385">
        <f t="shared" si="37"/>
        <v>285.34680806371762</v>
      </c>
      <c r="U43" s="385">
        <f t="shared" si="38"/>
        <v>-1397.9280026982815</v>
      </c>
      <c r="V43" s="385">
        <f t="shared" si="39"/>
        <v>-1337.3325334804804</v>
      </c>
      <c r="W43" s="385">
        <f t="shared" si="40"/>
        <v>306.96087376413107</v>
      </c>
      <c r="X43" s="385">
        <f t="shared" si="41"/>
        <v>-446.95323066019319</v>
      </c>
      <c r="Y43" s="385">
        <f t="shared" si="42"/>
        <v>-540.6362533234942</v>
      </c>
      <c r="Z43" s="385">
        <f t="shared" si="43"/>
        <v>-1202.6804431474729</v>
      </c>
      <c r="AA43" s="385">
        <f t="shared" si="44"/>
        <v>-1895.1419604243329</v>
      </c>
      <c r="AB43" s="385">
        <f t="shared" si="45"/>
        <v>-1911.4860035500378</v>
      </c>
      <c r="AC43" s="385">
        <f t="shared" si="46"/>
        <v>-839.50312758500968</v>
      </c>
      <c r="AD43" s="386">
        <f t="shared" si="49"/>
        <v>4695259.3705271222</v>
      </c>
      <c r="AE43" s="366">
        <f t="shared" si="47"/>
        <v>27352543.705864705</v>
      </c>
      <c r="AF43" s="366">
        <f t="shared" si="47"/>
        <v>508674.67068284395</v>
      </c>
      <c r="AG43" s="366">
        <f t="shared" si="47"/>
        <v>180506.38345402596</v>
      </c>
      <c r="AH43" s="366">
        <f t="shared" si="47"/>
        <v>81422.800872152104</v>
      </c>
      <c r="AI43" s="366">
        <f t="shared" si="47"/>
        <v>1954202.7007280064</v>
      </c>
      <c r="AJ43" s="366">
        <f t="shared" si="47"/>
        <v>1788458.3051053202</v>
      </c>
      <c r="AK43" s="366">
        <f t="shared" si="47"/>
        <v>94224.978022038806</v>
      </c>
      <c r="AL43" s="366">
        <f t="shared" si="47"/>
        <v>199767.19039758385</v>
      </c>
      <c r="AM43" s="366">
        <f t="shared" si="47"/>
        <v>292287.5584076654</v>
      </c>
      <c r="AN43" s="366">
        <f t="shared" si="47"/>
        <v>1446440.2483294019</v>
      </c>
      <c r="AO43" s="366">
        <f t="shared" si="47"/>
        <v>3591563.0501609836</v>
      </c>
      <c r="AP43" s="366">
        <f t="shared" si="47"/>
        <v>3653778.7417676952</v>
      </c>
      <c r="AQ43" s="366">
        <f t="shared" si="47"/>
        <v>704765.50122501305</v>
      </c>
      <c r="AR43" s="386">
        <f t="shared" si="50"/>
        <v>3324563.9432531819</v>
      </c>
      <c r="AS43" s="387">
        <f t="shared" si="51"/>
        <v>1823.3386803479989</v>
      </c>
    </row>
    <row r="44" spans="1:58" x14ac:dyDescent="0.25">
      <c r="A44" s="367">
        <v>40784</v>
      </c>
      <c r="B44" s="382">
        <f t="shared" ref="B44:O44" si="53">B24*$AR24</f>
        <v>12321.528151183878</v>
      </c>
      <c r="C44" s="383">
        <f t="shared" si="53"/>
        <v>3212.4621229448112</v>
      </c>
      <c r="D44" s="383">
        <f t="shared" si="53"/>
        <v>5660.5750778074953</v>
      </c>
      <c r="E44" s="383">
        <f t="shared" si="53"/>
        <v>7242.7915783437475</v>
      </c>
      <c r="F44" s="383">
        <f t="shared" si="53"/>
        <v>7389.6234652105122</v>
      </c>
      <c r="G44" s="383">
        <f t="shared" si="53"/>
        <v>8727.5775745104656</v>
      </c>
      <c r="H44" s="383">
        <f t="shared" si="53"/>
        <v>5506.8818878161155</v>
      </c>
      <c r="I44" s="383">
        <f t="shared" si="53"/>
        <v>2744.5212498460583</v>
      </c>
      <c r="J44" s="383">
        <f t="shared" si="53"/>
        <v>2151.7046598793095</v>
      </c>
      <c r="K44" s="383">
        <f t="shared" si="53"/>
        <v>4313.0151441330809</v>
      </c>
      <c r="L44" s="383">
        <f t="shared" si="53"/>
        <v>6671.9311583757681</v>
      </c>
      <c r="M44" s="383">
        <f t="shared" si="53"/>
        <v>6499.0263196354663</v>
      </c>
      <c r="N44" s="383">
        <f t="shared" si="53"/>
        <v>7430.7912839582032</v>
      </c>
      <c r="O44" s="383">
        <f t="shared" si="53"/>
        <v>7102.8209946015986</v>
      </c>
      <c r="P44" s="384">
        <f t="shared" si="33"/>
        <v>-1837.5281511838784</v>
      </c>
      <c r="Q44" s="385">
        <f t="shared" si="34"/>
        <v>4988.5378770551888</v>
      </c>
      <c r="R44" s="385">
        <f t="shared" si="35"/>
        <v>-589.57507780749529</v>
      </c>
      <c r="S44" s="385">
        <f t="shared" si="36"/>
        <v>-228.79157834374746</v>
      </c>
      <c r="T44" s="385">
        <f t="shared" si="37"/>
        <v>423.37653478948778</v>
      </c>
      <c r="U44" s="385">
        <f t="shared" si="38"/>
        <v>-1178.5775745104656</v>
      </c>
      <c r="V44" s="385">
        <f t="shared" si="39"/>
        <v>-1341.8818878161155</v>
      </c>
      <c r="W44" s="385">
        <f t="shared" si="40"/>
        <v>354.47875015394175</v>
      </c>
      <c r="X44" s="385">
        <f t="shared" si="41"/>
        <v>-388.70465987930947</v>
      </c>
      <c r="Y44" s="385">
        <f t="shared" si="42"/>
        <v>-624.01514413308087</v>
      </c>
      <c r="Z44" s="385">
        <f t="shared" si="43"/>
        <v>-1031.9311583757681</v>
      </c>
      <c r="AA44" s="385">
        <f t="shared" si="44"/>
        <v>-1722.0263196354663</v>
      </c>
      <c r="AB44" s="385">
        <f t="shared" si="45"/>
        <v>-1749.7912839582032</v>
      </c>
      <c r="AC44" s="385">
        <f t="shared" si="46"/>
        <v>-676.82099460159861</v>
      </c>
      <c r="AD44" s="386">
        <f t="shared" si="49"/>
        <v>3376509.7063932423</v>
      </c>
      <c r="AE44" s="366">
        <f t="shared" si="47"/>
        <v>24885510.150814291</v>
      </c>
      <c r="AF44" s="366">
        <f t="shared" si="47"/>
        <v>347598.77237171412</v>
      </c>
      <c r="AG44" s="366">
        <f t="shared" si="47"/>
        <v>52345.586321023133</v>
      </c>
      <c r="AH44" s="366">
        <f t="shared" si="47"/>
        <v>179247.69021035437</v>
      </c>
      <c r="AI44" s="366">
        <f t="shared" si="47"/>
        <v>1389045.0991389721</v>
      </c>
      <c r="AJ44" s="366">
        <f t="shared" si="47"/>
        <v>1800647.000848942</v>
      </c>
      <c r="AK44" s="366">
        <f t="shared" si="47"/>
        <v>125655.18431070066</v>
      </c>
      <c r="AL44" s="366">
        <f t="shared" si="47"/>
        <v>151091.31261188965</v>
      </c>
      <c r="AM44" s="366">
        <f t="shared" si="47"/>
        <v>389394.90010742971</v>
      </c>
      <c r="AN44" s="366">
        <f t="shared" si="47"/>
        <v>1064881.9156267545</v>
      </c>
      <c r="AO44" s="366">
        <f t="shared" si="47"/>
        <v>2965374.6455172691</v>
      </c>
      <c r="AP44" s="366">
        <f t="shared" si="47"/>
        <v>3061769.5374160972</v>
      </c>
      <c r="AQ44" s="366">
        <f t="shared" si="47"/>
        <v>458086.6587334972</v>
      </c>
      <c r="AR44" s="386">
        <f t="shared" si="50"/>
        <v>2874797.0114587261</v>
      </c>
      <c r="AS44" s="387">
        <f t="shared" si="51"/>
        <v>1695.5226366695097</v>
      </c>
    </row>
    <row r="45" spans="1:58" x14ac:dyDescent="0.25">
      <c r="A45" s="367">
        <v>40785</v>
      </c>
      <c r="B45" s="382">
        <f t="shared" ref="B45:O45" si="54">B25*$AR25</f>
        <v>12224.274554025213</v>
      </c>
      <c r="C45" s="383">
        <f t="shared" si="54"/>
        <v>3257.5415348525216</v>
      </c>
      <c r="D45" s="383">
        <f t="shared" si="54"/>
        <v>5605.9068966485829</v>
      </c>
      <c r="E45" s="383">
        <f t="shared" si="54"/>
        <v>7176.9198354427062</v>
      </c>
      <c r="F45" s="383">
        <f t="shared" si="54"/>
        <v>7360.3858793330237</v>
      </c>
      <c r="G45" s="383">
        <f t="shared" si="54"/>
        <v>8992.5541660905874</v>
      </c>
      <c r="H45" s="383">
        <f t="shared" si="54"/>
        <v>5453.6980306062451</v>
      </c>
      <c r="I45" s="383">
        <f t="shared" si="54"/>
        <v>2722.0924882392997</v>
      </c>
      <c r="J45" s="383">
        <f t="shared" si="54"/>
        <v>2133.6421400577633</v>
      </c>
      <c r="K45" s="383">
        <f t="shared" si="54"/>
        <v>4408.6210842976971</v>
      </c>
      <c r="L45" s="383">
        <f t="shared" si="54"/>
        <v>6612.931626446546</v>
      </c>
      <c r="M45" s="383">
        <f t="shared" si="54"/>
        <v>6436.260621218833</v>
      </c>
      <c r="N45" s="383">
        <f t="shared" si="54"/>
        <v>7360.3858793330237</v>
      </c>
      <c r="O45" s="383">
        <f t="shared" si="54"/>
        <v>7062.7631859109533</v>
      </c>
      <c r="P45" s="384">
        <f t="shared" si="33"/>
        <v>-1740.2745540252126</v>
      </c>
      <c r="Q45" s="385">
        <f t="shared" si="34"/>
        <v>4943.4584651474779</v>
      </c>
      <c r="R45" s="385">
        <f t="shared" si="35"/>
        <v>-534.90689664858292</v>
      </c>
      <c r="S45" s="385">
        <f t="shared" si="36"/>
        <v>-162.91983544270624</v>
      </c>
      <c r="T45" s="385">
        <f t="shared" si="37"/>
        <v>452.61412066697631</v>
      </c>
      <c r="U45" s="385">
        <f t="shared" si="38"/>
        <v>-1443.5541660905874</v>
      </c>
      <c r="V45" s="385">
        <f t="shared" si="39"/>
        <v>-1288.6980306062451</v>
      </c>
      <c r="W45" s="385">
        <f t="shared" si="40"/>
        <v>376.90751176070034</v>
      </c>
      <c r="X45" s="385">
        <f t="shared" si="41"/>
        <v>-370.6421400577633</v>
      </c>
      <c r="Y45" s="385">
        <f t="shared" si="42"/>
        <v>-719.62108429769705</v>
      </c>
      <c r="Z45" s="385">
        <f t="shared" si="43"/>
        <v>-972.93162644654603</v>
      </c>
      <c r="AA45" s="385">
        <f t="shared" si="44"/>
        <v>-1659.260621218833</v>
      </c>
      <c r="AB45" s="385">
        <f t="shared" si="45"/>
        <v>-1679.3858793330237</v>
      </c>
      <c r="AC45" s="385">
        <f t="shared" si="46"/>
        <v>-636.76318591095333</v>
      </c>
      <c r="AD45" s="386">
        <f t="shared" si="49"/>
        <v>3028555.5233876528</v>
      </c>
      <c r="AE45" s="366">
        <f t="shared" si="47"/>
        <v>24437781.596638259</v>
      </c>
      <c r="AF45" s="366">
        <f t="shared" si="47"/>
        <v>286125.38808221777</v>
      </c>
      <c r="AG45" s="366">
        <f t="shared" si="47"/>
        <v>26542.872780678481</v>
      </c>
      <c r="AH45" s="366">
        <f t="shared" si="47"/>
        <v>204859.54222714019</v>
      </c>
      <c r="AI45" s="366">
        <f t="shared" si="47"/>
        <v>2083848.6304374912</v>
      </c>
      <c r="AJ45" s="366">
        <f t="shared" si="47"/>
        <v>1660742.6140884147</v>
      </c>
      <c r="AK45" s="366">
        <f t="shared" si="47"/>
        <v>142059.27242164247</v>
      </c>
      <c r="AL45" s="366">
        <f t="shared" si="47"/>
        <v>137375.59598659864</v>
      </c>
      <c r="AM45" s="366">
        <f t="shared" si="47"/>
        <v>517854.50496579322</v>
      </c>
      <c r="AN45" s="366">
        <f t="shared" si="47"/>
        <v>946595.94973992137</v>
      </c>
      <c r="AO45" s="366">
        <f t="shared" si="47"/>
        <v>2753145.8091275073</v>
      </c>
      <c r="AP45" s="366">
        <f t="shared" si="47"/>
        <v>2820336.9317031531</v>
      </c>
      <c r="AQ45" s="366">
        <f t="shared" si="47"/>
        <v>405467.35493146733</v>
      </c>
      <c r="AR45" s="386">
        <f t="shared" si="50"/>
        <v>2817949.3990369951</v>
      </c>
      <c r="AS45" s="387">
        <f t="shared" si="51"/>
        <v>1678.6748937888465</v>
      </c>
    </row>
    <row r="46" spans="1:58" x14ac:dyDescent="0.25">
      <c r="A46" s="367">
        <v>40786</v>
      </c>
      <c r="B46" s="382">
        <f t="shared" ref="B46:O46" si="55">B26*$AR26</f>
        <v>11337.737232813195</v>
      </c>
      <c r="C46" s="383">
        <f t="shared" si="55"/>
        <v>4758.7551261214148</v>
      </c>
      <c r="D46" s="383">
        <f t="shared" si="55"/>
        <v>5206.5787647413526</v>
      </c>
      <c r="E46" s="383">
        <f t="shared" si="55"/>
        <v>6806.6677207092198</v>
      </c>
      <c r="F46" s="383">
        <f t="shared" si="55"/>
        <v>6855.7270519063477</v>
      </c>
      <c r="G46" s="383">
        <f t="shared" si="55"/>
        <v>8537.581559869428</v>
      </c>
      <c r="H46" s="383">
        <f t="shared" si="55"/>
        <v>5212.8684225871384</v>
      </c>
      <c r="I46" s="383">
        <f t="shared" si="55"/>
        <v>2568.6962642188555</v>
      </c>
      <c r="J46" s="383">
        <f t="shared" si="55"/>
        <v>1977.4684267150053</v>
      </c>
      <c r="K46" s="383">
        <f t="shared" si="55"/>
        <v>4118.4679574204374</v>
      </c>
      <c r="L46" s="383">
        <f t="shared" si="55"/>
        <v>6124.8688102260567</v>
      </c>
      <c r="M46" s="383">
        <f t="shared" si="55"/>
        <v>5961.3377062356294</v>
      </c>
      <c r="N46" s="383">
        <f t="shared" si="55"/>
        <v>6844.4056677839335</v>
      </c>
      <c r="O46" s="383">
        <f t="shared" si="55"/>
        <v>6565.1448594310514</v>
      </c>
      <c r="P46" s="384">
        <f t="shared" si="33"/>
        <v>-853.73723281319508</v>
      </c>
      <c r="Q46" s="385">
        <f t="shared" si="34"/>
        <v>3442.2448738785852</v>
      </c>
      <c r="R46" s="385">
        <f t="shared" si="35"/>
        <v>-135.57876474135264</v>
      </c>
      <c r="S46" s="385">
        <f t="shared" si="36"/>
        <v>207.33227929078021</v>
      </c>
      <c r="T46" s="385">
        <f t="shared" si="37"/>
        <v>957.2729480936523</v>
      </c>
      <c r="U46" s="385">
        <f t="shared" si="38"/>
        <v>-988.58155986942802</v>
      </c>
      <c r="V46" s="385">
        <f t="shared" si="39"/>
        <v>-1047.8684225871384</v>
      </c>
      <c r="W46" s="385">
        <f t="shared" si="40"/>
        <v>530.3037357811445</v>
      </c>
      <c r="X46" s="385">
        <f t="shared" si="41"/>
        <v>-214.46842671500531</v>
      </c>
      <c r="Y46" s="385">
        <f t="shared" si="42"/>
        <v>-429.46795742043741</v>
      </c>
      <c r="Z46" s="385">
        <f t="shared" si="43"/>
        <v>-484.86881022605667</v>
      </c>
      <c r="AA46" s="385">
        <f t="shared" si="44"/>
        <v>-1184.3377062356294</v>
      </c>
      <c r="AB46" s="385">
        <f t="shared" si="45"/>
        <v>-1163.4056677839335</v>
      </c>
      <c r="AC46" s="385">
        <f t="shared" si="46"/>
        <v>-139.14485943105137</v>
      </c>
      <c r="AD46" s="386">
        <f t="shared" si="49"/>
        <v>728867.26269153168</v>
      </c>
      <c r="AE46" s="366">
        <f t="shared" si="47"/>
        <v>11849049.771743396</v>
      </c>
      <c r="AF46" s="366">
        <f t="shared" si="47"/>
        <v>18381.601448791047</v>
      </c>
      <c r="AG46" s="366">
        <f t="shared" si="47"/>
        <v>42986.674035910088</v>
      </c>
      <c r="AH46" s="366">
        <f t="shared" si="47"/>
        <v>916371.49715191231</v>
      </c>
      <c r="AI46" s="366">
        <f t="shared" si="47"/>
        <v>977293.50051387155</v>
      </c>
      <c r="AJ46" s="366">
        <f t="shared" si="47"/>
        <v>1098028.2310552576</v>
      </c>
      <c r="AK46" s="366">
        <f t="shared" si="47"/>
        <v>281222.05218343792</v>
      </c>
      <c r="AL46" s="366">
        <f t="shared" si="47"/>
        <v>45996.706057609605</v>
      </c>
      <c r="AM46" s="366">
        <f t="shared" si="47"/>
        <v>184442.72645088265</v>
      </c>
      <c r="AN46" s="366">
        <f t="shared" si="47"/>
        <v>235097.76313003176</v>
      </c>
      <c r="AO46" s="366">
        <f t="shared" si="47"/>
        <v>1402655.802411472</v>
      </c>
      <c r="AP46" s="366">
        <f t="shared" si="47"/>
        <v>1353512.7478317802</v>
      </c>
      <c r="AQ46" s="366">
        <f t="shared" si="47"/>
        <v>19361.291906087044</v>
      </c>
      <c r="AR46" s="386">
        <f t="shared" si="50"/>
        <v>1368090.5449008553</v>
      </c>
      <c r="AS46" s="387">
        <f t="shared" si="51"/>
        <v>1169.6540278650159</v>
      </c>
    </row>
    <row r="47" spans="1:58" x14ac:dyDescent="0.25">
      <c r="A47" s="367">
        <v>40787</v>
      </c>
      <c r="B47" s="382">
        <f t="shared" ref="B47:O47" si="56">B27*$AR27</f>
        <v>10620.011078462025</v>
      </c>
      <c r="C47" s="383">
        <f t="shared" si="56"/>
        <v>7137.2686906659255</v>
      </c>
      <c r="D47" s="383">
        <f t="shared" si="56"/>
        <v>4874.6627407565002</v>
      </c>
      <c r="E47" s="383">
        <f t="shared" si="56"/>
        <v>6628.9765583929811</v>
      </c>
      <c r="F47" s="383">
        <f t="shared" si="56"/>
        <v>6453.6628368451366</v>
      </c>
      <c r="G47" s="383">
        <f t="shared" si="56"/>
        <v>8072.6674063071068</v>
      </c>
      <c r="H47" s="383">
        <f t="shared" si="56"/>
        <v>4875.839342914539</v>
      </c>
      <c r="I47" s="383">
        <f t="shared" si="56"/>
        <v>2406.1514131902104</v>
      </c>
      <c r="J47" s="383">
        <f t="shared" si="56"/>
        <v>1853.1483989117758</v>
      </c>
      <c r="K47" s="383">
        <f t="shared" si="56"/>
        <v>3867.491293474925</v>
      </c>
      <c r="L47" s="383">
        <f t="shared" si="56"/>
        <v>6085.3863613788599</v>
      </c>
      <c r="M47" s="383">
        <f t="shared" si="56"/>
        <v>5575.9176269478767</v>
      </c>
      <c r="N47" s="383">
        <f t="shared" si="56"/>
        <v>6431.3073958423911</v>
      </c>
      <c r="O47" s="383">
        <f t="shared" si="56"/>
        <v>7097.2642172925916</v>
      </c>
      <c r="P47" s="384">
        <f t="shared" si="33"/>
        <v>-136.01107846202467</v>
      </c>
      <c r="Q47" s="385">
        <f t="shared" si="34"/>
        <v>1063.7313093340745</v>
      </c>
      <c r="R47" s="385">
        <f t="shared" si="35"/>
        <v>196.33725924349983</v>
      </c>
      <c r="S47" s="385">
        <f t="shared" si="36"/>
        <v>385.02344160701887</v>
      </c>
      <c r="T47" s="385">
        <f t="shared" si="37"/>
        <v>1359.3371631548634</v>
      </c>
      <c r="U47" s="385">
        <f t="shared" si="38"/>
        <v>-523.66740630710683</v>
      </c>
      <c r="V47" s="385">
        <f t="shared" si="39"/>
        <v>-710.83934291453897</v>
      </c>
      <c r="W47" s="385">
        <f t="shared" si="40"/>
        <v>692.84858680978959</v>
      </c>
      <c r="X47" s="385">
        <f t="shared" si="41"/>
        <v>-90.148398911775757</v>
      </c>
      <c r="Y47" s="385">
        <f t="shared" si="42"/>
        <v>-178.49129347492499</v>
      </c>
      <c r="Z47" s="385">
        <f t="shared" si="43"/>
        <v>-445.38636137885987</v>
      </c>
      <c r="AA47" s="385">
        <f t="shared" si="44"/>
        <v>-798.91762694787667</v>
      </c>
      <c r="AB47" s="385">
        <f t="shared" si="45"/>
        <v>-750.30739584239109</v>
      </c>
      <c r="AC47" s="385">
        <f t="shared" si="46"/>
        <v>-671.26421729259164</v>
      </c>
      <c r="AD47" s="386">
        <f t="shared" si="49"/>
        <v>18499.01346440303</v>
      </c>
      <c r="AE47" s="366">
        <f t="shared" si="47"/>
        <v>1131524.2984575843</v>
      </c>
      <c r="AF47" s="366">
        <f t="shared" si="47"/>
        <v>38548.319367249256</v>
      </c>
      <c r="AG47" s="366">
        <f t="shared" si="47"/>
        <v>148243.05058691348</v>
      </c>
      <c r="AH47" s="366">
        <f t="shared" si="47"/>
        <v>1847797.5231339119</v>
      </c>
      <c r="AI47" s="366">
        <f t="shared" si="47"/>
        <v>274227.55242841248</v>
      </c>
      <c r="AJ47" s="366">
        <f t="shared" si="47"/>
        <v>505292.57143517351</v>
      </c>
      <c r="AK47" s="366">
        <f t="shared" si="47"/>
        <v>480039.16424432257</v>
      </c>
      <c r="AL47" s="366">
        <f t="shared" si="47"/>
        <v>8126.7338263566526</v>
      </c>
      <c r="AM47" s="366">
        <f t="shared" si="47"/>
        <v>31859.141846351798</v>
      </c>
      <c r="AN47" s="366">
        <f t="shared" si="47"/>
        <v>198369.01090230036</v>
      </c>
      <c r="AO47" s="366">
        <f t="shared" si="47"/>
        <v>638269.37464802666</v>
      </c>
      <c r="AP47" s="366">
        <f t="shared" si="47"/>
        <v>562961.1882557905</v>
      </c>
      <c r="AQ47" s="366">
        <f t="shared" si="47"/>
        <v>450595.64941743569</v>
      </c>
      <c r="AR47" s="386">
        <f t="shared" si="50"/>
        <v>452453.75657244521</v>
      </c>
      <c r="AS47" s="387">
        <f t="shared" si="51"/>
        <v>672.64682900645948</v>
      </c>
    </row>
    <row r="48" spans="1:58" x14ac:dyDescent="0.25">
      <c r="A48" s="367">
        <v>40788</v>
      </c>
      <c r="B48" s="382">
        <f t="shared" ref="B48:O48" si="57">B28*$AR28</f>
        <v>10564.118275988834</v>
      </c>
      <c r="C48" s="383">
        <f t="shared" si="57"/>
        <v>7421.3421947584256</v>
      </c>
      <c r="D48" s="383">
        <f t="shared" si="57"/>
        <v>4786.9563619623477</v>
      </c>
      <c r="E48" s="383">
        <f t="shared" si="57"/>
        <v>7330.0630365168072</v>
      </c>
      <c r="F48" s="383">
        <f t="shared" si="57"/>
        <v>6344.4792139838883</v>
      </c>
      <c r="G48" s="383">
        <f t="shared" si="57"/>
        <v>7975.9497385049681</v>
      </c>
      <c r="H48" s="383">
        <f t="shared" si="57"/>
        <v>4788.1117943451527</v>
      </c>
      <c r="I48" s="383">
        <f t="shared" si="57"/>
        <v>2367.4809523680547</v>
      </c>
      <c r="J48" s="383">
        <f t="shared" si="57"/>
        <v>1819.8060029183434</v>
      </c>
      <c r="K48" s="383">
        <f t="shared" si="57"/>
        <v>3821.0148899371188</v>
      </c>
      <c r="L48" s="383">
        <f t="shared" si="57"/>
        <v>6191.9621394535889</v>
      </c>
      <c r="M48" s="383">
        <f t="shared" si="57"/>
        <v>5479.0603592627203</v>
      </c>
      <c r="N48" s="383">
        <f t="shared" si="57"/>
        <v>6317.9042691793666</v>
      </c>
      <c r="O48" s="383">
        <f t="shared" si="57"/>
        <v>7035.4277789014559</v>
      </c>
      <c r="P48" s="384">
        <f t="shared" si="33"/>
        <v>-80.118275988834284</v>
      </c>
      <c r="Q48" s="385">
        <f t="shared" si="34"/>
        <v>779.65780524157435</v>
      </c>
      <c r="R48" s="385">
        <f t="shared" si="35"/>
        <v>284.04363803765227</v>
      </c>
      <c r="S48" s="385">
        <f t="shared" si="36"/>
        <v>-316.06303651680719</v>
      </c>
      <c r="T48" s="385">
        <f t="shared" si="37"/>
        <v>1468.5207860161117</v>
      </c>
      <c r="U48" s="385">
        <f t="shared" si="38"/>
        <v>-426.94973850496808</v>
      </c>
      <c r="V48" s="385">
        <f t="shared" si="39"/>
        <v>-623.1117943451527</v>
      </c>
      <c r="W48" s="385">
        <f t="shared" si="40"/>
        <v>731.51904763194534</v>
      </c>
      <c r="X48" s="385">
        <f t="shared" si="41"/>
        <v>-56.806002918343438</v>
      </c>
      <c r="Y48" s="385">
        <f t="shared" si="42"/>
        <v>-132.01488993711882</v>
      </c>
      <c r="Z48" s="385">
        <f t="shared" si="43"/>
        <v>-551.96213945358886</v>
      </c>
      <c r="AA48" s="385">
        <f t="shared" si="44"/>
        <v>-702.06035926272034</v>
      </c>
      <c r="AB48" s="385">
        <f t="shared" si="45"/>
        <v>-636.90426917936657</v>
      </c>
      <c r="AC48" s="385">
        <f t="shared" si="46"/>
        <v>-609.42777890145589</v>
      </c>
      <c r="AD48" s="386">
        <f t="shared" si="49"/>
        <v>6418.9381474230204</v>
      </c>
      <c r="AE48" s="366">
        <f t="shared" si="47"/>
        <v>607866.29327410867</v>
      </c>
      <c r="AF48" s="366">
        <f t="shared" si="47"/>
        <v>80680.788309664815</v>
      </c>
      <c r="AG48" s="366">
        <f t="shared" si="47"/>
        <v>99895.843052224591</v>
      </c>
      <c r="AH48" s="366">
        <f t="shared" si="47"/>
        <v>2156553.2989613786</v>
      </c>
      <c r="AI48" s="366">
        <f t="shared" si="47"/>
        <v>182286.07920946061</v>
      </c>
      <c r="AJ48" s="366">
        <f t="shared" si="47"/>
        <v>388268.30825203587</v>
      </c>
      <c r="AK48" s="366">
        <f t="shared" si="47"/>
        <v>535120.1170483483</v>
      </c>
      <c r="AL48" s="366">
        <f t="shared" si="47"/>
        <v>3226.9219675588433</v>
      </c>
      <c r="AM48" s="366">
        <f t="shared" si="47"/>
        <v>17427.931165109596</v>
      </c>
      <c r="AN48" s="366">
        <f t="shared" si="47"/>
        <v>304662.2033901831</v>
      </c>
      <c r="AO48" s="366">
        <f t="shared" si="47"/>
        <v>492888.74804809998</v>
      </c>
      <c r="AP48" s="366">
        <f t="shared" si="47"/>
        <v>405647.04809890303</v>
      </c>
      <c r="AQ48" s="366">
        <f t="shared" si="47"/>
        <v>371402.21769676183</v>
      </c>
      <c r="AR48" s="386">
        <f t="shared" si="50"/>
        <v>403738.90975866147</v>
      </c>
      <c r="AS48" s="387">
        <f t="shared" si="51"/>
        <v>635.40452450282521</v>
      </c>
    </row>
    <row r="49" spans="1:45" x14ac:dyDescent="0.25">
      <c r="A49" s="367">
        <v>40789</v>
      </c>
      <c r="B49" s="382">
        <f t="shared" ref="B49:O49" si="58">B29*$AR29</f>
        <v>10493.989802964477</v>
      </c>
      <c r="C49" s="383">
        <f t="shared" si="58"/>
        <v>7557.7236007669244</v>
      </c>
      <c r="D49" s="383">
        <f t="shared" si="58"/>
        <v>4726.2833553416558</v>
      </c>
      <c r="E49" s="383">
        <f t="shared" si="58"/>
        <v>7304.7740094251094</v>
      </c>
      <c r="F49" s="383">
        <f t="shared" si="58"/>
        <v>6912.8160841026584</v>
      </c>
      <c r="G49" s="383">
        <f t="shared" si="58"/>
        <v>7902.9656105712929</v>
      </c>
      <c r="H49" s="383">
        <f t="shared" si="58"/>
        <v>4721.725705047209</v>
      </c>
      <c r="I49" s="383">
        <f t="shared" si="58"/>
        <v>2335.7957759041451</v>
      </c>
      <c r="J49" s="383">
        <f t="shared" si="58"/>
        <v>1794.5748034385506</v>
      </c>
      <c r="K49" s="383">
        <f t="shared" si="58"/>
        <v>3773.7344438022092</v>
      </c>
      <c r="L49" s="383">
        <f t="shared" si="58"/>
        <v>6191.5679250064022</v>
      </c>
      <c r="M49" s="383">
        <f t="shared" si="58"/>
        <v>5413.3491372295584</v>
      </c>
      <c r="N49" s="383">
        <f t="shared" si="58"/>
        <v>6233.7261902300388</v>
      </c>
      <c r="O49" s="383">
        <f t="shared" si="58"/>
        <v>6956.1137618999055</v>
      </c>
      <c r="P49" s="384">
        <f t="shared" si="33"/>
        <v>-9.9898029644773487</v>
      </c>
      <c r="Q49" s="385">
        <f t="shared" si="34"/>
        <v>643.27639923307561</v>
      </c>
      <c r="R49" s="385">
        <f t="shared" si="35"/>
        <v>344.71664465834419</v>
      </c>
      <c r="S49" s="385">
        <f t="shared" si="36"/>
        <v>-290.7740094251094</v>
      </c>
      <c r="T49" s="385">
        <f t="shared" si="37"/>
        <v>900.18391589734165</v>
      </c>
      <c r="U49" s="385">
        <f t="shared" si="38"/>
        <v>-353.96561057129293</v>
      </c>
      <c r="V49" s="385">
        <f t="shared" si="39"/>
        <v>-556.72570504720898</v>
      </c>
      <c r="W49" s="385">
        <f t="shared" si="40"/>
        <v>763.2042240958549</v>
      </c>
      <c r="X49" s="385">
        <f t="shared" si="41"/>
        <v>-31.574803438550589</v>
      </c>
      <c r="Y49" s="385">
        <f t="shared" si="42"/>
        <v>-84.734443802209171</v>
      </c>
      <c r="Z49" s="385">
        <f t="shared" si="43"/>
        <v>-551.56792500640222</v>
      </c>
      <c r="AA49" s="385">
        <f t="shared" si="44"/>
        <v>-636.34913722955844</v>
      </c>
      <c r="AB49" s="385">
        <f t="shared" si="45"/>
        <v>-552.72619023003881</v>
      </c>
      <c r="AC49" s="385">
        <f t="shared" si="46"/>
        <v>-530.11376189990551</v>
      </c>
      <c r="AD49" s="386">
        <f t="shared" si="49"/>
        <v>99.796163269080424</v>
      </c>
      <c r="AE49" s="366">
        <f t="shared" si="47"/>
        <v>413804.52581027127</v>
      </c>
      <c r="AF49" s="366">
        <f t="shared" si="47"/>
        <v>118829.56510450714</v>
      </c>
      <c r="AG49" s="366">
        <f t="shared" si="47"/>
        <v>84549.524557153607</v>
      </c>
      <c r="AH49" s="366">
        <f t="shared" si="47"/>
        <v>810331.08244027221</v>
      </c>
      <c r="AI49" s="366">
        <f t="shared" si="47"/>
        <v>125291.6534671082</v>
      </c>
      <c r="AJ49" s="366">
        <f t="shared" si="47"/>
        <v>309943.51066031191</v>
      </c>
      <c r="AK49" s="366">
        <f t="shared" si="47"/>
        <v>582480.68767775595</v>
      </c>
      <c r="AL49" s="366">
        <f t="shared" si="47"/>
        <v>996.96821218310606</v>
      </c>
      <c r="AM49" s="366">
        <f t="shared" si="47"/>
        <v>7179.9259664697438</v>
      </c>
      <c r="AN49" s="366">
        <f t="shared" si="47"/>
        <v>304227.17589586816</v>
      </c>
      <c r="AO49" s="366">
        <f t="shared" si="47"/>
        <v>404940.22445280338</v>
      </c>
      <c r="AP49" s="366">
        <f t="shared" si="47"/>
        <v>305506.24136621307</v>
      </c>
      <c r="AQ49" s="366">
        <f t="shared" si="47"/>
        <v>281020.60055566969</v>
      </c>
      <c r="AR49" s="386">
        <f t="shared" si="50"/>
        <v>267800.10588070407</v>
      </c>
      <c r="AS49" s="387">
        <f t="shared" si="51"/>
        <v>517.49406361880528</v>
      </c>
    </row>
    <row r="50" spans="1:45" x14ac:dyDescent="0.25">
      <c r="A50" s="367">
        <v>40790</v>
      </c>
      <c r="B50" s="382">
        <f t="shared" ref="B50:O50" si="59">B30*$AR30</f>
        <v>10632.79706096904</v>
      </c>
      <c r="C50" s="383">
        <f t="shared" si="59"/>
        <v>7476.6060346434197</v>
      </c>
      <c r="D50" s="383">
        <f t="shared" si="59"/>
        <v>4690.5440199338109</v>
      </c>
      <c r="E50" s="383">
        <f t="shared" si="59"/>
        <v>7237.7045816912678</v>
      </c>
      <c r="F50" s="383">
        <f t="shared" si="59"/>
        <v>7327.4328269315129</v>
      </c>
      <c r="G50" s="383">
        <f t="shared" si="59"/>
        <v>7823.1813818838664</v>
      </c>
      <c r="H50" s="383">
        <f t="shared" si="59"/>
        <v>4647.9231034446948</v>
      </c>
      <c r="I50" s="383">
        <f t="shared" si="59"/>
        <v>2387.892926456022</v>
      </c>
      <c r="J50" s="383">
        <f t="shared" si="59"/>
        <v>1769.889637363834</v>
      </c>
      <c r="K50" s="383">
        <f t="shared" si="59"/>
        <v>3774.194315417808</v>
      </c>
      <c r="L50" s="383">
        <f t="shared" si="59"/>
        <v>6145.2631958912843</v>
      </c>
      <c r="M50" s="383">
        <f t="shared" si="59"/>
        <v>5338.8305917945818</v>
      </c>
      <c r="N50" s="383">
        <f t="shared" si="59"/>
        <v>6168.8168602668484</v>
      </c>
      <c r="O50" s="383">
        <f t="shared" si="59"/>
        <v>6874.3051884682754</v>
      </c>
      <c r="P50" s="384">
        <f t="shared" si="33"/>
        <v>-148.7970609690401</v>
      </c>
      <c r="Q50" s="385">
        <f t="shared" si="34"/>
        <v>724.39396535658034</v>
      </c>
      <c r="R50" s="385">
        <f t="shared" si="35"/>
        <v>380.45598006618911</v>
      </c>
      <c r="S50" s="385">
        <f t="shared" si="36"/>
        <v>-223.70458169126778</v>
      </c>
      <c r="T50" s="385">
        <f t="shared" si="37"/>
        <v>485.56717306848714</v>
      </c>
      <c r="U50" s="385">
        <f t="shared" si="38"/>
        <v>-274.18138188386638</v>
      </c>
      <c r="V50" s="385">
        <f t="shared" si="39"/>
        <v>-482.92310344469479</v>
      </c>
      <c r="W50" s="385">
        <f t="shared" si="40"/>
        <v>711.107073543978</v>
      </c>
      <c r="X50" s="385">
        <f t="shared" si="41"/>
        <v>-6.8896373638340265</v>
      </c>
      <c r="Y50" s="385">
        <f t="shared" si="42"/>
        <v>-85.194315417807957</v>
      </c>
      <c r="Z50" s="385">
        <f t="shared" si="43"/>
        <v>-505.26319589128434</v>
      </c>
      <c r="AA50" s="385">
        <f t="shared" si="44"/>
        <v>-561.83059179458178</v>
      </c>
      <c r="AB50" s="385">
        <f t="shared" si="45"/>
        <v>-487.81686026684838</v>
      </c>
      <c r="AC50" s="385">
        <f t="shared" si="46"/>
        <v>-448.30518846827545</v>
      </c>
      <c r="AD50" s="386">
        <f t="shared" si="49"/>
        <v>22140.565353024238</v>
      </c>
      <c r="AE50" s="366">
        <f t="shared" si="47"/>
        <v>524746.61704503046</v>
      </c>
      <c r="AF50" s="366">
        <f t="shared" si="47"/>
        <v>144746.75276812448</v>
      </c>
      <c r="AG50" s="366">
        <f t="shared" si="47"/>
        <v>50043.7398696651</v>
      </c>
      <c r="AH50" s="366">
        <f t="shared" si="47"/>
        <v>235775.47956172214</v>
      </c>
      <c r="AI50" s="366">
        <f t="shared" si="47"/>
        <v>75175.430171746571</v>
      </c>
      <c r="AJ50" s="366">
        <f t="shared" si="47"/>
        <v>233214.72384065538</v>
      </c>
      <c r="AK50" s="366">
        <f t="shared" si="47"/>
        <v>505673.27004428057</v>
      </c>
      <c r="AL50" s="366">
        <f t="shared" si="47"/>
        <v>47.467103005137872</v>
      </c>
      <c r="AM50" s="366">
        <f t="shared" si="47"/>
        <v>7258.0713795089505</v>
      </c>
      <c r="AN50" s="366">
        <f t="shared" si="47"/>
        <v>255290.89712227439</v>
      </c>
      <c r="AO50" s="366">
        <f t="shared" si="47"/>
        <v>315653.61387624999</v>
      </c>
      <c r="AP50" s="366">
        <f t="shared" si="47"/>
        <v>237965.28916060587</v>
      </c>
      <c r="AQ50" s="366">
        <f t="shared" si="47"/>
        <v>200977.54200757598</v>
      </c>
      <c r="AR50" s="386">
        <f t="shared" si="50"/>
        <v>200622.10423596209</v>
      </c>
      <c r="AS50" s="387">
        <f t="shared" si="51"/>
        <v>447.90858915180684</v>
      </c>
    </row>
    <row r="51" spans="1:45" x14ac:dyDescent="0.25">
      <c r="A51" s="367">
        <v>40791</v>
      </c>
      <c r="B51" s="382">
        <f t="shared" ref="B51:O51" si="60">B31*$AR31</f>
        <v>10416.040653855478</v>
      </c>
      <c r="C51" s="383">
        <f t="shared" si="60"/>
        <v>7302.1467393066496</v>
      </c>
      <c r="D51" s="383">
        <f t="shared" si="60"/>
        <v>4645.7288241252681</v>
      </c>
      <c r="E51" s="383">
        <f t="shared" si="60"/>
        <v>7083.7811071503502</v>
      </c>
      <c r="F51" s="383">
        <f t="shared" si="60"/>
        <v>7281.4020042518005</v>
      </c>
      <c r="G51" s="383">
        <f t="shared" si="60"/>
        <v>7662.4500323645434</v>
      </c>
      <c r="H51" s="383">
        <f t="shared" si="60"/>
        <v>4524.5358982785219</v>
      </c>
      <c r="I51" s="383">
        <f t="shared" si="60"/>
        <v>2943.5687214669147</v>
      </c>
      <c r="J51" s="383">
        <f t="shared" si="60"/>
        <v>1726.1803221955461</v>
      </c>
      <c r="K51" s="383">
        <f t="shared" si="60"/>
        <v>3713.3075748178699</v>
      </c>
      <c r="L51" s="383">
        <f t="shared" si="60"/>
        <v>6019.2486503883911</v>
      </c>
      <c r="M51" s="383">
        <f t="shared" si="60"/>
        <v>5197.1020453199235</v>
      </c>
      <c r="N51" s="383">
        <f t="shared" si="60"/>
        <v>6021.432306709954</v>
      </c>
      <c r="O51" s="383">
        <f t="shared" si="60"/>
        <v>6816.2832077588828</v>
      </c>
      <c r="P51" s="384">
        <f t="shared" si="33"/>
        <v>67.959346144521987</v>
      </c>
      <c r="Q51" s="385">
        <f t="shared" si="34"/>
        <v>898.85326069335042</v>
      </c>
      <c r="R51" s="385">
        <f t="shared" si="35"/>
        <v>425.27117587473185</v>
      </c>
      <c r="S51" s="385">
        <f t="shared" si="36"/>
        <v>-69.781107150350181</v>
      </c>
      <c r="T51" s="385">
        <f t="shared" si="37"/>
        <v>531.59799574819954</v>
      </c>
      <c r="U51" s="385">
        <f t="shared" si="38"/>
        <v>-113.4500323645434</v>
      </c>
      <c r="V51" s="385">
        <f t="shared" si="39"/>
        <v>-359.53589827852193</v>
      </c>
      <c r="W51" s="385">
        <f t="shared" si="40"/>
        <v>155.43127853308533</v>
      </c>
      <c r="X51" s="385">
        <f t="shared" si="41"/>
        <v>36.819677804453931</v>
      </c>
      <c r="Y51" s="385">
        <f t="shared" si="42"/>
        <v>-24.307574817869863</v>
      </c>
      <c r="Z51" s="385">
        <f t="shared" si="43"/>
        <v>-379.24865038839107</v>
      </c>
      <c r="AA51" s="385">
        <f t="shared" si="44"/>
        <v>-420.10204531992349</v>
      </c>
      <c r="AB51" s="385">
        <f t="shared" si="45"/>
        <v>-340.43230670995399</v>
      </c>
      <c r="AC51" s="385">
        <f t="shared" si="46"/>
        <v>-390.28320775888278</v>
      </c>
      <c r="AD51" s="386">
        <f t="shared" si="49"/>
        <v>4618.4727283909551</v>
      </c>
      <c r="AE51" s="366">
        <f t="shared" si="47"/>
        <v>807937.18425906822</v>
      </c>
      <c r="AF51" s="366">
        <f t="shared" si="47"/>
        <v>180855.57302987712</v>
      </c>
      <c r="AG51" s="366">
        <f t="shared" si="47"/>
        <v>4869.4029151286531</v>
      </c>
      <c r="AH51" s="366">
        <f t="shared" si="47"/>
        <v>282596.42908350279</v>
      </c>
      <c r="AI51" s="366">
        <f t="shared" si="47"/>
        <v>12870.909843515945</v>
      </c>
      <c r="AJ51" s="366">
        <f t="shared" si="47"/>
        <v>129266.06215094366</v>
      </c>
      <c r="AK51" s="366">
        <f t="shared" si="47"/>
        <v>24158.882346429553</v>
      </c>
      <c r="AL51" s="366">
        <f t="shared" si="47"/>
        <v>1355.6886736237975</v>
      </c>
      <c r="AM51" s="366">
        <f t="shared" si="47"/>
        <v>590.8581935263411</v>
      </c>
      <c r="AN51" s="366">
        <f t="shared" si="47"/>
        <v>143829.53882141609</v>
      </c>
      <c r="AO51" s="366">
        <f t="shared" si="47"/>
        <v>176485.72848198304</v>
      </c>
      <c r="AP51" s="366">
        <f t="shared" si="47"/>
        <v>115894.15545186019</v>
      </c>
      <c r="AQ51" s="366">
        <f t="shared" si="47"/>
        <v>152320.98225856325</v>
      </c>
      <c r="AR51" s="386">
        <f t="shared" si="50"/>
        <v>145546.41915984495</v>
      </c>
      <c r="AS51" s="387">
        <f t="shared" si="51"/>
        <v>381.50546412842499</v>
      </c>
    </row>
    <row r="52" spans="1:45" x14ac:dyDescent="0.25">
      <c r="A52" s="367">
        <v>40792</v>
      </c>
      <c r="B52" s="382">
        <f t="shared" ref="B52:O52" si="61">B32*$AR32</f>
        <v>10305.523358491375</v>
      </c>
      <c r="C52" s="383">
        <f t="shared" si="61"/>
        <v>7214.2976346166352</v>
      </c>
      <c r="D52" s="383">
        <f t="shared" si="61"/>
        <v>4624.4391802227983</v>
      </c>
      <c r="E52" s="383">
        <f t="shared" si="61"/>
        <v>7043.9405839112951</v>
      </c>
      <c r="F52" s="383">
        <f t="shared" si="61"/>
        <v>7325.3531803296091</v>
      </c>
      <c r="G52" s="383">
        <f t="shared" si="61"/>
        <v>7626.1735420181521</v>
      </c>
      <c r="H52" s="383">
        <f t="shared" si="61"/>
        <v>4468.0988488792909</v>
      </c>
      <c r="I52" s="383">
        <f t="shared" si="61"/>
        <v>3248.6442643999285</v>
      </c>
      <c r="J52" s="383">
        <f t="shared" si="61"/>
        <v>1713.2743896885117</v>
      </c>
      <c r="K52" s="383">
        <f t="shared" si="61"/>
        <v>3691.7882380701476</v>
      </c>
      <c r="L52" s="383">
        <f t="shared" si="61"/>
        <v>5960.3403563235324</v>
      </c>
      <c r="M52" s="383">
        <f t="shared" si="61"/>
        <v>5132.2757047937803</v>
      </c>
      <c r="N52" s="383">
        <f t="shared" si="61"/>
        <v>5947.4018461433807</v>
      </c>
      <c r="O52" s="383">
        <f t="shared" si="61"/>
        <v>6760.371569129622</v>
      </c>
      <c r="P52" s="384">
        <f t="shared" si="33"/>
        <v>178.47664150862511</v>
      </c>
      <c r="Q52" s="385">
        <f t="shared" si="34"/>
        <v>986.70236538336485</v>
      </c>
      <c r="R52" s="385">
        <f t="shared" si="35"/>
        <v>446.56081977720169</v>
      </c>
      <c r="S52" s="385">
        <f t="shared" si="36"/>
        <v>-29.940583911295107</v>
      </c>
      <c r="T52" s="385">
        <f t="shared" si="37"/>
        <v>487.64681967039087</v>
      </c>
      <c r="U52" s="385">
        <f t="shared" si="38"/>
        <v>-77.173542018152148</v>
      </c>
      <c r="V52" s="385">
        <f t="shared" si="39"/>
        <v>-303.09884887929093</v>
      </c>
      <c r="W52" s="385">
        <f t="shared" si="40"/>
        <v>-149.64426439992849</v>
      </c>
      <c r="X52" s="385">
        <f t="shared" si="41"/>
        <v>49.725610311488254</v>
      </c>
      <c r="Y52" s="385">
        <f t="shared" si="42"/>
        <v>-2.7882380701475995</v>
      </c>
      <c r="Z52" s="385">
        <f t="shared" si="43"/>
        <v>-320.34035632353243</v>
      </c>
      <c r="AA52" s="385">
        <f t="shared" si="44"/>
        <v>-355.27570479378028</v>
      </c>
      <c r="AB52" s="385">
        <f t="shared" si="45"/>
        <v>-266.40184614338068</v>
      </c>
      <c r="AC52" s="385">
        <f t="shared" si="46"/>
        <v>-334.371569129622</v>
      </c>
      <c r="AD52" s="386">
        <f t="shared" si="49"/>
        <v>31853.911564198283</v>
      </c>
      <c r="AE52" s="366">
        <f t="shared" si="47"/>
        <v>973581.55785312725</v>
      </c>
      <c r="AF52" s="366">
        <f t="shared" si="47"/>
        <v>199416.56576008641</v>
      </c>
      <c r="AG52" s="366">
        <f t="shared" si="47"/>
        <v>896.43856494930344</v>
      </c>
      <c r="AH52" s="366">
        <f t="shared" si="47"/>
        <v>237799.4207346467</v>
      </c>
      <c r="AI52" s="366">
        <f t="shared" si="47"/>
        <v>5955.7555876274946</v>
      </c>
      <c r="AJ52" s="366">
        <f t="shared" si="47"/>
        <v>91868.91219195124</v>
      </c>
      <c r="AK52" s="366">
        <f t="shared" si="47"/>
        <v>22393.405867795704</v>
      </c>
      <c r="AL52" s="366">
        <f t="shared" si="47"/>
        <v>2472.636320849987</v>
      </c>
      <c r="AM52" s="366">
        <f t="shared" si="47"/>
        <v>7.77427153582041</v>
      </c>
      <c r="AN52" s="366">
        <f t="shared" si="47"/>
        <v>102617.94388948772</v>
      </c>
      <c r="AO52" s="366">
        <f t="shared" si="47"/>
        <v>126220.8264167173</v>
      </c>
      <c r="AP52" s="366">
        <f t="shared" si="47"/>
        <v>70969.943628601468</v>
      </c>
      <c r="AQ52" s="366">
        <f t="shared" si="47"/>
        <v>111804.34624220559</v>
      </c>
      <c r="AR52" s="386">
        <f t="shared" si="50"/>
        <v>141275.67420669858</v>
      </c>
      <c r="AS52" s="387">
        <f t="shared" si="51"/>
        <v>375.86656436386914</v>
      </c>
    </row>
    <row r="53" spans="1:45" x14ac:dyDescent="0.25">
      <c r="A53" s="367">
        <v>40793</v>
      </c>
      <c r="B53" s="382">
        <f t="shared" ref="B53:O53" si="62">B33*$AR33</f>
        <v>10242.844591893449</v>
      </c>
      <c r="C53" s="383">
        <f t="shared" si="62"/>
        <v>7180.7054869110762</v>
      </c>
      <c r="D53" s="383">
        <f t="shared" si="62"/>
        <v>4623.2086207134134</v>
      </c>
      <c r="E53" s="383">
        <f t="shared" si="62"/>
        <v>7031.7770979703664</v>
      </c>
      <c r="F53" s="383">
        <f t="shared" si="62"/>
        <v>7531.0622004622437</v>
      </c>
      <c r="G53" s="383">
        <f t="shared" si="62"/>
        <v>7715.3476889356407</v>
      </c>
      <c r="H53" s="383">
        <f t="shared" si="62"/>
        <v>4442.137414015715</v>
      </c>
      <c r="I53" s="383">
        <f t="shared" si="62"/>
        <v>3276.4245566956242</v>
      </c>
      <c r="J53" s="383">
        <f t="shared" si="62"/>
        <v>1702.4979138617875</v>
      </c>
      <c r="K53" s="383">
        <f t="shared" si="62"/>
        <v>3668.5669333308751</v>
      </c>
      <c r="L53" s="383">
        <f t="shared" si="62"/>
        <v>5944.2784305256118</v>
      </c>
      <c r="M53" s="383">
        <f t="shared" si="62"/>
        <v>5099.9937507753993</v>
      </c>
      <c r="N53" s="383">
        <f t="shared" si="62"/>
        <v>5912.135612768624</v>
      </c>
      <c r="O53" s="383">
        <f t="shared" si="62"/>
        <v>6741.4203108989095</v>
      </c>
      <c r="P53" s="384">
        <f t="shared" si="33"/>
        <v>241.15540810655148</v>
      </c>
      <c r="Q53" s="385">
        <f t="shared" si="34"/>
        <v>1020.2945130889238</v>
      </c>
      <c r="R53" s="385">
        <f t="shared" si="35"/>
        <v>447.79137928658656</v>
      </c>
      <c r="S53" s="385">
        <f t="shared" si="36"/>
        <v>-17.777097970366412</v>
      </c>
      <c r="T53" s="385">
        <f t="shared" si="37"/>
        <v>281.93779953775629</v>
      </c>
      <c r="U53" s="385">
        <f t="shared" si="38"/>
        <v>-166.34768893564069</v>
      </c>
      <c r="V53" s="385">
        <f t="shared" si="39"/>
        <v>-277.13741401571497</v>
      </c>
      <c r="W53" s="385">
        <f t="shared" si="40"/>
        <v>-177.42455669562423</v>
      </c>
      <c r="X53" s="385">
        <f t="shared" si="41"/>
        <v>60.502086138212462</v>
      </c>
      <c r="Y53" s="385">
        <f t="shared" si="42"/>
        <v>20.433066669124855</v>
      </c>
      <c r="Z53" s="385">
        <f t="shared" si="43"/>
        <v>-304.27843052561184</v>
      </c>
      <c r="AA53" s="385">
        <f t="shared" si="44"/>
        <v>-322.99375077539935</v>
      </c>
      <c r="AB53" s="385">
        <f t="shared" si="45"/>
        <v>-231.13561276862401</v>
      </c>
      <c r="AC53" s="385">
        <f t="shared" si="46"/>
        <v>-315.42031089890952</v>
      </c>
      <c r="AD53" s="386">
        <f t="shared" si="49"/>
        <v>58155.930859037391</v>
      </c>
      <c r="AE53" s="366">
        <f t="shared" si="47"/>
        <v>1041000.8934393642</v>
      </c>
      <c r="AF53" s="366">
        <f t="shared" si="47"/>
        <v>200517.11936338362</v>
      </c>
      <c r="AG53" s="366">
        <f t="shared" si="47"/>
        <v>316.02521224800563</v>
      </c>
      <c r="AH53" s="366">
        <f t="shared" si="47"/>
        <v>79488.922808192045</v>
      </c>
      <c r="AI53" s="366">
        <f t="shared" si="47"/>
        <v>27671.553614228676</v>
      </c>
      <c r="AJ53" s="366">
        <f t="shared" si="47"/>
        <v>76805.146247317811</v>
      </c>
      <c r="AK53" s="366">
        <f t="shared" si="47"/>
        <v>31479.473318638778</v>
      </c>
      <c r="AL53" s="366">
        <f t="shared" si="47"/>
        <v>3660.5024270756808</v>
      </c>
      <c r="AM53" s="366">
        <f t="shared" si="47"/>
        <v>417.51021350490112</v>
      </c>
      <c r="AN53" s="366">
        <f t="shared" si="47"/>
        <v>92585.363283129584</v>
      </c>
      <c r="AO53" s="366">
        <f t="shared" si="47"/>
        <v>104324.96303996078</v>
      </c>
      <c r="AP53" s="366">
        <f t="shared" si="47"/>
        <v>53423.671489927307</v>
      </c>
      <c r="AQ53" s="366">
        <f t="shared" si="47"/>
        <v>99489.972527564736</v>
      </c>
      <c r="AR53" s="386">
        <f t="shared" si="50"/>
        <v>133524.07484596953</v>
      </c>
      <c r="AS53" s="387">
        <f t="shared" si="51"/>
        <v>365.40946189989324</v>
      </c>
    </row>
    <row r="54" spans="1:45" x14ac:dyDescent="0.25">
      <c r="A54" s="367">
        <v>40794</v>
      </c>
      <c r="B54" s="388">
        <f t="shared" ref="B54:O54" si="63">B34*$AR34</f>
        <v>10208.545343241805</v>
      </c>
      <c r="C54" s="389">
        <f t="shared" si="63"/>
        <v>7158.6717736532164</v>
      </c>
      <c r="D54" s="389">
        <f t="shared" si="63"/>
        <v>4610.0012032627519</v>
      </c>
      <c r="E54" s="389">
        <f t="shared" si="63"/>
        <v>7026.4394930137105</v>
      </c>
      <c r="F54" s="389">
        <f t="shared" si="63"/>
        <v>7654.5428260513609</v>
      </c>
      <c r="G54" s="389">
        <f t="shared" si="63"/>
        <v>7706.7959046911656</v>
      </c>
      <c r="H54" s="389">
        <f t="shared" si="63"/>
        <v>4425.5158439834422</v>
      </c>
      <c r="I54" s="389">
        <f t="shared" si="63"/>
        <v>3279.1472819877313</v>
      </c>
      <c r="J54" s="389">
        <f t="shared" si="63"/>
        <v>1705.1565866336202</v>
      </c>
      <c r="K54" s="389">
        <f t="shared" si="63"/>
        <v>3689.707185586195</v>
      </c>
      <c r="L54" s="389">
        <f t="shared" si="63"/>
        <v>5936.5895670977889</v>
      </c>
      <c r="M54" s="389">
        <f t="shared" si="63"/>
        <v>5085.6108578209723</v>
      </c>
      <c r="N54" s="389">
        <f t="shared" si="63"/>
        <v>5898.1995501379324</v>
      </c>
      <c r="O54" s="389">
        <f t="shared" si="63"/>
        <v>6718.2529679748641</v>
      </c>
      <c r="P54" s="390">
        <f t="shared" si="33"/>
        <v>275.45465675819469</v>
      </c>
      <c r="Q54" s="391">
        <f t="shared" si="34"/>
        <v>1042.3282263467836</v>
      </c>
      <c r="R54" s="391">
        <f t="shared" si="35"/>
        <v>460.99879673724809</v>
      </c>
      <c r="S54" s="391">
        <f t="shared" si="36"/>
        <v>-12.439493013710489</v>
      </c>
      <c r="T54" s="391">
        <f t="shared" si="37"/>
        <v>158.45717394863914</v>
      </c>
      <c r="U54" s="391">
        <f t="shared" si="38"/>
        <v>-157.79590469116556</v>
      </c>
      <c r="V54" s="391">
        <f t="shared" si="39"/>
        <v>-260.51584398344221</v>
      </c>
      <c r="W54" s="391">
        <f t="shared" si="40"/>
        <v>-180.14728198773128</v>
      </c>
      <c r="X54" s="391">
        <f t="shared" si="41"/>
        <v>57.843413366379764</v>
      </c>
      <c r="Y54" s="391">
        <f t="shared" si="42"/>
        <v>-0.70718558619500982</v>
      </c>
      <c r="Z54" s="391">
        <f t="shared" si="43"/>
        <v>-296.58956709778886</v>
      </c>
      <c r="AA54" s="391">
        <f t="shared" si="44"/>
        <v>-308.61085782097234</v>
      </c>
      <c r="AB54" s="391">
        <f t="shared" si="45"/>
        <v>-217.19955013793242</v>
      </c>
      <c r="AC54" s="391">
        <f t="shared" si="46"/>
        <v>-292.25296797486408</v>
      </c>
      <c r="AD54" s="392">
        <f t="shared" si="49"/>
        <v>75875.267929774855</v>
      </c>
      <c r="AE54" s="393">
        <f t="shared" si="47"/>
        <v>1086448.1314392318</v>
      </c>
      <c r="AF54" s="393">
        <f t="shared" si="47"/>
        <v>212519.89059319059</v>
      </c>
      <c r="AG54" s="393">
        <f t="shared" si="47"/>
        <v>154.74098643815208</v>
      </c>
      <c r="AH54" s="393">
        <f t="shared" si="47"/>
        <v>25108.675975789283</v>
      </c>
      <c r="AI54" s="393">
        <f t="shared" si="47"/>
        <v>24899.547537303406</v>
      </c>
      <c r="AJ54" s="393">
        <f t="shared" si="47"/>
        <v>67868.504966405206</v>
      </c>
      <c r="AK54" s="393">
        <f t="shared" si="47"/>
        <v>32453.043207567171</v>
      </c>
      <c r="AL54" s="393">
        <f t="shared" si="47"/>
        <v>3345.8604698738809</v>
      </c>
      <c r="AM54" s="393">
        <f t="shared" si="47"/>
        <v>0.5001114533219797</v>
      </c>
      <c r="AN54" s="393">
        <f t="shared" si="47"/>
        <v>87965.371311253795</v>
      </c>
      <c r="AO54" s="393">
        <f t="shared" si="47"/>
        <v>95240.661564996408</v>
      </c>
      <c r="AP54" s="393">
        <f t="shared" si="47"/>
        <v>47175.644580120221</v>
      </c>
      <c r="AQ54" s="393">
        <f t="shared" si="47"/>
        <v>85411.797290116927</v>
      </c>
      <c r="AR54" s="392">
        <f t="shared" si="50"/>
        <v>131747.6884259654</v>
      </c>
      <c r="AS54" s="394">
        <f t="shared" si="51"/>
        <v>362.97064402781308</v>
      </c>
    </row>
    <row r="55" spans="1:45" x14ac:dyDescent="0.25">
      <c r="A55" s="365"/>
      <c r="B55" s="383"/>
      <c r="C55" s="383"/>
      <c r="D55" s="383"/>
      <c r="E55" s="383"/>
      <c r="F55" s="383"/>
      <c r="G55" s="383"/>
      <c r="H55" s="383"/>
      <c r="I55" s="383"/>
      <c r="J55" s="383"/>
      <c r="K55" s="383"/>
      <c r="L55" s="383"/>
      <c r="M55" s="383"/>
      <c r="N55" s="383"/>
      <c r="O55" s="383"/>
      <c r="P55" s="385"/>
      <c r="Q55" s="385"/>
      <c r="R55" s="385"/>
      <c r="S55" s="385"/>
      <c r="T55" s="385"/>
      <c r="U55" s="385"/>
      <c r="V55" s="385"/>
      <c r="W55" s="385"/>
      <c r="X55" s="385"/>
      <c r="Y55" s="385"/>
      <c r="Z55" s="385"/>
      <c r="AA55" s="385"/>
      <c r="AB55" s="385"/>
      <c r="AC55" s="374"/>
      <c r="AD55" s="366"/>
      <c r="AE55" s="366"/>
      <c r="AF55" s="366"/>
      <c r="AG55" s="366"/>
      <c r="AH55" s="366"/>
      <c r="AI55" s="366"/>
      <c r="AJ55" s="366"/>
      <c r="AK55" s="366"/>
      <c r="AL55" s="366"/>
      <c r="AM55" s="366"/>
      <c r="AN55" s="366"/>
      <c r="AO55" s="366"/>
      <c r="AP55" s="366"/>
      <c r="AQ55" s="366"/>
      <c r="AR55" s="366"/>
      <c r="AS55" s="366"/>
    </row>
    <row r="56" spans="1:45" x14ac:dyDescent="0.25">
      <c r="A56" s="368" t="s">
        <v>116</v>
      </c>
      <c r="B56" s="395">
        <f t="shared" ref="B56:N56" si="64">B13*$AO13</f>
        <v>11438.878549207569</v>
      </c>
      <c r="C56" s="396">
        <f t="shared" si="64"/>
        <v>5485.1356753349919</v>
      </c>
      <c r="D56" s="396">
        <f t="shared" si="64"/>
        <v>6127.2601620103151</v>
      </c>
      <c r="E56" s="396">
        <f t="shared" si="64"/>
        <v>7570.6587499586331</v>
      </c>
      <c r="F56" s="396">
        <f t="shared" si="64"/>
        <v>7956.3755242265979</v>
      </c>
      <c r="G56" s="396">
        <f t="shared" si="64"/>
        <v>4530.2379877489684</v>
      </c>
      <c r="H56" s="396">
        <f t="shared" si="64"/>
        <v>3082.4185771729381</v>
      </c>
      <c r="I56" s="396">
        <f t="shared" si="64"/>
        <v>1808.1164547346457</v>
      </c>
      <c r="J56" s="396">
        <f t="shared" si="64"/>
        <v>3437.1895930469123</v>
      </c>
      <c r="K56" s="396">
        <f t="shared" si="64"/>
        <v>4925.9016129292886</v>
      </c>
      <c r="L56" s="396">
        <f t="shared" si="64"/>
        <v>5014.3180654835496</v>
      </c>
      <c r="M56" s="396">
        <f t="shared" si="64"/>
        <v>6058.7374112807629</v>
      </c>
      <c r="N56" s="397">
        <f t="shared" si="64"/>
        <v>6268.7264860971336</v>
      </c>
      <c r="O56" s="383"/>
      <c r="P56" s="398">
        <f t="shared" ref="P56:AB56" si="65">B14-B56</f>
        <v>-954.87854920756945</v>
      </c>
      <c r="Q56" s="399">
        <f t="shared" si="65"/>
        <v>-414.1356753349919</v>
      </c>
      <c r="R56" s="399">
        <f t="shared" si="65"/>
        <v>886.73983798968493</v>
      </c>
      <c r="S56" s="399">
        <f t="shared" si="65"/>
        <v>242.34125004136695</v>
      </c>
      <c r="T56" s="399">
        <f t="shared" si="65"/>
        <v>-407.37552422659792</v>
      </c>
      <c r="U56" s="399">
        <f t="shared" si="65"/>
        <v>-365.23798774896841</v>
      </c>
      <c r="V56" s="399">
        <f t="shared" si="65"/>
        <v>16.581422827061942</v>
      </c>
      <c r="W56" s="399">
        <f t="shared" si="65"/>
        <v>-45.116454734645686</v>
      </c>
      <c r="X56" s="399">
        <f t="shared" si="65"/>
        <v>251.81040695308775</v>
      </c>
      <c r="Y56" s="399">
        <f t="shared" si="65"/>
        <v>714.0983870707114</v>
      </c>
      <c r="Z56" s="399">
        <f t="shared" si="65"/>
        <v>-237.31806548354962</v>
      </c>
      <c r="AA56" s="399">
        <f t="shared" si="65"/>
        <v>-377.7374112807629</v>
      </c>
      <c r="AB56" s="400">
        <f t="shared" si="65"/>
        <v>157.2735139028664</v>
      </c>
      <c r="AC56" s="374"/>
      <c r="AD56" s="401">
        <f>P56^2</f>
        <v>911793.04373675259</v>
      </c>
      <c r="AE56" s="402">
        <f t="shared" ref="AE56:AP56" si="66">Q56^2</f>
        <v>171508.35758516981</v>
      </c>
      <c r="AF56" s="402">
        <f t="shared" si="66"/>
        <v>786307.5402779727</v>
      </c>
      <c r="AG56" s="402">
        <f t="shared" si="66"/>
        <v>58729.281471612332</v>
      </c>
      <c r="AH56" s="402">
        <f t="shared" si="66"/>
        <v>165954.81773889548</v>
      </c>
      <c r="AI56" s="402">
        <f t="shared" si="66"/>
        <v>133398.78769491561</v>
      </c>
      <c r="AJ56" s="402">
        <f t="shared" si="66"/>
        <v>274.94358296981085</v>
      </c>
      <c r="AK56" s="402">
        <f t="shared" si="66"/>
        <v>2035.4944878233332</v>
      </c>
      <c r="AL56" s="402">
        <f t="shared" si="66"/>
        <v>63408.481049879665</v>
      </c>
      <c r="AM56" s="402">
        <f t="shared" si="66"/>
        <v>509936.50641699159</v>
      </c>
      <c r="AN56" s="402">
        <f t="shared" si="66"/>
        <v>56319.864204854341</v>
      </c>
      <c r="AO56" s="402">
        <f t="shared" si="66"/>
        <v>142685.55188109222</v>
      </c>
      <c r="AP56" s="372">
        <f t="shared" si="66"/>
        <v>24734.95817535511</v>
      </c>
      <c r="AQ56" s="366"/>
      <c r="AR56" s="401">
        <f>AVERAGE(AD56:AP56)</f>
        <v>232852.89448494496</v>
      </c>
      <c r="AS56" s="373">
        <f>SQRT(AR56)</f>
        <v>482.5483338329384</v>
      </c>
    </row>
    <row r="57" spans="1:45" x14ac:dyDescent="0.25">
      <c r="A57" s="374"/>
      <c r="B57" s="374"/>
      <c r="C57" s="374"/>
      <c r="D57" s="374"/>
      <c r="E57" s="374"/>
      <c r="F57" s="374"/>
      <c r="G57" s="374"/>
      <c r="H57" s="374"/>
      <c r="I57" s="374"/>
      <c r="J57" s="374"/>
      <c r="K57" s="374"/>
      <c r="L57" s="374"/>
      <c r="M57" s="374"/>
      <c r="N57" s="374"/>
      <c r="O57" s="374"/>
      <c r="P57" s="374"/>
      <c r="Q57" s="374"/>
      <c r="R57" s="374"/>
      <c r="S57" s="374"/>
      <c r="T57" s="374"/>
      <c r="U57" s="374"/>
      <c r="V57" s="374"/>
      <c r="W57" s="374"/>
      <c r="X57" s="374"/>
      <c r="Y57" s="374"/>
      <c r="Z57" s="374"/>
      <c r="AA57" s="374"/>
      <c r="AB57" s="374"/>
      <c r="AC57" s="374"/>
      <c r="AD57" s="374"/>
      <c r="AE57" s="374"/>
      <c r="AF57" s="374"/>
      <c r="AG57" s="374"/>
      <c r="AH57" s="374"/>
      <c r="AI57" s="374"/>
      <c r="AJ57" s="374"/>
      <c r="AK57" s="374"/>
      <c r="AL57" s="374"/>
      <c r="AM57" s="374"/>
      <c r="AN57" s="374"/>
      <c r="AO57" s="374"/>
      <c r="AP57" s="374"/>
      <c r="AQ57" s="374"/>
      <c r="AR57" s="374"/>
      <c r="AS57" s="374"/>
    </row>
    <row r="58" spans="1:45" x14ac:dyDescent="0.25">
      <c r="A58" s="409" t="s">
        <v>84</v>
      </c>
      <c r="B58" s="410"/>
      <c r="C58" s="410"/>
      <c r="D58" s="410"/>
      <c r="E58" s="410"/>
      <c r="F58" s="410"/>
      <c r="G58" s="410"/>
      <c r="H58" s="410"/>
      <c r="I58" s="410"/>
      <c r="J58" s="410"/>
      <c r="K58" s="410"/>
      <c r="L58" s="410"/>
      <c r="M58" s="410"/>
      <c r="N58" s="410"/>
      <c r="O58" s="410"/>
      <c r="P58" s="411" t="s">
        <v>85</v>
      </c>
      <c r="Q58" s="410"/>
      <c r="R58" s="410"/>
      <c r="S58" s="410"/>
      <c r="T58" s="410"/>
      <c r="U58" s="410"/>
      <c r="V58" s="410"/>
      <c r="W58" s="410"/>
      <c r="X58" s="410"/>
      <c r="Y58" s="410"/>
      <c r="Z58" s="410"/>
      <c r="AA58" s="410"/>
      <c r="AB58" s="410"/>
      <c r="AC58" s="410"/>
      <c r="AD58" s="411" t="s">
        <v>86</v>
      </c>
      <c r="AE58" s="410"/>
      <c r="AF58" s="410"/>
      <c r="AG58" s="410"/>
      <c r="AH58" s="410"/>
      <c r="AI58" s="410"/>
      <c r="AJ58" s="410"/>
      <c r="AK58" s="410"/>
      <c r="AL58" s="410"/>
      <c r="AM58" s="410"/>
      <c r="AN58" s="410"/>
      <c r="AO58" s="410"/>
      <c r="AP58" s="410"/>
      <c r="AQ58" s="410"/>
      <c r="AR58" s="412" t="s">
        <v>87</v>
      </c>
      <c r="AS58" s="412" t="s">
        <v>88</v>
      </c>
    </row>
    <row r="59" spans="1:45" x14ac:dyDescent="0.25">
      <c r="A59" s="367">
        <v>40781</v>
      </c>
      <c r="B59" s="375">
        <f t="shared" ref="B59:O59" si="67">(B21*$AW21)+$AX21</f>
        <v>9889.1444825259096</v>
      </c>
      <c r="C59" s="376">
        <f t="shared" si="67"/>
        <v>3801.5301729475996</v>
      </c>
      <c r="D59" s="376">
        <f t="shared" si="67"/>
        <v>5533.2753176171918</v>
      </c>
      <c r="E59" s="376">
        <f t="shared" si="67"/>
        <v>6607.664142065265</v>
      </c>
      <c r="F59" s="376">
        <f t="shared" si="67"/>
        <v>5864.6041080514242</v>
      </c>
      <c r="G59" s="376">
        <f t="shared" si="67"/>
        <v>7459.4000193415332</v>
      </c>
      <c r="H59" s="376">
        <f t="shared" si="67"/>
        <v>5407.8121489727619</v>
      </c>
      <c r="I59" s="376">
        <f t="shared" si="67"/>
        <v>3699.0391337732772</v>
      </c>
      <c r="J59" s="376">
        <f t="shared" si="67"/>
        <v>3342.9711269866211</v>
      </c>
      <c r="K59" s="376">
        <f t="shared" si="67"/>
        <v>4587.0002921370215</v>
      </c>
      <c r="L59" s="376">
        <f t="shared" si="67"/>
        <v>6243.6442443081869</v>
      </c>
      <c r="M59" s="376">
        <f t="shared" si="67"/>
        <v>6138.5025748103908</v>
      </c>
      <c r="N59" s="376">
        <f t="shared" si="67"/>
        <v>6293.1226770130324</v>
      </c>
      <c r="O59" s="376">
        <f t="shared" si="67"/>
        <v>6504.2895594497841</v>
      </c>
      <c r="P59" s="377">
        <f>B$35-B59</f>
        <v>594.85551747409045</v>
      </c>
      <c r="Q59" s="378">
        <f t="shared" ref="Q59:AC72" si="68">C$35-C59</f>
        <v>4399.4698270524004</v>
      </c>
      <c r="R59" s="378">
        <f t="shared" si="68"/>
        <v>-462.27531761719183</v>
      </c>
      <c r="S59" s="378">
        <f t="shared" si="68"/>
        <v>406.33585793473503</v>
      </c>
      <c r="T59" s="378">
        <f t="shared" si="68"/>
        <v>1948.3958919485758</v>
      </c>
      <c r="U59" s="378">
        <f t="shared" si="68"/>
        <v>89.599980658466848</v>
      </c>
      <c r="V59" s="378">
        <f t="shared" si="68"/>
        <v>-1242.8121489727619</v>
      </c>
      <c r="W59" s="378">
        <f t="shared" si="68"/>
        <v>-600.03913377327717</v>
      </c>
      <c r="X59" s="378">
        <f t="shared" si="68"/>
        <v>-1579.9711269866211</v>
      </c>
      <c r="Y59" s="378">
        <f t="shared" si="68"/>
        <v>-898.00029213702146</v>
      </c>
      <c r="Z59" s="378">
        <f t="shared" si="68"/>
        <v>-603.6442443081869</v>
      </c>
      <c r="AA59" s="378">
        <f t="shared" si="68"/>
        <v>-1361.5025748103908</v>
      </c>
      <c r="AB59" s="378">
        <f t="shared" si="68"/>
        <v>-612.12267701303244</v>
      </c>
      <c r="AC59" s="378">
        <f t="shared" si="68"/>
        <v>-78.289559449784065</v>
      </c>
      <c r="AD59" s="379">
        <f>P59^2</f>
        <v>353853.08666936791</v>
      </c>
      <c r="AE59" s="380">
        <f t="shared" ref="AE59:AQ72" si="69">Q59^2</f>
        <v>19355334.759144478</v>
      </c>
      <c r="AF59" s="380">
        <f t="shared" si="69"/>
        <v>213698.46927807559</v>
      </c>
      <c r="AG59" s="380">
        <f t="shared" si="69"/>
        <v>165108.82944355716</v>
      </c>
      <c r="AH59" s="380">
        <f t="shared" si="69"/>
        <v>3796246.5517620863</v>
      </c>
      <c r="AI59" s="380">
        <f t="shared" si="69"/>
        <v>8028.1565339976332</v>
      </c>
      <c r="AJ59" s="380">
        <f t="shared" si="69"/>
        <v>1544582.0376342945</v>
      </c>
      <c r="AK59" s="380">
        <f t="shared" si="69"/>
        <v>360046.96205938479</v>
      </c>
      <c r="AL59" s="380">
        <f t="shared" si="69"/>
        <v>2496308.7621113737</v>
      </c>
      <c r="AM59" s="380">
        <f t="shared" si="69"/>
        <v>806404.52467817592</v>
      </c>
      <c r="AN59" s="380">
        <f t="shared" si="69"/>
        <v>364386.37368640205</v>
      </c>
      <c r="AO59" s="380">
        <f t="shared" si="69"/>
        <v>1853689.2612153238</v>
      </c>
      <c r="AP59" s="380">
        <f t="shared" si="69"/>
        <v>374694.17171360122</v>
      </c>
      <c r="AQ59" s="380">
        <f t="shared" si="69"/>
        <v>6129.2551188412735</v>
      </c>
      <c r="AR59" s="381">
        <f t="shared" ref="AR59:AR71" si="70">SUM(AD59:AQ59)/(COUNT(AD59:AQ59)-2)</f>
        <v>2641542.6000874131</v>
      </c>
      <c r="AS59" s="369">
        <f>SQRT(AR59)</f>
        <v>1625.2823139649963</v>
      </c>
    </row>
    <row r="60" spans="1:45" x14ac:dyDescent="0.25">
      <c r="A60" s="367">
        <v>40782</v>
      </c>
      <c r="B60" s="382">
        <f t="shared" ref="B60:O60" si="71">(B22*$AW22)+$AX22</f>
        <v>9917.5577393647236</v>
      </c>
      <c r="C60" s="383">
        <f t="shared" si="71"/>
        <v>3737.1723034485813</v>
      </c>
      <c r="D60" s="383">
        <f t="shared" si="71"/>
        <v>5487.7120828679481</v>
      </c>
      <c r="E60" s="383">
        <f t="shared" si="71"/>
        <v>6590.003695383688</v>
      </c>
      <c r="F60" s="383">
        <f t="shared" si="71"/>
        <v>6281.6137907402135</v>
      </c>
      <c r="G60" s="383">
        <f t="shared" si="71"/>
        <v>7506.1824499950562</v>
      </c>
      <c r="H60" s="383">
        <f t="shared" si="71"/>
        <v>5358.2422686736036</v>
      </c>
      <c r="I60" s="383">
        <f t="shared" si="71"/>
        <v>3628.3816956880555</v>
      </c>
      <c r="J60" s="383">
        <f t="shared" si="71"/>
        <v>3256.1559798793151</v>
      </c>
      <c r="K60" s="383">
        <f t="shared" si="71"/>
        <v>4546.3586421632344</v>
      </c>
      <c r="L60" s="383">
        <f t="shared" si="71"/>
        <v>6211.4843080516112</v>
      </c>
      <c r="M60" s="383">
        <f t="shared" si="71"/>
        <v>6104.4918921548942</v>
      </c>
      <c r="N60" s="383">
        <f t="shared" si="71"/>
        <v>6268.1273517616355</v>
      </c>
      <c r="O60" s="383">
        <f t="shared" si="71"/>
        <v>6478.5157998274462</v>
      </c>
      <c r="P60" s="384">
        <f t="shared" ref="P60:P72" si="72">B$35-B60</f>
        <v>566.4422606352764</v>
      </c>
      <c r="Q60" s="385">
        <f t="shared" si="68"/>
        <v>4463.8276965514187</v>
      </c>
      <c r="R60" s="385">
        <f t="shared" si="68"/>
        <v>-416.71208286794808</v>
      </c>
      <c r="S60" s="385">
        <f t="shared" si="68"/>
        <v>423.99630461631205</v>
      </c>
      <c r="T60" s="385">
        <f t="shared" si="68"/>
        <v>1531.3862092597865</v>
      </c>
      <c r="U60" s="385">
        <f t="shared" si="68"/>
        <v>42.817550004943769</v>
      </c>
      <c r="V60" s="385">
        <f t="shared" si="68"/>
        <v>-1193.2422686736036</v>
      </c>
      <c r="W60" s="385">
        <f t="shared" si="68"/>
        <v>-529.38169568805552</v>
      </c>
      <c r="X60" s="385">
        <f t="shared" si="68"/>
        <v>-1493.1559798793151</v>
      </c>
      <c r="Y60" s="385">
        <f t="shared" si="68"/>
        <v>-857.35864216323444</v>
      </c>
      <c r="Z60" s="385">
        <f t="shared" si="68"/>
        <v>-571.48430805161115</v>
      </c>
      <c r="AA60" s="385">
        <f t="shared" si="68"/>
        <v>-1327.4918921548942</v>
      </c>
      <c r="AB60" s="385">
        <f t="shared" si="68"/>
        <v>-587.12735176163551</v>
      </c>
      <c r="AC60" s="385">
        <f t="shared" si="68"/>
        <v>-52.515799827446244</v>
      </c>
      <c r="AD60" s="386">
        <f t="shared" ref="AD60:AD71" si="73">P60^2</f>
        <v>320856.83463360241</v>
      </c>
      <c r="AE60" s="366">
        <f t="shared" si="69"/>
        <v>19925757.704499546</v>
      </c>
      <c r="AF60" s="366">
        <f t="shared" si="69"/>
        <v>173648.96000814362</v>
      </c>
      <c r="AG60" s="366">
        <f t="shared" si="69"/>
        <v>179772.86632828848</v>
      </c>
      <c r="AH60" s="366">
        <f t="shared" si="69"/>
        <v>2345143.7219110588</v>
      </c>
      <c r="AI60" s="366">
        <f t="shared" si="69"/>
        <v>1833.3425884258602</v>
      </c>
      <c r="AJ60" s="366">
        <f t="shared" si="69"/>
        <v>1423827.1117493284</v>
      </c>
      <c r="AK60" s="366">
        <f t="shared" si="69"/>
        <v>280244.97972956102</v>
      </c>
      <c r="AL60" s="366">
        <f t="shared" si="69"/>
        <v>2229514.7802493577</v>
      </c>
      <c r="AM60" s="366">
        <f t="shared" si="69"/>
        <v>735063.84129198513</v>
      </c>
      <c r="AN60" s="366">
        <f t="shared" si="69"/>
        <v>326594.31434922881</v>
      </c>
      <c r="AO60" s="366">
        <f t="shared" si="69"/>
        <v>1762234.7237369814</v>
      </c>
      <c r="AP60" s="366">
        <f t="shared" si="69"/>
        <v>344718.52718663128</v>
      </c>
      <c r="AQ60" s="366">
        <f t="shared" si="69"/>
        <v>2757.909231516403</v>
      </c>
      <c r="AR60" s="387">
        <f t="shared" si="70"/>
        <v>2504330.8014578051</v>
      </c>
      <c r="AS60" s="370">
        <f t="shared" ref="AS60:AS72" si="74">SQRT(AR60)</f>
        <v>1582.5077571556499</v>
      </c>
    </row>
    <row r="61" spans="1:45" x14ac:dyDescent="0.25">
      <c r="A61" s="367">
        <v>40783</v>
      </c>
      <c r="B61" s="382">
        <f t="shared" ref="B61:O61" si="75">(B23*$AW23)+$AX23</f>
        <v>9816.8108978002838</v>
      </c>
      <c r="C61" s="383">
        <f t="shared" si="75"/>
        <v>3697.6337087262764</v>
      </c>
      <c r="D61" s="383">
        <f t="shared" si="75"/>
        <v>5476.0084421845932</v>
      </c>
      <c r="E61" s="383">
        <f t="shared" si="75"/>
        <v>6522.0064066535624</v>
      </c>
      <c r="F61" s="383">
        <f t="shared" si="75"/>
        <v>6578.1374728899727</v>
      </c>
      <c r="G61" s="383">
        <f t="shared" si="75"/>
        <v>7475.3435633671897</v>
      </c>
      <c r="H61" s="383">
        <f t="shared" si="75"/>
        <v>5297.814581116625</v>
      </c>
      <c r="I61" s="383">
        <f t="shared" si="75"/>
        <v>3584.4806069481165</v>
      </c>
      <c r="J61" s="383">
        <f t="shared" si="75"/>
        <v>3216.5102838427638</v>
      </c>
      <c r="K61" s="383">
        <f t="shared" si="75"/>
        <v>4493.2692983947509</v>
      </c>
      <c r="L61" s="383">
        <f t="shared" si="75"/>
        <v>6145.1263904948109</v>
      </c>
      <c r="M61" s="383">
        <f t="shared" si="75"/>
        <v>6037.319104548691</v>
      </c>
      <c r="N61" s="383">
        <f t="shared" si="75"/>
        <v>6619.1220609356051</v>
      </c>
      <c r="O61" s="383">
        <f t="shared" si="75"/>
        <v>6412.4171820967631</v>
      </c>
      <c r="P61" s="384">
        <f t="shared" si="72"/>
        <v>667.18910219971622</v>
      </c>
      <c r="Q61" s="385">
        <f t="shared" si="68"/>
        <v>4503.3662912737236</v>
      </c>
      <c r="R61" s="385">
        <f t="shared" si="68"/>
        <v>-405.00844218459315</v>
      </c>
      <c r="S61" s="385">
        <f t="shared" si="68"/>
        <v>491.99359334643759</v>
      </c>
      <c r="T61" s="385">
        <f t="shared" si="68"/>
        <v>1234.8625271100273</v>
      </c>
      <c r="U61" s="385">
        <f t="shared" si="68"/>
        <v>73.656436632810255</v>
      </c>
      <c r="V61" s="385">
        <f t="shared" si="68"/>
        <v>-1132.814581116625</v>
      </c>
      <c r="W61" s="385">
        <f t="shared" si="68"/>
        <v>-485.48060694811647</v>
      </c>
      <c r="X61" s="385">
        <f t="shared" si="68"/>
        <v>-1453.5102838427638</v>
      </c>
      <c r="Y61" s="385">
        <f t="shared" si="68"/>
        <v>-804.26929839475088</v>
      </c>
      <c r="Z61" s="385">
        <f t="shared" si="68"/>
        <v>-505.12639049481095</v>
      </c>
      <c r="AA61" s="385">
        <f t="shared" si="68"/>
        <v>-1260.319104548691</v>
      </c>
      <c r="AB61" s="385">
        <f t="shared" si="68"/>
        <v>-938.12206093560508</v>
      </c>
      <c r="AC61" s="385">
        <f t="shared" si="68"/>
        <v>13.582817903236901</v>
      </c>
      <c r="AD61" s="386">
        <f t="shared" si="73"/>
        <v>445141.29809406336</v>
      </c>
      <c r="AE61" s="366">
        <f t="shared" si="69"/>
        <v>20280307.953380451</v>
      </c>
      <c r="AF61" s="366">
        <f t="shared" si="69"/>
        <v>164031.83824079094</v>
      </c>
      <c r="AG61" s="366">
        <f t="shared" si="69"/>
        <v>242057.69589393979</v>
      </c>
      <c r="AH61" s="366">
        <f t="shared" si="69"/>
        <v>1524885.4608605627</v>
      </c>
      <c r="AI61" s="366">
        <f t="shared" si="69"/>
        <v>5425.2706574431922</v>
      </c>
      <c r="AJ61" s="366">
        <f t="shared" si="69"/>
        <v>1283268.8751904347</v>
      </c>
      <c r="AK61" s="366">
        <f t="shared" si="69"/>
        <v>235691.41972271155</v>
      </c>
      <c r="AL61" s="366">
        <f t="shared" si="69"/>
        <v>2112692.1452366719</v>
      </c>
      <c r="AM61" s="366">
        <f t="shared" si="69"/>
        <v>646849.10434038483</v>
      </c>
      <c r="AN61" s="366">
        <f t="shared" si="69"/>
        <v>255152.67037431625</v>
      </c>
      <c r="AO61" s="366">
        <f t="shared" si="69"/>
        <v>1588404.2452904144</v>
      </c>
      <c r="AP61" s="366">
        <f t="shared" si="69"/>
        <v>880073.0012140671</v>
      </c>
      <c r="AQ61" s="366">
        <f t="shared" si="69"/>
        <v>184.49294219249288</v>
      </c>
      <c r="AR61" s="387">
        <f t="shared" si="70"/>
        <v>2472013.7892865366</v>
      </c>
      <c r="AS61" s="370">
        <f t="shared" si="74"/>
        <v>1572.2639057380084</v>
      </c>
    </row>
    <row r="62" spans="1:45" x14ac:dyDescent="0.25">
      <c r="A62" s="367">
        <v>40784</v>
      </c>
      <c r="B62" s="382">
        <f t="shared" ref="B62:O62" si="76">(B24*$AW24)+$AX24</f>
        <v>9912.5387042292714</v>
      </c>
      <c r="C62" s="383">
        <f t="shared" si="76"/>
        <v>3798.7045949403091</v>
      </c>
      <c r="D62" s="383">
        <f t="shared" si="76"/>
        <v>5441.8320506455675</v>
      </c>
      <c r="E62" s="383">
        <f t="shared" si="76"/>
        <v>6503.786062096332</v>
      </c>
      <c r="F62" s="383">
        <f t="shared" si="76"/>
        <v>6602.3368680158737</v>
      </c>
      <c r="G62" s="383">
        <f t="shared" si="76"/>
        <v>7500.3465481238482</v>
      </c>
      <c r="H62" s="383">
        <f t="shared" si="76"/>
        <v>5338.6760668793177</v>
      </c>
      <c r="I62" s="383">
        <f t="shared" si="76"/>
        <v>3484.6314657948533</v>
      </c>
      <c r="J62" s="383">
        <f t="shared" si="76"/>
        <v>3086.7440998393199</v>
      </c>
      <c r="K62" s="383">
        <f t="shared" si="76"/>
        <v>4537.3751215522025</v>
      </c>
      <c r="L62" s="383">
        <f t="shared" si="76"/>
        <v>6120.6352652502628</v>
      </c>
      <c r="M62" s="383">
        <f t="shared" si="76"/>
        <v>6004.5847835132317</v>
      </c>
      <c r="N62" s="383">
        <f t="shared" si="76"/>
        <v>6629.9679350961187</v>
      </c>
      <c r="O62" s="383">
        <f t="shared" si="76"/>
        <v>6409.8404340234974</v>
      </c>
      <c r="P62" s="384">
        <f t="shared" si="72"/>
        <v>571.46129577072861</v>
      </c>
      <c r="Q62" s="385">
        <f t="shared" si="68"/>
        <v>4402.2954050596909</v>
      </c>
      <c r="R62" s="385">
        <f t="shared" si="68"/>
        <v>-370.83205064556751</v>
      </c>
      <c r="S62" s="385">
        <f>E$35-E62</f>
        <v>510.21393790366801</v>
      </c>
      <c r="T62" s="385">
        <f t="shared" si="68"/>
        <v>1210.6631319841263</v>
      </c>
      <c r="U62" s="385">
        <f t="shared" si="68"/>
        <v>48.653451876151848</v>
      </c>
      <c r="V62" s="385">
        <f t="shared" si="68"/>
        <v>-1173.6760668793177</v>
      </c>
      <c r="W62" s="385">
        <f t="shared" si="68"/>
        <v>-385.63146579485328</v>
      </c>
      <c r="X62" s="385">
        <f t="shared" si="68"/>
        <v>-1323.7440998393199</v>
      </c>
      <c r="Y62" s="385">
        <f t="shared" si="68"/>
        <v>-848.37512155220247</v>
      </c>
      <c r="Z62" s="385">
        <f t="shared" si="68"/>
        <v>-480.63526525026282</v>
      </c>
      <c r="AA62" s="385">
        <f t="shared" si="68"/>
        <v>-1227.5847835132317</v>
      </c>
      <c r="AB62" s="385">
        <f t="shared" si="68"/>
        <v>-948.96793509611871</v>
      </c>
      <c r="AC62" s="385">
        <f t="shared" si="68"/>
        <v>16.159565976502563</v>
      </c>
      <c r="AD62" s="386">
        <f t="shared" si="73"/>
        <v>326568.01256396016</v>
      </c>
      <c r="AE62" s="366">
        <f t="shared" si="69"/>
        <v>19380204.833409667</v>
      </c>
      <c r="AF62" s="366">
        <f t="shared" si="69"/>
        <v>137516.40978599674</v>
      </c>
      <c r="AG62" s="366">
        <f t="shared" si="69"/>
        <v>260318.262431168</v>
      </c>
      <c r="AH62" s="366">
        <f t="shared" si="69"/>
        <v>1465705.219145614</v>
      </c>
      <c r="AI62" s="366">
        <f t="shared" si="69"/>
        <v>2367.1583794650237</v>
      </c>
      <c r="AJ62" s="366">
        <f t="shared" si="69"/>
        <v>1377515.5099653045</v>
      </c>
      <c r="AK62" s="366">
        <f t="shared" si="69"/>
        <v>148711.6274110871</v>
      </c>
      <c r="AL62" s="366">
        <f t="shared" si="69"/>
        <v>1752298.4418594113</v>
      </c>
      <c r="AM62" s="366">
        <f t="shared" si="69"/>
        <v>719740.34686871432</v>
      </c>
      <c r="AN62" s="366">
        <f t="shared" si="69"/>
        <v>231010.25820219051</v>
      </c>
      <c r="AO62" s="366">
        <f t="shared" si="69"/>
        <v>1506964.4007132282</v>
      </c>
      <c r="AP62" s="366">
        <f t="shared" si="69"/>
        <v>900540.14184059133</v>
      </c>
      <c r="AQ62" s="366">
        <f t="shared" si="69"/>
        <v>261.13157254893923</v>
      </c>
      <c r="AR62" s="387">
        <f t="shared" si="70"/>
        <v>2350810.1461790786</v>
      </c>
      <c r="AS62" s="370">
        <f t="shared" si="74"/>
        <v>1533.2351894536855</v>
      </c>
    </row>
    <row r="63" spans="1:45" x14ac:dyDescent="0.25">
      <c r="A63" s="367">
        <v>40785</v>
      </c>
      <c r="B63" s="382">
        <f t="shared" ref="B63:O63" si="77">(B25*$AW25)+$AX25</f>
        <v>9882.9019555894138</v>
      </c>
      <c r="C63" s="383">
        <f t="shared" si="77"/>
        <v>3823.4865522035675</v>
      </c>
      <c r="D63" s="383">
        <f t="shared" si="77"/>
        <v>5410.4325687314158</v>
      </c>
      <c r="E63" s="383">
        <f t="shared" si="77"/>
        <v>6472.0700658993519</v>
      </c>
      <c r="F63" s="383">
        <f t="shared" si="77"/>
        <v>6596.0502234405894</v>
      </c>
      <c r="G63" s="383">
        <f t="shared" si="77"/>
        <v>7699.014439788938</v>
      </c>
      <c r="H63" s="383">
        <f t="shared" si="77"/>
        <v>5307.5749565490551</v>
      </c>
      <c r="I63" s="383">
        <f t="shared" si="77"/>
        <v>3461.6481664906205</v>
      </c>
      <c r="J63" s="383">
        <f t="shared" si="77"/>
        <v>3063.9932908213159</v>
      </c>
      <c r="K63" s="383">
        <f t="shared" si="77"/>
        <v>4601.3472443326691</v>
      </c>
      <c r="L63" s="383">
        <f t="shared" si="77"/>
        <v>6090.9458779022116</v>
      </c>
      <c r="M63" s="383">
        <f t="shared" si="77"/>
        <v>5971.5575780476865</v>
      </c>
      <c r="N63" s="383">
        <f t="shared" si="77"/>
        <v>6596.0502234405894</v>
      </c>
      <c r="O63" s="383">
        <f t="shared" si="77"/>
        <v>6394.9268567625813</v>
      </c>
      <c r="P63" s="384">
        <f t="shared" si="72"/>
        <v>601.09804441058623</v>
      </c>
      <c r="Q63" s="385">
        <f t="shared" si="68"/>
        <v>4377.513447796433</v>
      </c>
      <c r="R63" s="385">
        <f t="shared" si="68"/>
        <v>-339.43256873141581</v>
      </c>
      <c r="S63" s="385">
        <f t="shared" si="68"/>
        <v>541.9299341006481</v>
      </c>
      <c r="T63" s="385">
        <f t="shared" si="68"/>
        <v>1216.9497765594106</v>
      </c>
      <c r="U63" s="385">
        <f t="shared" si="68"/>
        <v>-150.01443978893803</v>
      </c>
      <c r="V63" s="385">
        <f t="shared" si="68"/>
        <v>-1142.5749565490551</v>
      </c>
      <c r="W63" s="385">
        <f t="shared" si="68"/>
        <v>-362.6481664906205</v>
      </c>
      <c r="X63" s="385">
        <f t="shared" si="68"/>
        <v>-1300.9932908213159</v>
      </c>
      <c r="Y63" s="385">
        <f t="shared" si="68"/>
        <v>-912.34724433266911</v>
      </c>
      <c r="Z63" s="385">
        <f t="shared" si="68"/>
        <v>-450.94587790221158</v>
      </c>
      <c r="AA63" s="385">
        <f t="shared" si="68"/>
        <v>-1194.5575780476865</v>
      </c>
      <c r="AB63" s="385">
        <f t="shared" si="68"/>
        <v>-915.05022344058943</v>
      </c>
      <c r="AC63" s="385">
        <f t="shared" si="68"/>
        <v>31.073143237418662</v>
      </c>
      <c r="AD63" s="386">
        <f t="shared" si="73"/>
        <v>361318.85899423109</v>
      </c>
      <c r="AE63" s="366">
        <f t="shared" si="69"/>
        <v>19162623.985638615</v>
      </c>
      <c r="AF63" s="366">
        <f t="shared" si="69"/>
        <v>115214.46871560732</v>
      </c>
      <c r="AG63" s="366">
        <f t="shared" si="69"/>
        <v>293688.05347433279</v>
      </c>
      <c r="AH63" s="366">
        <f t="shared" si="69"/>
        <v>1480966.7586679994</v>
      </c>
      <c r="AI63" s="366">
        <f t="shared" si="69"/>
        <v>22504.332145188913</v>
      </c>
      <c r="AJ63" s="366">
        <f t="shared" si="69"/>
        <v>1305477.5313330751</v>
      </c>
      <c r="AK63" s="366">
        <f t="shared" si="69"/>
        <v>131513.69265900881</v>
      </c>
      <c r="AL63" s="366">
        <f t="shared" si="69"/>
        <v>1692583.5427620769</v>
      </c>
      <c r="AM63" s="366">
        <f t="shared" si="69"/>
        <v>832377.49424141506</v>
      </c>
      <c r="AN63" s="366">
        <f t="shared" si="69"/>
        <v>203352.1847969963</v>
      </c>
      <c r="AO63" s="366">
        <f t="shared" si="69"/>
        <v>1426967.8072711548</v>
      </c>
      <c r="AP63" s="366">
        <f t="shared" si="69"/>
        <v>837316.91141867265</v>
      </c>
      <c r="AQ63" s="366">
        <f t="shared" si="69"/>
        <v>965.5402306531372</v>
      </c>
      <c r="AR63" s="387">
        <f t="shared" si="70"/>
        <v>2322239.263529086</v>
      </c>
      <c r="AS63" s="370">
        <f t="shared" si="74"/>
        <v>1523.8895181505404</v>
      </c>
    </row>
    <row r="64" spans="1:45" x14ac:dyDescent="0.25">
      <c r="A64" s="367">
        <v>40786</v>
      </c>
      <c r="B64" s="382">
        <f t="shared" ref="B64:O64" si="78">(B26*$AW26)+$AX26</f>
        <v>10415.220052643401</v>
      </c>
      <c r="C64" s="383">
        <f t="shared" si="78"/>
        <v>4825.9589993166492</v>
      </c>
      <c r="D64" s="383">
        <f t="shared" si="78"/>
        <v>5206.4134801931932</v>
      </c>
      <c r="E64" s="383">
        <f t="shared" si="78"/>
        <v>6565.7901646734281</v>
      </c>
      <c r="F64" s="383">
        <f t="shared" si="78"/>
        <v>6607.4691667919251</v>
      </c>
      <c r="G64" s="383">
        <f t="shared" si="78"/>
        <v>8036.3108548029904</v>
      </c>
      <c r="H64" s="383">
        <f t="shared" si="78"/>
        <v>5211.7569420032569</v>
      </c>
      <c r="I64" s="383">
        <f t="shared" si="78"/>
        <v>2965.3655970524283</v>
      </c>
      <c r="J64" s="383">
        <f t="shared" si="78"/>
        <v>2463.0801869064294</v>
      </c>
      <c r="K64" s="383">
        <f t="shared" si="78"/>
        <v>4281.9945870521524</v>
      </c>
      <c r="L64" s="383">
        <f t="shared" si="78"/>
        <v>5986.5589044625103</v>
      </c>
      <c r="M64" s="383">
        <f t="shared" si="78"/>
        <v>5847.6288974008512</v>
      </c>
      <c r="N64" s="383">
        <f t="shared" si="78"/>
        <v>6597.850935533811</v>
      </c>
      <c r="O64" s="383">
        <f t="shared" si="78"/>
        <v>6360.6012311669774</v>
      </c>
      <c r="P64" s="384">
        <f t="shared" si="72"/>
        <v>68.779947356599223</v>
      </c>
      <c r="Q64" s="385">
        <f t="shared" si="68"/>
        <v>3375.0410006833508</v>
      </c>
      <c r="R64" s="385">
        <f t="shared" si="68"/>
        <v>-135.41348019319321</v>
      </c>
      <c r="S64" s="385">
        <f t="shared" si="68"/>
        <v>448.20983532657192</v>
      </c>
      <c r="T64" s="385">
        <f t="shared" si="68"/>
        <v>1205.5308332080749</v>
      </c>
      <c r="U64" s="385">
        <f t="shared" si="68"/>
        <v>-487.31085480299043</v>
      </c>
      <c r="V64" s="385">
        <f t="shared" si="68"/>
        <v>-1046.7569420032569</v>
      </c>
      <c r="W64" s="385">
        <f t="shared" si="68"/>
        <v>133.63440294757174</v>
      </c>
      <c r="X64" s="385">
        <f t="shared" si="68"/>
        <v>-700.08018690642939</v>
      </c>
      <c r="Y64" s="385">
        <f t="shared" si="68"/>
        <v>-592.99458705215238</v>
      </c>
      <c r="Z64" s="385">
        <f t="shared" si="68"/>
        <v>-346.55890446251033</v>
      </c>
      <c r="AA64" s="385">
        <f t="shared" si="68"/>
        <v>-1070.6288974008512</v>
      </c>
      <c r="AB64" s="385">
        <f t="shared" si="68"/>
        <v>-916.85093553381103</v>
      </c>
      <c r="AC64" s="385">
        <f t="shared" si="68"/>
        <v>65.398768833022586</v>
      </c>
      <c r="AD64" s="386">
        <f t="shared" si="73"/>
        <v>4730.6811583765602</v>
      </c>
      <c r="AE64" s="366">
        <f t="shared" si="69"/>
        <v>11390901.756293675</v>
      </c>
      <c r="AF64" s="366">
        <f t="shared" si="69"/>
        <v>18336.81061803233</v>
      </c>
      <c r="AG64" s="366">
        <f t="shared" si="69"/>
        <v>200892.05648347273</v>
      </c>
      <c r="AH64" s="366">
        <f t="shared" si="69"/>
        <v>1453304.5898153554</v>
      </c>
      <c r="AI64" s="366">
        <f t="shared" si="69"/>
        <v>237471.86920882121</v>
      </c>
      <c r="AJ64" s="366">
        <f t="shared" si="69"/>
        <v>1095700.0956320097</v>
      </c>
      <c r="AK64" s="366">
        <f t="shared" si="69"/>
        <v>17858.153651153971</v>
      </c>
      <c r="AL64" s="366">
        <f t="shared" si="69"/>
        <v>490112.26809894113</v>
      </c>
      <c r="AM64" s="366">
        <f t="shared" si="69"/>
        <v>351642.58027315274</v>
      </c>
      <c r="AN64" s="366">
        <f t="shared" si="69"/>
        <v>120103.07426225537</v>
      </c>
      <c r="AO64" s="366">
        <f t="shared" si="69"/>
        <v>1146246.2359497624</v>
      </c>
      <c r="AP64" s="366">
        <f t="shared" si="69"/>
        <v>840615.63798922452</v>
      </c>
      <c r="AQ64" s="366">
        <f t="shared" si="69"/>
        <v>4276.9989648751261</v>
      </c>
      <c r="AR64" s="387">
        <f t="shared" si="70"/>
        <v>1447682.7340332593</v>
      </c>
      <c r="AS64" s="370">
        <f t="shared" si="74"/>
        <v>1203.1968808275972</v>
      </c>
    </row>
    <row r="65" spans="1:45" x14ac:dyDescent="0.25">
      <c r="A65" s="367">
        <v>40787</v>
      </c>
      <c r="B65" s="382">
        <f t="shared" ref="B65:O65" si="79">(B27*$AW27)+$AX27</f>
        <v>10457.538361510211</v>
      </c>
      <c r="C65" s="383">
        <f t="shared" si="79"/>
        <v>7061.8307339107978</v>
      </c>
      <c r="D65" s="383">
        <f t="shared" si="79"/>
        <v>4855.767974494016</v>
      </c>
      <c r="E65" s="383">
        <f t="shared" si="79"/>
        <v>6566.2409720449368</v>
      </c>
      <c r="F65" s="383">
        <f t="shared" si="79"/>
        <v>6395.3083921421285</v>
      </c>
      <c r="G65" s="383">
        <f t="shared" si="79"/>
        <v>7973.8535595667208</v>
      </c>
      <c r="H65" s="383">
        <f t="shared" si="79"/>
        <v>4856.9151730168542</v>
      </c>
      <c r="I65" s="383">
        <f t="shared" si="79"/>
        <v>2448.9454735806485</v>
      </c>
      <c r="J65" s="383">
        <f t="shared" si="79"/>
        <v>1909.7621678469579</v>
      </c>
      <c r="K65" s="383">
        <f t="shared" si="79"/>
        <v>3873.766038944997</v>
      </c>
      <c r="L65" s="383">
        <f t="shared" si="79"/>
        <v>6036.2352544939477</v>
      </c>
      <c r="M65" s="383">
        <f t="shared" si="79"/>
        <v>5539.4982941052494</v>
      </c>
      <c r="N65" s="383">
        <f t="shared" si="79"/>
        <v>6373.5116202082136</v>
      </c>
      <c r="O65" s="383">
        <f t="shared" si="79"/>
        <v>7022.8259841343179</v>
      </c>
      <c r="P65" s="384">
        <f t="shared" si="72"/>
        <v>26.461638489789038</v>
      </c>
      <c r="Q65" s="385">
        <f t="shared" si="68"/>
        <v>1139.1692660892022</v>
      </c>
      <c r="R65" s="385">
        <f t="shared" si="68"/>
        <v>215.23202550598398</v>
      </c>
      <c r="S65" s="385">
        <f t="shared" si="68"/>
        <v>447.75902795506317</v>
      </c>
      <c r="T65" s="385">
        <f t="shared" si="68"/>
        <v>1417.6916078578715</v>
      </c>
      <c r="U65" s="385">
        <f t="shared" si="68"/>
        <v>-424.85355956672083</v>
      </c>
      <c r="V65" s="385">
        <f t="shared" si="68"/>
        <v>-691.91517301685417</v>
      </c>
      <c r="W65" s="385">
        <f t="shared" si="68"/>
        <v>650.05452641935153</v>
      </c>
      <c r="X65" s="385">
        <f t="shared" si="68"/>
        <v>-146.76216784695794</v>
      </c>
      <c r="Y65" s="385">
        <f>K$35-K65</f>
        <v>-184.76603894499704</v>
      </c>
      <c r="Z65" s="385">
        <f t="shared" si="68"/>
        <v>-396.23525449394765</v>
      </c>
      <c r="AA65" s="385">
        <f t="shared" si="68"/>
        <v>-762.49829410524944</v>
      </c>
      <c r="AB65" s="385">
        <f t="shared" si="68"/>
        <v>-692.51162020821357</v>
      </c>
      <c r="AC65" s="385">
        <f t="shared" si="68"/>
        <v>-596.82598413431788</v>
      </c>
      <c r="AD65" s="386">
        <f t="shared" si="73"/>
        <v>700.2183115642847</v>
      </c>
      <c r="AE65" s="366">
        <f t="shared" si="69"/>
        <v>1297706.6168022116</v>
      </c>
      <c r="AF65" s="366">
        <f t="shared" si="69"/>
        <v>46324.824803408541</v>
      </c>
      <c r="AG65" s="366">
        <f t="shared" si="69"/>
        <v>200488.14711526304</v>
      </c>
      <c r="AH65" s="366">
        <f t="shared" si="69"/>
        <v>2009849.4949906371</v>
      </c>
      <c r="AI65" s="366">
        <f t="shared" si="69"/>
        <v>180500.5470765132</v>
      </c>
      <c r="AJ65" s="366">
        <f t="shared" si="69"/>
        <v>478746.60665094323</v>
      </c>
      <c r="AK65" s="366">
        <f t="shared" si="69"/>
        <v>422570.88731828739</v>
      </c>
      <c r="AL65" s="366">
        <f t="shared" si="69"/>
        <v>21539.133911138655</v>
      </c>
      <c r="AM65" s="366">
        <f t="shared" si="69"/>
        <v>34138.489147424159</v>
      </c>
      <c r="AN65" s="366">
        <f t="shared" si="69"/>
        <v>157002.37690388347</v>
      </c>
      <c r="AO65" s="366">
        <f t="shared" si="69"/>
        <v>581403.64851341548</v>
      </c>
      <c r="AP65" s="366">
        <f t="shared" si="69"/>
        <v>479572.34412340506</v>
      </c>
      <c r="AQ65" s="366">
        <f t="shared" si="69"/>
        <v>356201.25533789705</v>
      </c>
      <c r="AR65" s="387">
        <f t="shared" si="70"/>
        <v>522228.71591716592</v>
      </c>
      <c r="AS65" s="370">
        <f t="shared" si="74"/>
        <v>722.65393925250692</v>
      </c>
    </row>
    <row r="66" spans="1:45" x14ac:dyDescent="0.25">
      <c r="A66" s="367">
        <v>40788</v>
      </c>
      <c r="B66" s="382">
        <f t="shared" ref="B66:O66" si="80">(B28*$AW28)+$AX28</f>
        <v>10335.583649098853</v>
      </c>
      <c r="C66" s="383">
        <f t="shared" si="80"/>
        <v>7304.2368933055986</v>
      </c>
      <c r="D66" s="383">
        <f t="shared" si="80"/>
        <v>4763.2550538906644</v>
      </c>
      <c r="E66" s="383">
        <f t="shared" si="80"/>
        <v>7216.194101501309</v>
      </c>
      <c r="F66" s="383">
        <f t="shared" si="80"/>
        <v>6265.5548431587922</v>
      </c>
      <c r="G66" s="383">
        <f t="shared" si="80"/>
        <v>7839.1804384455845</v>
      </c>
      <c r="H66" s="383">
        <f t="shared" si="80"/>
        <v>4764.369519609706</v>
      </c>
      <c r="I66" s="383">
        <f t="shared" si="80"/>
        <v>2429.5638382174748</v>
      </c>
      <c r="J66" s="383">
        <f t="shared" si="80"/>
        <v>1901.3070873917384</v>
      </c>
      <c r="K66" s="383">
        <f t="shared" si="80"/>
        <v>3831.5617127718551</v>
      </c>
      <c r="L66" s="383">
        <f t="shared" si="80"/>
        <v>6118.4453682452959</v>
      </c>
      <c r="M66" s="383">
        <f t="shared" si="80"/>
        <v>5430.8200195966056</v>
      </c>
      <c r="N66" s="383">
        <f t="shared" si="80"/>
        <v>6239.9221316208341</v>
      </c>
      <c r="O66" s="383">
        <f t="shared" si="80"/>
        <v>6932.0053431456918</v>
      </c>
      <c r="P66" s="384">
        <f t="shared" si="72"/>
        <v>148.41635090114687</v>
      </c>
      <c r="Q66" s="385">
        <f t="shared" si="68"/>
        <v>896.76310669440136</v>
      </c>
      <c r="R66" s="385">
        <f t="shared" si="68"/>
        <v>307.74494610933561</v>
      </c>
      <c r="S66" s="385">
        <f t="shared" si="68"/>
        <v>-202.19410150130898</v>
      </c>
      <c r="T66" s="385">
        <f t="shared" si="68"/>
        <v>1547.4451568412078</v>
      </c>
      <c r="U66" s="385">
        <f t="shared" si="68"/>
        <v>-290.18043844558451</v>
      </c>
      <c r="V66" s="385">
        <f t="shared" si="68"/>
        <v>-599.369519609706</v>
      </c>
      <c r="W66" s="385">
        <f t="shared" si="68"/>
        <v>669.43616178252523</v>
      </c>
      <c r="X66" s="385">
        <f t="shared" si="68"/>
        <v>-138.30708739173838</v>
      </c>
      <c r="Y66" s="385">
        <f t="shared" si="68"/>
        <v>-142.56171277185513</v>
      </c>
      <c r="Z66" s="385">
        <f t="shared" si="68"/>
        <v>-478.44536824529587</v>
      </c>
      <c r="AA66" s="385">
        <f t="shared" si="68"/>
        <v>-653.82001959660556</v>
      </c>
      <c r="AB66" s="385">
        <f t="shared" si="68"/>
        <v>-558.92213162083408</v>
      </c>
      <c r="AC66" s="385">
        <f t="shared" si="68"/>
        <v>-506.00534314569177</v>
      </c>
      <c r="AD66" s="386">
        <f t="shared" si="73"/>
        <v>22027.413214812361</v>
      </c>
      <c r="AE66" s="366">
        <f t="shared" si="69"/>
        <v>804184.06952819426</v>
      </c>
      <c r="AF66" s="366">
        <f t="shared" si="69"/>
        <v>94706.951855837877</v>
      </c>
      <c r="AG66" s="366">
        <f t="shared" si="69"/>
        <v>40882.454681921641</v>
      </c>
      <c r="AH66" s="366">
        <f t="shared" si="69"/>
        <v>2394586.5134313102</v>
      </c>
      <c r="AI66" s="366">
        <f t="shared" si="69"/>
        <v>84204.686856471657</v>
      </c>
      <c r="AJ66" s="366">
        <f t="shared" si="69"/>
        <v>359243.82103716972</v>
      </c>
      <c r="AK66" s="366">
        <f t="shared" si="69"/>
        <v>448144.77470211929</v>
      </c>
      <c r="AL66" s="366">
        <f t="shared" si="69"/>
        <v>19128.850422785956</v>
      </c>
      <c r="AM66" s="366">
        <f t="shared" si="69"/>
        <v>20323.841948444922</v>
      </c>
      <c r="AN66" s="366">
        <f t="shared" si="69"/>
        <v>228909.97039537676</v>
      </c>
      <c r="AO66" s="366">
        <f t="shared" si="69"/>
        <v>427480.61802530568</v>
      </c>
      <c r="AP66" s="366">
        <f t="shared" si="69"/>
        <v>312393.94921557698</v>
      </c>
      <c r="AQ66" s="366">
        <f t="shared" si="69"/>
        <v>256041.40729198928</v>
      </c>
      <c r="AR66" s="387">
        <f t="shared" si="70"/>
        <v>459354.94355060969</v>
      </c>
      <c r="AS66" s="370">
        <f t="shared" si="74"/>
        <v>677.7572895591826</v>
      </c>
    </row>
    <row r="67" spans="1:45" x14ac:dyDescent="0.25">
      <c r="A67" s="367">
        <v>40789</v>
      </c>
      <c r="B67" s="382">
        <f t="shared" ref="B67:O67" si="81">(B29*$AW29)+$AX29</f>
        <v>10295.830688433516</v>
      </c>
      <c r="C67" s="383">
        <f t="shared" si="81"/>
        <v>7442.6153783016762</v>
      </c>
      <c r="D67" s="383">
        <f t="shared" si="81"/>
        <v>4691.2610726448574</v>
      </c>
      <c r="E67" s="383">
        <f t="shared" si="81"/>
        <v>7196.8203457641257</v>
      </c>
      <c r="F67" s="383">
        <f t="shared" si="81"/>
        <v>6815.9487638140472</v>
      </c>
      <c r="G67" s="383">
        <f t="shared" si="81"/>
        <v>7778.0923821704955</v>
      </c>
      <c r="H67" s="383">
        <f t="shared" si="81"/>
        <v>4686.8323333198568</v>
      </c>
      <c r="I67" s="383">
        <f t="shared" si="81"/>
        <v>2368.3872966818776</v>
      </c>
      <c r="J67" s="383">
        <f t="shared" si="81"/>
        <v>1842.474501838019</v>
      </c>
      <c r="K67" s="383">
        <f t="shared" si="81"/>
        <v>3765.6545537196666</v>
      </c>
      <c r="L67" s="383">
        <f t="shared" si="81"/>
        <v>6115.1007656326519</v>
      </c>
      <c r="M67" s="383">
        <f t="shared" si="81"/>
        <v>5358.8935258887459</v>
      </c>
      <c r="N67" s="383">
        <f t="shared" si="81"/>
        <v>6156.0666043889105</v>
      </c>
      <c r="O67" s="383">
        <f t="shared" si="81"/>
        <v>6858.0217874015552</v>
      </c>
      <c r="P67" s="384">
        <f t="shared" si="72"/>
        <v>188.16931156648388</v>
      </c>
      <c r="Q67" s="385">
        <f t="shared" si="68"/>
        <v>758.38462169832383</v>
      </c>
      <c r="R67" s="385">
        <f t="shared" si="68"/>
        <v>379.73892735514255</v>
      </c>
      <c r="S67" s="385">
        <f t="shared" si="68"/>
        <v>-182.8203457641257</v>
      </c>
      <c r="T67" s="385">
        <f t="shared" si="68"/>
        <v>997.0512361859528</v>
      </c>
      <c r="U67" s="385">
        <f t="shared" si="68"/>
        <v>-229.09238217049551</v>
      </c>
      <c r="V67" s="385">
        <f t="shared" si="68"/>
        <v>-521.83233331985684</v>
      </c>
      <c r="W67" s="385">
        <f t="shared" si="68"/>
        <v>730.61270331812239</v>
      </c>
      <c r="X67" s="385">
        <f t="shared" si="68"/>
        <v>-79.474501838019023</v>
      </c>
      <c r="Y67" s="385">
        <f t="shared" si="68"/>
        <v>-76.654553719666637</v>
      </c>
      <c r="Z67" s="385">
        <f t="shared" si="68"/>
        <v>-475.10076563265193</v>
      </c>
      <c r="AA67" s="385">
        <f t="shared" si="68"/>
        <v>-581.8935258887459</v>
      </c>
      <c r="AB67" s="385">
        <f t="shared" si="68"/>
        <v>-475.06660438891049</v>
      </c>
      <c r="AC67" s="385">
        <f t="shared" si="68"/>
        <v>-432.02178740155523</v>
      </c>
      <c r="AD67" s="386">
        <f t="shared" si="73"/>
        <v>35407.689815404483</v>
      </c>
      <c r="AE67" s="366">
        <f t="shared" si="69"/>
        <v>575147.23442850972</v>
      </c>
      <c r="AF67" s="366">
        <f t="shared" si="69"/>
        <v>144201.65294883423</v>
      </c>
      <c r="AG67" s="366">
        <f t="shared" si="69"/>
        <v>33423.278825314475</v>
      </c>
      <c r="AH67" s="366">
        <f t="shared" si="69"/>
        <v>994111.16757993668</v>
      </c>
      <c r="AI67" s="366">
        <f t="shared" si="69"/>
        <v>52483.319568552368</v>
      </c>
      <c r="AJ67" s="366">
        <f t="shared" si="69"/>
        <v>272308.9840980462</v>
      </c>
      <c r="AK67" s="366">
        <f t="shared" si="69"/>
        <v>533794.92224981473</v>
      </c>
      <c r="AL67" s="366">
        <f t="shared" si="69"/>
        <v>6316.1964424012895</v>
      </c>
      <c r="AM67" s="366">
        <f t="shared" si="69"/>
        <v>5875.9206059612579</v>
      </c>
      <c r="AN67" s="366">
        <f t="shared" si="69"/>
        <v>225720.73750473207</v>
      </c>
      <c r="AO67" s="366">
        <f t="shared" si="69"/>
        <v>338600.0754712366</v>
      </c>
      <c r="AP67" s="366">
        <f t="shared" si="69"/>
        <v>225688.27860560958</v>
      </c>
      <c r="AQ67" s="366">
        <f t="shared" si="69"/>
        <v>186642.82478963459</v>
      </c>
      <c r="AR67" s="387">
        <f t="shared" si="70"/>
        <v>302476.8569111657</v>
      </c>
      <c r="AS67" s="370">
        <f t="shared" si="74"/>
        <v>549.97896042591094</v>
      </c>
    </row>
    <row r="68" spans="1:45" x14ac:dyDescent="0.25">
      <c r="A68" s="367">
        <v>40790</v>
      </c>
      <c r="B68" s="382">
        <f t="shared" ref="B68:O68" si="82">(B30*$AW30)+$AX30</f>
        <v>10416.586187865527</v>
      </c>
      <c r="C68" s="383">
        <f t="shared" si="82"/>
        <v>7360.1381541460414</v>
      </c>
      <c r="D68" s="383">
        <f t="shared" si="82"/>
        <v>4662.1221926111439</v>
      </c>
      <c r="E68" s="383">
        <f t="shared" si="82"/>
        <v>7128.7865439178076</v>
      </c>
      <c r="F68" s="383">
        <f t="shared" si="82"/>
        <v>7215.6791674777078</v>
      </c>
      <c r="G68" s="383">
        <f t="shared" si="82"/>
        <v>7695.7609126461557</v>
      </c>
      <c r="H68" s="383">
        <f t="shared" si="82"/>
        <v>4620.8481964201919</v>
      </c>
      <c r="I68" s="383">
        <f t="shared" si="82"/>
        <v>2432.2402405052089</v>
      </c>
      <c r="J68" s="383">
        <f t="shared" si="82"/>
        <v>1833.767295736397</v>
      </c>
      <c r="K68" s="383">
        <f t="shared" si="82"/>
        <v>3774.7312745056647</v>
      </c>
      <c r="L68" s="383">
        <f t="shared" si="82"/>
        <v>6070.8688520760243</v>
      </c>
      <c r="M68" s="383">
        <f t="shared" si="82"/>
        <v>5289.9213978314219</v>
      </c>
      <c r="N68" s="383">
        <f t="shared" si="82"/>
        <v>6093.6781657604979</v>
      </c>
      <c r="O68" s="383">
        <f t="shared" si="82"/>
        <v>6776.8714185002118</v>
      </c>
      <c r="P68" s="384">
        <f t="shared" si="72"/>
        <v>67.413812134473119</v>
      </c>
      <c r="Q68" s="385">
        <f t="shared" si="68"/>
        <v>840.86184585395858</v>
      </c>
      <c r="R68" s="385">
        <f t="shared" si="68"/>
        <v>408.87780738885613</v>
      </c>
      <c r="S68" s="385">
        <f t="shared" si="68"/>
        <v>-114.78654391780765</v>
      </c>
      <c r="T68" s="385">
        <f t="shared" si="68"/>
        <v>597.32083252229222</v>
      </c>
      <c r="U68" s="385">
        <f t="shared" si="68"/>
        <v>-146.7609126461557</v>
      </c>
      <c r="V68" s="385">
        <f t="shared" si="68"/>
        <v>-455.84819642019193</v>
      </c>
      <c r="W68" s="385">
        <f t="shared" si="68"/>
        <v>666.75975949479107</v>
      </c>
      <c r="X68" s="385">
        <f t="shared" si="68"/>
        <v>-70.767295736397045</v>
      </c>
      <c r="Y68" s="385">
        <f t="shared" si="68"/>
        <v>-85.731274505664715</v>
      </c>
      <c r="Z68" s="385">
        <f t="shared" si="68"/>
        <v>-430.86885207602427</v>
      </c>
      <c r="AA68" s="385">
        <f t="shared" si="68"/>
        <v>-512.92139783142193</v>
      </c>
      <c r="AB68" s="385">
        <f t="shared" si="68"/>
        <v>-412.6781657604979</v>
      </c>
      <c r="AC68" s="385">
        <f t="shared" si="68"/>
        <v>-350.8714185002118</v>
      </c>
      <c r="AD68" s="386">
        <f t="shared" si="73"/>
        <v>4544.6220665020355</v>
      </c>
      <c r="AE68" s="366">
        <f t="shared" si="69"/>
        <v>707048.64381292637</v>
      </c>
      <c r="AF68" s="366">
        <f t="shared" si="69"/>
        <v>167181.06137511853</v>
      </c>
      <c r="AG68" s="366">
        <f t="shared" si="69"/>
        <v>13175.950664594784</v>
      </c>
      <c r="AH68" s="366">
        <f t="shared" si="69"/>
        <v>356792.17696512426</v>
      </c>
      <c r="AI68" s="366">
        <f t="shared" si="69"/>
        <v>21538.765480732545</v>
      </c>
      <c r="AJ68" s="366">
        <f t="shared" si="69"/>
        <v>207797.57817954189</v>
      </c>
      <c r="AK68" s="366">
        <f t="shared" si="69"/>
        <v>444568.57688155165</v>
      </c>
      <c r="AL68" s="366">
        <f t="shared" si="69"/>
        <v>5008.0101458426798</v>
      </c>
      <c r="AM68" s="366">
        <f t="shared" si="69"/>
        <v>7349.8514283656368</v>
      </c>
      <c r="AN68" s="366">
        <f t="shared" si="69"/>
        <v>185647.96768931087</v>
      </c>
      <c r="AO68" s="366">
        <f t="shared" si="69"/>
        <v>263088.36035333981</v>
      </c>
      <c r="AP68" s="366">
        <f t="shared" si="69"/>
        <v>170303.26849544898</v>
      </c>
      <c r="AQ68" s="366">
        <f t="shared" si="69"/>
        <v>123110.75232035077</v>
      </c>
      <c r="AR68" s="387">
        <f t="shared" si="70"/>
        <v>223096.29882156255</v>
      </c>
      <c r="AS68" s="370">
        <f t="shared" si="74"/>
        <v>472.33070916632403</v>
      </c>
    </row>
    <row r="69" spans="1:45" x14ac:dyDescent="0.25">
      <c r="A69" s="367">
        <v>40791</v>
      </c>
      <c r="B69" s="382">
        <f t="shared" ref="B69:O69" si="83">(B31*$AW31)+$AX31</f>
        <v>10508.353528435793</v>
      </c>
      <c r="C69" s="383">
        <f t="shared" si="83"/>
        <v>7332.9467360534618</v>
      </c>
      <c r="D69" s="383">
        <f t="shared" si="83"/>
        <v>4624.0530734075228</v>
      </c>
      <c r="E69" s="383">
        <f t="shared" si="83"/>
        <v>7110.2674378499314</v>
      </c>
      <c r="F69" s="383">
        <f t="shared" si="83"/>
        <v>7311.7922027241266</v>
      </c>
      <c r="G69" s="383">
        <f t="shared" si="83"/>
        <v>7700.3675780892854</v>
      </c>
      <c r="H69" s="383">
        <f t="shared" si="83"/>
        <v>4500.4660629045638</v>
      </c>
      <c r="I69" s="383">
        <f t="shared" si="83"/>
        <v>2888.2679439110093</v>
      </c>
      <c r="J69" s="383">
        <f t="shared" si="83"/>
        <v>1646.8308564263314</v>
      </c>
      <c r="K69" s="383">
        <f t="shared" si="83"/>
        <v>3673.2124700784511</v>
      </c>
      <c r="L69" s="383">
        <f t="shared" si="83"/>
        <v>6024.7058591077248</v>
      </c>
      <c r="M69" s="383">
        <f t="shared" si="83"/>
        <v>5186.3183013714352</v>
      </c>
      <c r="N69" s="383">
        <f t="shared" si="83"/>
        <v>6026.9326520897603</v>
      </c>
      <c r="O69" s="383">
        <f t="shared" si="83"/>
        <v>6837.4852975506083</v>
      </c>
      <c r="P69" s="384">
        <f t="shared" si="72"/>
        <v>-24.353528435793123</v>
      </c>
      <c r="Q69" s="385">
        <f t="shared" si="68"/>
        <v>868.05326394653821</v>
      </c>
      <c r="R69" s="385">
        <f t="shared" si="68"/>
        <v>446.94692659247721</v>
      </c>
      <c r="S69" s="385">
        <f t="shared" si="68"/>
        <v>-96.267437849931412</v>
      </c>
      <c r="T69" s="385">
        <f t="shared" si="68"/>
        <v>501.20779727587342</v>
      </c>
      <c r="U69" s="385">
        <f t="shared" si="68"/>
        <v>-151.36757808928542</v>
      </c>
      <c r="V69" s="385">
        <f t="shared" si="68"/>
        <v>-335.46606290456384</v>
      </c>
      <c r="W69" s="385">
        <f t="shared" si="68"/>
        <v>210.7320560889907</v>
      </c>
      <c r="X69" s="385">
        <f t="shared" si="68"/>
        <v>116.16914357366863</v>
      </c>
      <c r="Y69" s="385">
        <f t="shared" si="68"/>
        <v>15.787529921548867</v>
      </c>
      <c r="Z69" s="385">
        <f t="shared" si="68"/>
        <v>-384.70585910772479</v>
      </c>
      <c r="AA69" s="385">
        <f t="shared" si="68"/>
        <v>-409.31830137143515</v>
      </c>
      <c r="AB69" s="385">
        <f t="shared" si="68"/>
        <v>-345.93265208976027</v>
      </c>
      <c r="AC69" s="385">
        <f t="shared" si="68"/>
        <v>-411.48529755060827</v>
      </c>
      <c r="AD69" s="386">
        <f t="shared" si="73"/>
        <v>593.09434727298424</v>
      </c>
      <c r="AE69" s="366">
        <f t="shared" si="69"/>
        <v>753516.46904823836</v>
      </c>
      <c r="AF69" s="366">
        <f t="shared" si="69"/>
        <v>199761.55519046122</v>
      </c>
      <c r="AG69" s="366">
        <f t="shared" si="69"/>
        <v>9267.4195901904077</v>
      </c>
      <c r="AH69" s="366">
        <f t="shared" si="69"/>
        <v>251209.25605013303</v>
      </c>
      <c r="AI69" s="366">
        <f t="shared" si="69"/>
        <v>22912.14369661592</v>
      </c>
      <c r="AJ69" s="366">
        <f t="shared" si="69"/>
        <v>112537.47936068878</v>
      </c>
      <c r="AK69" s="366">
        <f t="shared" si="69"/>
        <v>44407.999463493521</v>
      </c>
      <c r="AL69" s="366">
        <f t="shared" si="69"/>
        <v>13495.269918639637</v>
      </c>
      <c r="AM69" s="366">
        <f t="shared" si="69"/>
        <v>249.24610102380078</v>
      </c>
      <c r="AN69" s="366">
        <f t="shared" si="69"/>
        <v>147998.59803181261</v>
      </c>
      <c r="AO69" s="366">
        <f t="shared" si="69"/>
        <v>167541.47183759703</v>
      </c>
      <c r="AP69" s="366">
        <f t="shared" si="69"/>
        <v>119669.39978185511</v>
      </c>
      <c r="AQ69" s="366">
        <f t="shared" si="69"/>
        <v>169320.15010031263</v>
      </c>
      <c r="AR69" s="387">
        <f t="shared" si="70"/>
        <v>167706.62937652791</v>
      </c>
      <c r="AS69" s="370">
        <f t="shared" si="74"/>
        <v>409.51999875040036</v>
      </c>
    </row>
    <row r="70" spans="1:45" x14ac:dyDescent="0.25">
      <c r="A70" s="367">
        <v>40792</v>
      </c>
      <c r="B70" s="382">
        <f t="shared" ref="B70:O70" si="84">(B32*$AW32)+$AX32</f>
        <v>10522.010881939792</v>
      </c>
      <c r="C70" s="383">
        <f t="shared" si="84"/>
        <v>7297.7409044658134</v>
      </c>
      <c r="D70" s="383">
        <f t="shared" si="84"/>
        <v>4596.4167028988459</v>
      </c>
      <c r="E70" s="383">
        <f t="shared" si="84"/>
        <v>7120.0518021146145</v>
      </c>
      <c r="F70" s="383">
        <f t="shared" si="84"/>
        <v>7413.5762053656463</v>
      </c>
      <c r="G70" s="383">
        <f t="shared" si="84"/>
        <v>7727.3436709098523</v>
      </c>
      <c r="H70" s="383">
        <f t="shared" si="84"/>
        <v>4433.3475899816067</v>
      </c>
      <c r="I70" s="383">
        <f t="shared" si="84"/>
        <v>3161.4085092271353</v>
      </c>
      <c r="J70" s="383">
        <f t="shared" si="84"/>
        <v>1559.957358922655</v>
      </c>
      <c r="K70" s="383">
        <f t="shared" si="84"/>
        <v>3623.6250982546221</v>
      </c>
      <c r="L70" s="383">
        <f t="shared" si="84"/>
        <v>5989.8141574123656</v>
      </c>
      <c r="M70" s="383">
        <f t="shared" si="84"/>
        <v>5126.1101662369156</v>
      </c>
      <c r="N70" s="383">
        <f t="shared" si="84"/>
        <v>5976.3187825502491</v>
      </c>
      <c r="O70" s="383">
        <f t="shared" si="84"/>
        <v>6824.2781697198961</v>
      </c>
      <c r="P70" s="384">
        <f t="shared" si="72"/>
        <v>-38.010881939791943</v>
      </c>
      <c r="Q70" s="385">
        <f t="shared" si="68"/>
        <v>903.2590955341866</v>
      </c>
      <c r="R70" s="385">
        <f t="shared" si="68"/>
        <v>474.58329710115413</v>
      </c>
      <c r="S70" s="385">
        <f t="shared" si="68"/>
        <v>-106.05180211461447</v>
      </c>
      <c r="T70" s="385">
        <f t="shared" si="68"/>
        <v>399.42379463435373</v>
      </c>
      <c r="U70" s="385">
        <f t="shared" si="68"/>
        <v>-178.34367090985234</v>
      </c>
      <c r="V70" s="385">
        <f t="shared" si="68"/>
        <v>-268.34758998160669</v>
      </c>
      <c r="W70" s="385">
        <f t="shared" si="68"/>
        <v>-62.408509227135255</v>
      </c>
      <c r="X70" s="385">
        <f t="shared" si="68"/>
        <v>203.04264107734502</v>
      </c>
      <c r="Y70" s="385">
        <f t="shared" si="68"/>
        <v>65.374901745377883</v>
      </c>
      <c r="Z70" s="385">
        <f t="shared" si="68"/>
        <v>-349.8141574123656</v>
      </c>
      <c r="AA70" s="385">
        <f t="shared" si="68"/>
        <v>-349.11016623691557</v>
      </c>
      <c r="AB70" s="385">
        <f t="shared" si="68"/>
        <v>-295.31878255024913</v>
      </c>
      <c r="AC70" s="385">
        <f t="shared" si="68"/>
        <v>-398.27816971989614</v>
      </c>
      <c r="AD70" s="386">
        <f t="shared" si="73"/>
        <v>1444.8271458408012</v>
      </c>
      <c r="AE70" s="366">
        <f t="shared" si="69"/>
        <v>815876.99366523686</v>
      </c>
      <c r="AF70" s="366">
        <f t="shared" si="69"/>
        <v>225229.30588740233</v>
      </c>
      <c r="AG70" s="366">
        <f t="shared" si="69"/>
        <v>11246.984731757348</v>
      </c>
      <c r="AH70" s="366">
        <f t="shared" si="69"/>
        <v>159539.36772010638</v>
      </c>
      <c r="AI70" s="366">
        <f t="shared" si="69"/>
        <v>31806.46495360171</v>
      </c>
      <c r="AJ70" s="366">
        <f t="shared" si="69"/>
        <v>72010.429048936494</v>
      </c>
      <c r="AK70" s="366">
        <f t="shared" si="69"/>
        <v>3894.8220239534262</v>
      </c>
      <c r="AL70" s="366">
        <f t="shared" si="69"/>
        <v>41226.314095663554</v>
      </c>
      <c r="AM70" s="366">
        <f t="shared" si="69"/>
        <v>4273.8777782178122</v>
      </c>
      <c r="AN70" s="366">
        <f t="shared" si="69"/>
        <v>122369.9447261233</v>
      </c>
      <c r="AO70" s="366">
        <f t="shared" si="69"/>
        <v>121877.90816996683</v>
      </c>
      <c r="AP70" s="366">
        <f t="shared" si="69"/>
        <v>87213.183326961327</v>
      </c>
      <c r="AQ70" s="366">
        <f t="shared" si="69"/>
        <v>158625.5004754304</v>
      </c>
      <c r="AR70" s="387">
        <f t="shared" si="70"/>
        <v>154719.66031243323</v>
      </c>
      <c r="AS70" s="370">
        <f t="shared" si="74"/>
        <v>393.34420081200284</v>
      </c>
    </row>
    <row r="71" spans="1:45" x14ac:dyDescent="0.25">
      <c r="A71" s="367">
        <v>40793</v>
      </c>
      <c r="B71" s="382">
        <f t="shared" ref="B71:O71" si="85">(B33*$AW33)+$AX33</f>
        <v>10439.897649554336</v>
      </c>
      <c r="C71" s="383">
        <f t="shared" si="85"/>
        <v>7254.897068940797</v>
      </c>
      <c r="D71" s="383">
        <f t="shared" si="85"/>
        <v>4594.7863670777751</v>
      </c>
      <c r="E71" s="383">
        <f t="shared" si="85"/>
        <v>7099.9932618360799</v>
      </c>
      <c r="F71" s="383">
        <f t="shared" si="85"/>
        <v>7619.3110611943403</v>
      </c>
      <c r="G71" s="383">
        <f t="shared" si="85"/>
        <v>7810.9905922879479</v>
      </c>
      <c r="H71" s="383">
        <f t="shared" si="85"/>
        <v>4406.450083619522</v>
      </c>
      <c r="I71" s="383">
        <f t="shared" si="85"/>
        <v>3193.9656078646135</v>
      </c>
      <c r="J71" s="383">
        <f t="shared" si="85"/>
        <v>1556.8886824197959</v>
      </c>
      <c r="K71" s="383">
        <f t="shared" si="85"/>
        <v>3601.8418193777534</v>
      </c>
      <c r="L71" s="383">
        <f t="shared" si="85"/>
        <v>5968.8611452081086</v>
      </c>
      <c r="M71" s="383">
        <f t="shared" si="85"/>
        <v>5090.7014329885606</v>
      </c>
      <c r="N71" s="383">
        <f t="shared" si="85"/>
        <v>5935.4286688545726</v>
      </c>
      <c r="O71" s="383">
        <f t="shared" si="85"/>
        <v>6797.986558775804</v>
      </c>
      <c r="P71" s="384">
        <f t="shared" si="72"/>
        <v>44.102350445664342</v>
      </c>
      <c r="Q71" s="385">
        <f t="shared" si="68"/>
        <v>946.102931059203</v>
      </c>
      <c r="R71" s="385">
        <f t="shared" si="68"/>
        <v>476.21363292222486</v>
      </c>
      <c r="S71" s="385">
        <f t="shared" si="68"/>
        <v>-85.99326183607991</v>
      </c>
      <c r="T71" s="385">
        <f t="shared" si="68"/>
        <v>193.68893880565975</v>
      </c>
      <c r="U71" s="385">
        <f t="shared" si="68"/>
        <v>-261.99059228794795</v>
      </c>
      <c r="V71" s="385">
        <f t="shared" si="68"/>
        <v>-241.45008361952205</v>
      </c>
      <c r="W71" s="385">
        <f t="shared" si="68"/>
        <v>-94.965607864613503</v>
      </c>
      <c r="X71" s="385">
        <f t="shared" si="68"/>
        <v>206.11131758020406</v>
      </c>
      <c r="Y71" s="385">
        <f t="shared" si="68"/>
        <v>87.158180622246618</v>
      </c>
      <c r="Z71" s="385">
        <f t="shared" si="68"/>
        <v>-328.86114520810861</v>
      </c>
      <c r="AA71" s="385">
        <f t="shared" si="68"/>
        <v>-313.70143298856055</v>
      </c>
      <c r="AB71" s="385">
        <f t="shared" si="68"/>
        <v>-254.42866885457261</v>
      </c>
      <c r="AC71" s="385">
        <f t="shared" si="68"/>
        <v>-371.98655877580404</v>
      </c>
      <c r="AD71" s="386">
        <f t="shared" si="73"/>
        <v>1945.0173148321899</v>
      </c>
      <c r="AE71" s="366">
        <f t="shared" si="69"/>
        <v>895110.756158815</v>
      </c>
      <c r="AF71" s="366">
        <f t="shared" si="69"/>
        <v>226779.42418098354</v>
      </c>
      <c r="AG71" s="366">
        <f t="shared" si="69"/>
        <v>7394.8410812085976</v>
      </c>
      <c r="AH71" s="366">
        <f t="shared" si="69"/>
        <v>37515.405015662604</v>
      </c>
      <c r="AI71" s="366">
        <f t="shared" si="69"/>
        <v>68639.070447389764</v>
      </c>
      <c r="AJ71" s="366">
        <f t="shared" si="69"/>
        <v>58298.142879874191</v>
      </c>
      <c r="AK71" s="366">
        <f t="shared" si="69"/>
        <v>9018.4666770955428</v>
      </c>
      <c r="AL71" s="366">
        <f t="shared" si="69"/>
        <v>42481.875234647734</v>
      </c>
      <c r="AM71" s="366">
        <f t="shared" si="69"/>
        <v>7596.5484493801659</v>
      </c>
      <c r="AN71" s="366">
        <f t="shared" si="69"/>
        <v>108149.6528275887</v>
      </c>
      <c r="AO71" s="366">
        <f t="shared" si="69"/>
        <v>98408.589059076345</v>
      </c>
      <c r="AP71" s="366">
        <f t="shared" si="69"/>
        <v>64733.947535109764</v>
      </c>
      <c r="AQ71" s="366">
        <f t="shared" si="69"/>
        <v>138373.99990986471</v>
      </c>
      <c r="AR71" s="387">
        <f t="shared" si="70"/>
        <v>147037.14473096069</v>
      </c>
      <c r="AS71" s="370">
        <f t="shared" si="74"/>
        <v>383.45422768690486</v>
      </c>
    </row>
    <row r="72" spans="1:45" x14ac:dyDescent="0.25">
      <c r="A72" s="367">
        <v>40794</v>
      </c>
      <c r="B72" s="388">
        <f t="shared" ref="B72:O72" si="86">(B34*$AW34)+$AX34</f>
        <v>10407.472654641126</v>
      </c>
      <c r="C72" s="389">
        <f t="shared" si="86"/>
        <v>7233.4579380417827</v>
      </c>
      <c r="D72" s="389">
        <f t="shared" si="86"/>
        <v>4581.0470385059698</v>
      </c>
      <c r="E72" s="389">
        <f t="shared" si="86"/>
        <v>7095.843313965448</v>
      </c>
      <c r="F72" s="389">
        <f t="shared" si="86"/>
        <v>7749.5127783280395</v>
      </c>
      <c r="G72" s="389">
        <f t="shared" si="86"/>
        <v>7803.8927507453009</v>
      </c>
      <c r="H72" s="389">
        <f t="shared" si="86"/>
        <v>4389.0524420123729</v>
      </c>
      <c r="I72" s="389">
        <f t="shared" si="86"/>
        <v>3196.0224348989841</v>
      </c>
      <c r="J72" s="389">
        <f t="shared" si="86"/>
        <v>1557.9644902484151</v>
      </c>
      <c r="K72" s="389">
        <f t="shared" si="86"/>
        <v>3623.2936467488958</v>
      </c>
      <c r="L72" s="389">
        <f t="shared" si="86"/>
        <v>5961.6324606911376</v>
      </c>
      <c r="M72" s="389">
        <f t="shared" si="86"/>
        <v>5076.0157670385943</v>
      </c>
      <c r="N72" s="389">
        <f t="shared" si="86"/>
        <v>5921.6798278947826</v>
      </c>
      <c r="O72" s="389">
        <f t="shared" si="86"/>
        <v>6775.1124562391506</v>
      </c>
      <c r="P72" s="390">
        <f t="shared" si="72"/>
        <v>76.5273453588743</v>
      </c>
      <c r="Q72" s="391">
        <f t="shared" si="68"/>
        <v>967.54206195821735</v>
      </c>
      <c r="R72" s="391">
        <f t="shared" si="68"/>
        <v>489.95296149403021</v>
      </c>
      <c r="S72" s="391">
        <f t="shared" si="68"/>
        <v>-81.843313965448033</v>
      </c>
      <c r="T72" s="391">
        <f t="shared" si="68"/>
        <v>63.487221671960469</v>
      </c>
      <c r="U72" s="391">
        <f t="shared" si="68"/>
        <v>-254.89275074530087</v>
      </c>
      <c r="V72" s="391">
        <f t="shared" si="68"/>
        <v>-224.05244201237292</v>
      </c>
      <c r="W72" s="391">
        <f t="shared" si="68"/>
        <v>-97.022434898984102</v>
      </c>
      <c r="X72" s="391">
        <f t="shared" si="68"/>
        <v>205.03550975158487</v>
      </c>
      <c r="Y72" s="391">
        <f t="shared" si="68"/>
        <v>65.706353251104247</v>
      </c>
      <c r="Z72" s="391">
        <f t="shared" si="68"/>
        <v>-321.63246069113757</v>
      </c>
      <c r="AA72" s="391">
        <f t="shared" si="68"/>
        <v>-299.01576703859428</v>
      </c>
      <c r="AB72" s="391">
        <f t="shared" si="68"/>
        <v>-240.67982789478265</v>
      </c>
      <c r="AC72" s="391">
        <f t="shared" si="68"/>
        <v>-349.11245623915056</v>
      </c>
      <c r="AD72" s="392">
        <f>P72^2</f>
        <v>5856.4345876764201</v>
      </c>
      <c r="AE72" s="393">
        <f t="shared" si="69"/>
        <v>936137.64165835886</v>
      </c>
      <c r="AF72" s="393">
        <f t="shared" si="69"/>
        <v>240053.90447677064</v>
      </c>
      <c r="AG72" s="393">
        <f t="shared" si="69"/>
        <v>6698.3280408469009</v>
      </c>
      <c r="AH72" s="393">
        <f t="shared" si="69"/>
        <v>4030.6273156246471</v>
      </c>
      <c r="AI72" s="393">
        <f t="shared" si="69"/>
        <v>64970.314382506076</v>
      </c>
      <c r="AJ72" s="393">
        <f t="shared" si="69"/>
        <v>50199.496771707731</v>
      </c>
      <c r="AK72" s="393">
        <f t="shared" si="69"/>
        <v>9413.3528737276083</v>
      </c>
      <c r="AL72" s="393">
        <f t="shared" si="69"/>
        <v>42039.560259092257</v>
      </c>
      <c r="AM72" s="393">
        <f t="shared" si="69"/>
        <v>4317.3248575588977</v>
      </c>
      <c r="AN72" s="393">
        <f t="shared" si="69"/>
        <v>103447.43977023615</v>
      </c>
      <c r="AO72" s="393">
        <f t="shared" si="69"/>
        <v>89410.42893767888</v>
      </c>
      <c r="AP72" s="393">
        <f t="shared" si="69"/>
        <v>57926.779555462199</v>
      </c>
      <c r="AQ72" s="393">
        <f t="shared" si="69"/>
        <v>121879.50710133281</v>
      </c>
      <c r="AR72" s="394">
        <f>SUM(AD72:AQ72)/(COUNT(AD72:AQ72)-2)</f>
        <v>144698.42838238168</v>
      </c>
      <c r="AS72" s="371">
        <f t="shared" si="74"/>
        <v>380.39246625344947</v>
      </c>
    </row>
    <row r="73" spans="1:45" x14ac:dyDescent="0.25">
      <c r="A73" s="374"/>
      <c r="B73" s="383"/>
      <c r="C73" s="374"/>
      <c r="D73" s="374"/>
      <c r="E73" s="374"/>
      <c r="F73" s="374"/>
      <c r="G73" s="374"/>
      <c r="H73" s="374"/>
      <c r="I73" s="374"/>
      <c r="J73" s="374"/>
      <c r="K73" s="374"/>
      <c r="L73" s="374"/>
      <c r="M73" s="374"/>
      <c r="N73" s="374"/>
      <c r="O73" s="374"/>
      <c r="P73" s="374"/>
      <c r="Q73" s="374"/>
      <c r="R73" s="374"/>
      <c r="S73" s="374"/>
      <c r="T73" s="374"/>
      <c r="U73" s="374"/>
      <c r="V73" s="374"/>
      <c r="W73" s="374"/>
      <c r="X73" s="374"/>
      <c r="Y73" s="374"/>
      <c r="Z73" s="374"/>
      <c r="AA73" s="374"/>
      <c r="AB73" s="374"/>
      <c r="AC73" s="374"/>
      <c r="AD73" s="374"/>
      <c r="AE73" s="374"/>
      <c r="AF73" s="374"/>
      <c r="AG73" s="374"/>
      <c r="AH73" s="374"/>
      <c r="AI73" s="374"/>
      <c r="AJ73" s="374"/>
      <c r="AK73" s="374"/>
      <c r="AL73" s="374"/>
      <c r="AM73" s="374"/>
      <c r="AN73" s="374"/>
      <c r="AO73" s="374"/>
      <c r="AP73" s="374"/>
      <c r="AQ73" s="374"/>
      <c r="AR73" s="366"/>
      <c r="AS73" s="374"/>
    </row>
    <row r="74" spans="1:45" x14ac:dyDescent="0.25">
      <c r="A74" s="368" t="s">
        <v>116</v>
      </c>
      <c r="B74" s="395">
        <f t="shared" ref="B74:N74" si="87">(B13*$AT13)+$AU13</f>
        <v>10920.203602297945</v>
      </c>
      <c r="C74" s="396">
        <f t="shared" si="87"/>
        <v>5459.4066692201195</v>
      </c>
      <c r="D74" s="396">
        <f t="shared" si="87"/>
        <v>6048.3658335264527</v>
      </c>
      <c r="E74" s="396">
        <f t="shared" si="87"/>
        <v>7372.256829368227</v>
      </c>
      <c r="F74" s="396">
        <f t="shared" si="87"/>
        <v>7726.0378075832195</v>
      </c>
      <c r="G74" s="396">
        <f t="shared" si="87"/>
        <v>4583.5706658454692</v>
      </c>
      <c r="H74" s="396">
        <f t="shared" si="87"/>
        <v>3255.6248736917751</v>
      </c>
      <c r="I74" s="396">
        <f t="shared" si="87"/>
        <v>2086.8298367809284</v>
      </c>
      <c r="J74" s="396">
        <f t="shared" si="87"/>
        <v>3581.0222777233294</v>
      </c>
      <c r="K74" s="396">
        <f t="shared" si="87"/>
        <v>4946.4749357622804</v>
      </c>
      <c r="L74" s="396">
        <f t="shared" si="87"/>
        <v>5027.5708620006744</v>
      </c>
      <c r="M74" s="396">
        <f t="shared" si="87"/>
        <v>5985.516490691698</v>
      </c>
      <c r="N74" s="397">
        <f t="shared" si="87"/>
        <v>6178.1193155078827</v>
      </c>
      <c r="O74" s="383"/>
      <c r="P74" s="398">
        <f t="shared" ref="P74:AB74" si="88">B14-B74</f>
        <v>-436.2036022979446</v>
      </c>
      <c r="Q74" s="399">
        <f t="shared" si="88"/>
        <v>-388.40666922011951</v>
      </c>
      <c r="R74" s="399">
        <f t="shared" si="88"/>
        <v>965.63416647354734</v>
      </c>
      <c r="S74" s="399">
        <f t="shared" si="88"/>
        <v>440.74317063177295</v>
      </c>
      <c r="T74" s="399">
        <f t="shared" si="88"/>
        <v>-177.03780758321955</v>
      </c>
      <c r="U74" s="399">
        <f t="shared" si="88"/>
        <v>-418.57066584546919</v>
      </c>
      <c r="V74" s="399">
        <f t="shared" si="88"/>
        <v>-156.62487369177506</v>
      </c>
      <c r="W74" s="399">
        <f t="shared" si="88"/>
        <v>-323.82983678092842</v>
      </c>
      <c r="X74" s="399">
        <f t="shared" si="88"/>
        <v>107.97772227667065</v>
      </c>
      <c r="Y74" s="399">
        <f t="shared" si="88"/>
        <v>693.52506423771956</v>
      </c>
      <c r="Z74" s="399">
        <f t="shared" si="88"/>
        <v>-250.57086200067442</v>
      </c>
      <c r="AA74" s="399">
        <f t="shared" si="88"/>
        <v>-304.51649069169798</v>
      </c>
      <c r="AB74" s="400">
        <f t="shared" si="88"/>
        <v>247.88068449211733</v>
      </c>
      <c r="AC74" s="385"/>
      <c r="AD74" s="401">
        <f>P74^2</f>
        <v>190273.58265770343</v>
      </c>
      <c r="AE74" s="402">
        <f t="shared" ref="AE74:AP74" si="89">Q74^2</f>
        <v>150859.74069466733</v>
      </c>
      <c r="AF74" s="402">
        <f t="shared" si="89"/>
        <v>932449.34346106253</v>
      </c>
      <c r="AG74" s="402">
        <f t="shared" si="89"/>
        <v>194254.54245854812</v>
      </c>
      <c r="AH74" s="402">
        <f t="shared" si="89"/>
        <v>31342.38531387307</v>
      </c>
      <c r="AI74" s="402">
        <f t="shared" si="89"/>
        <v>175201.40230631942</v>
      </c>
      <c r="AJ74" s="402">
        <f t="shared" si="89"/>
        <v>24531.351058964494</v>
      </c>
      <c r="AK74" s="402">
        <f t="shared" si="89"/>
        <v>104865.76318956274</v>
      </c>
      <c r="AL74" s="402">
        <f t="shared" si="89"/>
        <v>11659.188508057816</v>
      </c>
      <c r="AM74" s="402">
        <f t="shared" si="89"/>
        <v>480977.01472593303</v>
      </c>
      <c r="AN74" s="402">
        <f t="shared" si="89"/>
        <v>62785.756883761023</v>
      </c>
      <c r="AO74" s="402">
        <f t="shared" si="89"/>
        <v>92730.293103186981</v>
      </c>
      <c r="AP74" s="372">
        <f t="shared" si="89"/>
        <v>61444.833744280615</v>
      </c>
      <c r="AQ74" s="374"/>
      <c r="AR74" s="373">
        <f t="shared" ref="AR74" si="90">SUM(AD74:AQ74)/(COUNT(AD74:AQ74)-2)</f>
        <v>228488.65437326545</v>
      </c>
      <c r="AS74" s="373">
        <f>SQRT(AR74)</f>
        <v>478.00486856648797</v>
      </c>
    </row>
    <row r="75" spans="1:45" x14ac:dyDescent="0.25">
      <c r="A75" s="364"/>
      <c r="B75" s="364"/>
      <c r="C75" s="364"/>
      <c r="D75" s="364"/>
      <c r="E75" s="364"/>
      <c r="F75" s="364"/>
      <c r="G75" s="364"/>
      <c r="H75" s="364"/>
      <c r="I75" s="364"/>
      <c r="J75" s="364"/>
      <c r="K75" s="364"/>
      <c r="L75" s="364"/>
      <c r="M75" s="364"/>
      <c r="N75" s="364"/>
      <c r="O75" s="364"/>
      <c r="P75" s="364"/>
      <c r="Q75" s="364"/>
      <c r="R75" s="364"/>
      <c r="S75" s="364"/>
      <c r="T75" s="364"/>
      <c r="U75" s="364"/>
      <c r="V75" s="364"/>
      <c r="W75" s="364"/>
      <c r="X75" s="364"/>
      <c r="Y75" s="364"/>
      <c r="Z75" s="364"/>
      <c r="AA75" s="364"/>
      <c r="AB75" s="364"/>
      <c r="AC75" s="364"/>
      <c r="AD75" s="364"/>
      <c r="AE75" s="364"/>
      <c r="AF75" s="364"/>
      <c r="AG75" s="364"/>
      <c r="AH75" s="364"/>
      <c r="AI75" s="364"/>
      <c r="AJ75" s="364"/>
      <c r="AK75" s="364"/>
      <c r="AL75" s="364"/>
      <c r="AM75" s="364"/>
      <c r="AN75" s="364"/>
      <c r="AO75" s="364"/>
      <c r="AP75" s="364"/>
      <c r="AQ75" s="364"/>
      <c r="AR75" s="364"/>
      <c r="AS75" s="364"/>
    </row>
  </sheetData>
  <mergeCells count="4">
    <mergeCell ref="AZ11:BA11"/>
    <mergeCell ref="AT11:AY11"/>
    <mergeCell ref="BC19:BD19"/>
    <mergeCell ref="BB11:BC11"/>
  </mergeCells>
  <pageMargins left="0.7" right="0.7" top="0.75" bottom="0.75" header="0.3" footer="0.3"/>
  <pageSetup orientation="portrait" verticalDpi="0" r:id="rId1"/>
  <drawing r:id="rId2"/>
  <legacyDrawing r:id="rId3"/>
  <oleObjects>
    <mc:AlternateContent xmlns:mc="http://schemas.openxmlformats.org/markup-compatibility/2006">
      <mc:Choice Requires="x14">
        <oleObject progId="Equation.3" shapeId="9221" r:id="rId4">
          <objectPr defaultSize="0" autoPict="0" r:id="rId5">
            <anchor moveWithCells="1" sizeWithCells="1">
              <from>
                <xdr:col>49</xdr:col>
                <xdr:colOff>200025</xdr:colOff>
                <xdr:row>10</xdr:row>
                <xdr:rowOff>114300</xdr:rowOff>
              </from>
              <to>
                <xdr:col>49</xdr:col>
                <xdr:colOff>514350</xdr:colOff>
                <xdr:row>11</xdr:row>
                <xdr:rowOff>133350</xdr:rowOff>
              </to>
            </anchor>
          </objectPr>
        </oleObject>
      </mc:Choice>
      <mc:Fallback>
        <oleObject progId="Equation.3" shapeId="9221" r:id="rId4"/>
      </mc:Fallback>
    </mc:AlternateContent>
    <mc:AlternateContent xmlns:mc="http://schemas.openxmlformats.org/markup-compatibility/2006">
      <mc:Choice Requires="x14">
        <oleObject progId="Equation.3" shapeId="9222" r:id="rId6">
          <objectPr defaultSize="0" autoPict="0" r:id="rId7">
            <anchor moveWithCells="1" sizeWithCells="1">
              <from>
                <xdr:col>52</xdr:col>
                <xdr:colOff>171450</xdr:colOff>
                <xdr:row>19</xdr:row>
                <xdr:rowOff>19050</xdr:rowOff>
              </from>
              <to>
                <xdr:col>52</xdr:col>
                <xdr:colOff>552450</xdr:colOff>
                <xdr:row>19</xdr:row>
                <xdr:rowOff>276225</xdr:rowOff>
              </to>
            </anchor>
          </objectPr>
        </oleObject>
      </mc:Choice>
      <mc:Fallback>
        <oleObject progId="Equation.3" shapeId="9222" r:id="rId6"/>
      </mc:Fallback>
    </mc:AlternateContent>
    <mc:AlternateContent xmlns:mc="http://schemas.openxmlformats.org/markup-compatibility/2006">
      <mc:Choice Requires="x14">
        <oleObject progId="Equation.3" shapeId="9224" r:id="rId8">
          <objectPr defaultSize="0" autoPict="0" r:id="rId9">
            <anchor moveWithCells="1" sizeWithCells="1">
              <from>
                <xdr:col>50</xdr:col>
                <xdr:colOff>257175</xdr:colOff>
                <xdr:row>19</xdr:row>
                <xdr:rowOff>66675</xdr:rowOff>
              </from>
              <to>
                <xdr:col>50</xdr:col>
                <xdr:colOff>438150</xdr:colOff>
                <xdr:row>19</xdr:row>
                <xdr:rowOff>257175</xdr:rowOff>
              </to>
            </anchor>
          </objectPr>
        </oleObject>
      </mc:Choice>
      <mc:Fallback>
        <oleObject progId="Equation.3" shapeId="9224" r:id="rId8"/>
      </mc:Fallback>
    </mc:AlternateContent>
    <mc:AlternateContent xmlns:mc="http://schemas.openxmlformats.org/markup-compatibility/2006">
      <mc:Choice Requires="x14">
        <oleObject progId="Equation.3" shapeId="9225" r:id="rId10">
          <objectPr defaultSize="0" autoPict="0" r:id="rId9">
            <anchor moveWithCells="1" sizeWithCells="1">
              <from>
                <xdr:col>47</xdr:col>
                <xdr:colOff>257175</xdr:colOff>
                <xdr:row>10</xdr:row>
                <xdr:rowOff>161925</xdr:rowOff>
              </from>
              <to>
                <xdr:col>47</xdr:col>
                <xdr:colOff>438150</xdr:colOff>
                <xdr:row>11</xdr:row>
                <xdr:rowOff>161925</xdr:rowOff>
              </to>
            </anchor>
          </objectPr>
        </oleObject>
      </mc:Choice>
      <mc:Fallback>
        <oleObject progId="Equation.3" shapeId="9225" r:id="rId10"/>
      </mc:Fallback>
    </mc:AlternateContent>
    <mc:AlternateContent xmlns:mc="http://schemas.openxmlformats.org/markup-compatibility/2006">
      <mc:Choice Requires="x14">
        <oleObject progId="Equation.3" shapeId="9226" r:id="rId11">
          <objectPr defaultSize="0" autoPict="0" r:id="rId12">
            <anchor moveWithCells="1">
              <from>
                <xdr:col>53</xdr:col>
                <xdr:colOff>257175</xdr:colOff>
                <xdr:row>19</xdr:row>
                <xdr:rowOff>38100</xdr:rowOff>
              </from>
              <to>
                <xdr:col>53</xdr:col>
                <xdr:colOff>552450</xdr:colOff>
                <xdr:row>19</xdr:row>
                <xdr:rowOff>266700</xdr:rowOff>
              </to>
            </anchor>
          </objectPr>
        </oleObject>
      </mc:Choice>
      <mc:Fallback>
        <oleObject progId="Equation.3" shapeId="9226" r:id="rId11"/>
      </mc:Fallback>
    </mc:AlternateContent>
    <mc:AlternateContent xmlns:mc="http://schemas.openxmlformats.org/markup-compatibility/2006">
      <mc:Choice Requires="x14">
        <oleObject progId="Equation.3" shapeId="9227" r:id="rId13">
          <objectPr defaultSize="0" autoPict="0" r:id="rId12">
            <anchor moveWithCells="1">
              <from>
                <xdr:col>50</xdr:col>
                <xdr:colOff>123825</xdr:colOff>
                <xdr:row>10</xdr:row>
                <xdr:rowOff>133350</xdr:rowOff>
              </from>
              <to>
                <xdr:col>50</xdr:col>
                <xdr:colOff>419100</xdr:colOff>
                <xdr:row>11</xdr:row>
                <xdr:rowOff>171450</xdr:rowOff>
              </to>
            </anchor>
          </objectPr>
        </oleObject>
      </mc:Choice>
      <mc:Fallback>
        <oleObject progId="Equation.3" shapeId="9227" r:id="rId13"/>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BF93"/>
  <sheetViews>
    <sheetView showGridLines="0" zoomScaleNormal="100" workbookViewId="0">
      <pane xSplit="1" ySplit="11" topLeftCell="B12" activePane="bottomRight" state="frozen"/>
      <selection activeCell="M36" sqref="H5:M36"/>
      <selection pane="topRight" activeCell="M36" sqref="H5:M36"/>
      <selection pane="bottomLeft" activeCell="M36" sqref="H5:M36"/>
      <selection pane="bottomRight"/>
    </sheetView>
  </sheetViews>
  <sheetFormatPr defaultColWidth="9.140625" defaultRowHeight="12.75" x14ac:dyDescent="0.2"/>
  <cols>
    <col min="1" max="6" width="9.140625" style="6"/>
    <col min="7" max="7" width="11.28515625" style="6" customWidth="1"/>
    <col min="8" max="8" width="13.85546875" style="6" customWidth="1"/>
    <col min="9" max="9" width="11.85546875" style="6" customWidth="1"/>
    <col min="10" max="11" width="21.42578125" style="21" customWidth="1"/>
    <col min="12" max="12" width="10.140625" style="21" customWidth="1"/>
    <col min="13" max="13" width="11.5703125" style="21" customWidth="1"/>
    <col min="14" max="14" width="11.28515625" style="21" customWidth="1"/>
    <col min="15" max="15" width="10.140625" style="6" customWidth="1"/>
    <col min="16" max="16" width="10.42578125" style="21" customWidth="1"/>
    <col min="17" max="17" width="7.28515625" style="145" customWidth="1"/>
    <col min="18" max="18" width="7.28515625" style="6" customWidth="1"/>
    <col min="19" max="19" width="7.28515625" style="7" customWidth="1"/>
    <col min="20" max="20" width="7.28515625" style="6" customWidth="1"/>
    <col min="21" max="21" width="7.28515625" style="7" customWidth="1"/>
    <col min="22" max="22" width="7.28515625" style="6" customWidth="1"/>
    <col min="23" max="23" width="7.28515625" style="7" customWidth="1"/>
    <col min="24" max="28" width="7.28515625" style="6" customWidth="1"/>
    <col min="29" max="29" width="7.85546875" style="7" customWidth="1"/>
    <col min="30" max="30" width="10" style="6" bestFit="1" customWidth="1"/>
    <col min="31" max="31" width="6.7109375" style="7" customWidth="1"/>
    <col min="32" max="32" width="10" style="6" bestFit="1" customWidth="1"/>
    <col min="33" max="33" width="6.7109375" style="7" customWidth="1"/>
    <col min="34" max="34" width="10" style="6" bestFit="1" customWidth="1"/>
    <col min="35" max="35" width="6.7109375" style="7" customWidth="1"/>
    <col min="36" max="36" width="9.85546875" style="6" bestFit="1" customWidth="1"/>
    <col min="37" max="37" width="6.42578125" style="7" customWidth="1"/>
    <col min="38" max="38" width="7.7109375" style="6" bestFit="1" customWidth="1"/>
    <col min="39" max="39" width="6.42578125" style="7" customWidth="1"/>
    <col min="40" max="40" width="6.42578125" style="6" customWidth="1"/>
    <col min="41" max="41" width="6.42578125" style="7" customWidth="1"/>
    <col min="42" max="42" width="6.42578125" style="6" customWidth="1"/>
    <col min="43" max="43" width="6.42578125" style="7" customWidth="1"/>
    <col min="44" max="44" width="6.42578125" style="6" customWidth="1"/>
    <col min="45" max="45" width="10" style="6" customWidth="1"/>
    <col min="46" max="16384" width="9.140625" style="6"/>
  </cols>
  <sheetData>
    <row r="1" spans="1:45" ht="15.75" x14ac:dyDescent="0.25">
      <c r="A1" s="75" t="s">
        <v>131</v>
      </c>
      <c r="B1" s="5"/>
      <c r="C1" s="5"/>
      <c r="D1" s="5"/>
      <c r="E1" s="5"/>
      <c r="F1" s="5"/>
      <c r="G1" s="5"/>
    </row>
    <row r="2" spans="1:45" ht="15.75" x14ac:dyDescent="0.25">
      <c r="A2" s="19" t="s">
        <v>20</v>
      </c>
      <c r="B2" s="5"/>
      <c r="C2" s="5"/>
      <c r="D2" s="5"/>
      <c r="E2" s="5"/>
      <c r="F2" s="5"/>
      <c r="G2" s="5"/>
    </row>
    <row r="3" spans="1:45" ht="15.75" x14ac:dyDescent="0.25">
      <c r="A3" s="225" t="s">
        <v>118</v>
      </c>
      <c r="B3" s="5"/>
      <c r="C3" s="5"/>
      <c r="D3" s="5"/>
      <c r="E3" s="5"/>
      <c r="F3" s="5"/>
      <c r="G3" s="5"/>
    </row>
    <row r="4" spans="1:45" ht="15.75" x14ac:dyDescent="0.25">
      <c r="A4" s="225" t="s">
        <v>127</v>
      </c>
      <c r="B4" s="5"/>
      <c r="C4" s="5"/>
      <c r="D4" s="5"/>
      <c r="E4" s="5"/>
      <c r="F4" s="5"/>
      <c r="G4" s="5"/>
    </row>
    <row r="5" spans="1:45" ht="15.75" x14ac:dyDescent="0.25">
      <c r="A5" s="19" t="s">
        <v>128</v>
      </c>
      <c r="B5" s="5"/>
      <c r="C5" s="5"/>
      <c r="D5" s="5"/>
      <c r="E5" s="5"/>
      <c r="F5" s="5"/>
      <c r="G5" s="5"/>
    </row>
    <row r="6" spans="1:45" ht="15.75" x14ac:dyDescent="0.25">
      <c r="A6" s="19" t="s">
        <v>129</v>
      </c>
      <c r="B6" s="5"/>
      <c r="C6" s="5"/>
      <c r="D6" s="5"/>
      <c r="E6" s="5"/>
      <c r="F6" s="5"/>
      <c r="G6" s="5"/>
    </row>
    <row r="7" spans="1:45" ht="15.75" x14ac:dyDescent="0.25">
      <c r="A7" s="19" t="s">
        <v>130</v>
      </c>
      <c r="B7" s="5"/>
      <c r="C7" s="5"/>
      <c r="D7" s="5"/>
      <c r="E7" s="5"/>
      <c r="F7" s="5"/>
      <c r="G7" s="5"/>
    </row>
    <row r="8" spans="1:45" x14ac:dyDescent="0.2">
      <c r="A8" s="7" t="s">
        <v>171</v>
      </c>
      <c r="B8" s="7"/>
      <c r="C8" s="7"/>
      <c r="D8" s="7"/>
      <c r="E8" s="7"/>
      <c r="F8" s="7"/>
      <c r="G8" s="7"/>
    </row>
    <row r="9" spans="1:45" x14ac:dyDescent="0.2">
      <c r="A9" s="8"/>
      <c r="B9" s="9" t="s">
        <v>90</v>
      </c>
      <c r="C9" s="9" t="s">
        <v>90</v>
      </c>
      <c r="D9" s="9" t="s">
        <v>91</v>
      </c>
      <c r="E9" s="9" t="s">
        <v>121</v>
      </c>
      <c r="F9" s="9"/>
      <c r="G9" s="9"/>
      <c r="H9" s="219"/>
      <c r="I9" s="219"/>
      <c r="J9" s="220"/>
      <c r="K9" s="220"/>
      <c r="L9" s="220"/>
      <c r="M9" s="9" t="s">
        <v>90</v>
      </c>
      <c r="N9" s="220"/>
      <c r="O9" s="219"/>
      <c r="P9" s="220"/>
      <c r="Q9" s="131"/>
      <c r="R9" s="132"/>
      <c r="S9" s="131"/>
      <c r="T9" s="132"/>
      <c r="U9" s="131"/>
      <c r="V9" s="132"/>
      <c r="W9" s="131"/>
      <c r="X9" s="132"/>
      <c r="Y9" s="132"/>
      <c r="Z9" s="132"/>
      <c r="AA9" s="132"/>
      <c r="AB9" s="132"/>
      <c r="AC9" s="139"/>
      <c r="AD9" s="140"/>
      <c r="AE9" s="139"/>
      <c r="AF9" s="140"/>
      <c r="AG9" s="139"/>
      <c r="AH9" s="140"/>
      <c r="AI9" s="139"/>
      <c r="AJ9" s="140"/>
      <c r="AK9" s="141"/>
      <c r="AL9" s="142"/>
      <c r="AM9" s="141"/>
      <c r="AN9" s="142"/>
      <c r="AO9" s="141"/>
      <c r="AP9" s="142"/>
      <c r="AQ9" s="141"/>
      <c r="AR9" s="142"/>
      <c r="AS9" s="221"/>
    </row>
    <row r="10" spans="1:45" x14ac:dyDescent="0.2">
      <c r="A10" s="213"/>
      <c r="B10" s="159" t="s">
        <v>119</v>
      </c>
      <c r="C10" s="159" t="s">
        <v>120</v>
      </c>
      <c r="D10" s="159" t="s">
        <v>120</v>
      </c>
      <c r="E10" s="159" t="s">
        <v>122</v>
      </c>
      <c r="F10" s="159" t="s">
        <v>9</v>
      </c>
      <c r="G10" s="159" t="s">
        <v>9</v>
      </c>
      <c r="H10" s="159" t="s">
        <v>12</v>
      </c>
      <c r="I10" s="159" t="s">
        <v>13</v>
      </c>
      <c r="J10" s="214" t="s">
        <v>9</v>
      </c>
      <c r="K10" s="214" t="s">
        <v>173</v>
      </c>
      <c r="L10" s="214" t="s">
        <v>9</v>
      </c>
      <c r="M10" s="159" t="s">
        <v>119</v>
      </c>
      <c r="N10" s="214" t="s">
        <v>9</v>
      </c>
      <c r="O10" s="159"/>
      <c r="P10" s="214" t="s">
        <v>14</v>
      </c>
      <c r="Q10" s="215" t="s">
        <v>95</v>
      </c>
      <c r="R10" s="215"/>
      <c r="S10" s="216"/>
      <c r="T10" s="216"/>
      <c r="U10" s="216"/>
      <c r="V10" s="216"/>
      <c r="W10" s="216"/>
      <c r="X10" s="216"/>
      <c r="Y10" s="216"/>
      <c r="Z10" s="216"/>
      <c r="AA10" s="182"/>
      <c r="AB10" s="182"/>
      <c r="AC10" s="217" t="s">
        <v>18</v>
      </c>
      <c r="AD10" s="185"/>
      <c r="AE10" s="217"/>
      <c r="AF10" s="185"/>
      <c r="AG10" s="217"/>
      <c r="AH10" s="185"/>
      <c r="AI10" s="217"/>
      <c r="AJ10" s="185"/>
      <c r="AK10" s="186" t="s">
        <v>21</v>
      </c>
      <c r="AL10" s="187"/>
      <c r="AM10" s="186"/>
      <c r="AN10" s="187"/>
      <c r="AO10" s="186"/>
      <c r="AP10" s="187"/>
      <c r="AQ10" s="186"/>
      <c r="AR10" s="187"/>
      <c r="AS10" s="218" t="s">
        <v>74</v>
      </c>
    </row>
    <row r="11" spans="1:45" x14ac:dyDescent="0.2">
      <c r="A11" s="10" t="s">
        <v>10</v>
      </c>
      <c r="B11" s="10" t="s">
        <v>21</v>
      </c>
      <c r="C11" s="10" t="s">
        <v>21</v>
      </c>
      <c r="D11" s="10" t="s">
        <v>21</v>
      </c>
      <c r="E11" s="10" t="s">
        <v>21</v>
      </c>
      <c r="F11" s="10" t="s">
        <v>21</v>
      </c>
      <c r="G11" s="10" t="s">
        <v>174</v>
      </c>
      <c r="H11" s="10" t="s">
        <v>15</v>
      </c>
      <c r="I11" s="10" t="s">
        <v>16</v>
      </c>
      <c r="J11" s="23" t="s">
        <v>18</v>
      </c>
      <c r="K11" s="23" t="s">
        <v>175</v>
      </c>
      <c r="L11" s="23" t="s">
        <v>22</v>
      </c>
      <c r="M11" s="23" t="s">
        <v>92</v>
      </c>
      <c r="N11" s="23" t="s">
        <v>92</v>
      </c>
      <c r="O11" s="10" t="s">
        <v>17</v>
      </c>
      <c r="P11" s="23" t="s">
        <v>18</v>
      </c>
      <c r="Q11" s="133" t="s">
        <v>10</v>
      </c>
      <c r="R11" s="133" t="s">
        <v>24</v>
      </c>
      <c r="S11" s="133"/>
      <c r="T11" s="133" t="s">
        <v>25</v>
      </c>
      <c r="U11" s="133"/>
      <c r="V11" s="133" t="s">
        <v>26</v>
      </c>
      <c r="W11" s="133"/>
      <c r="X11" s="133" t="s">
        <v>27</v>
      </c>
      <c r="Y11" s="133" t="s">
        <v>9</v>
      </c>
      <c r="Z11" s="133"/>
      <c r="AA11" s="133" t="s">
        <v>43</v>
      </c>
      <c r="AB11" s="133" t="s">
        <v>99</v>
      </c>
      <c r="AC11" s="143" t="s">
        <v>10</v>
      </c>
      <c r="AD11" s="143" t="s">
        <v>24</v>
      </c>
      <c r="AE11" s="143"/>
      <c r="AF11" s="143" t="s">
        <v>25</v>
      </c>
      <c r="AG11" s="143"/>
      <c r="AH11" s="143" t="s">
        <v>26</v>
      </c>
      <c r="AI11" s="143"/>
      <c r="AJ11" s="143" t="s">
        <v>27</v>
      </c>
      <c r="AK11" s="144" t="s">
        <v>10</v>
      </c>
      <c r="AL11" s="144" t="s">
        <v>24</v>
      </c>
      <c r="AM11" s="144"/>
      <c r="AN11" s="144" t="s">
        <v>25</v>
      </c>
      <c r="AO11" s="144"/>
      <c r="AP11" s="144" t="s">
        <v>26</v>
      </c>
      <c r="AQ11" s="144"/>
      <c r="AR11" s="144" t="s">
        <v>27</v>
      </c>
      <c r="AS11" s="36" t="s">
        <v>9</v>
      </c>
    </row>
    <row r="12" spans="1:45" x14ac:dyDescent="0.2">
      <c r="A12" s="11">
        <v>1983</v>
      </c>
      <c r="B12" s="643" t="s">
        <v>19</v>
      </c>
      <c r="C12" s="643" t="s">
        <v>19</v>
      </c>
      <c r="D12" s="644" t="s">
        <v>19</v>
      </c>
      <c r="E12" s="644" t="s">
        <v>19</v>
      </c>
      <c r="F12" s="645" t="s">
        <v>19</v>
      </c>
      <c r="G12" s="498">
        <v>0.9</v>
      </c>
      <c r="H12" s="12">
        <f>'Daily Weir Counts'!B$5</f>
        <v>40866</v>
      </c>
      <c r="I12" s="166">
        <f>'Daily Weir Counts'!B$6</f>
        <v>10484</v>
      </c>
      <c r="J12" s="24">
        <f>'Daily Weir Counts'!B6</f>
        <v>10484</v>
      </c>
      <c r="K12" s="488">
        <v>0.05</v>
      </c>
      <c r="L12" s="212" t="s">
        <v>19</v>
      </c>
      <c r="M12" s="212" t="s">
        <v>19</v>
      </c>
      <c r="N12" s="212" t="s">
        <v>19</v>
      </c>
      <c r="O12" s="14">
        <v>0</v>
      </c>
      <c r="P12" s="24">
        <f>J12-O12</f>
        <v>10484</v>
      </c>
      <c r="Q12" s="235">
        <v>1986</v>
      </c>
      <c r="R12" s="236">
        <f>AD12+AL12</f>
        <v>24.210088268618353</v>
      </c>
      <c r="S12" s="235">
        <v>1987</v>
      </c>
      <c r="T12" s="236">
        <f>AF12+AN12</f>
        <v>892.11014577577635</v>
      </c>
      <c r="U12" s="237">
        <v>1988</v>
      </c>
      <c r="V12" s="236">
        <f>AH12+AP12</f>
        <v>2559.6954524929265</v>
      </c>
      <c r="W12" s="147">
        <v>1989</v>
      </c>
      <c r="X12" s="134">
        <f>AJ12+AR12</f>
        <v>1522.0453043056796</v>
      </c>
      <c r="Y12" s="134">
        <f>SUM(R12,T12,V12,X12)</f>
        <v>4998.0609908430006</v>
      </c>
      <c r="Z12" s="500">
        <f>LN(Y12)</f>
        <v>8.5168053143702611</v>
      </c>
      <c r="AA12" s="135">
        <f>Y12/P12</f>
        <v>0.47673225780646705</v>
      </c>
      <c r="AB12" s="135">
        <f>LN(AA12)</f>
        <v>-0.74080025007303585</v>
      </c>
      <c r="AC12" s="233">
        <v>1986</v>
      </c>
      <c r="AD12" s="48">
        <f>'Escapement Age'!B9</f>
        <v>24.210088268618353</v>
      </c>
      <c r="AE12" s="233">
        <v>1987</v>
      </c>
      <c r="AF12" s="48">
        <f>'Escapement Age'!C10</f>
        <v>780.20613882605323</v>
      </c>
      <c r="AG12" s="234">
        <v>1988</v>
      </c>
      <c r="AH12" s="48">
        <f>'Escapement Age'!D11</f>
        <v>1048.6954524929265</v>
      </c>
      <c r="AI12" s="233">
        <v>1989</v>
      </c>
      <c r="AJ12" s="114">
        <f>'Escapement Age'!E12</f>
        <v>918.85187364874514</v>
      </c>
      <c r="AK12" s="126">
        <v>1986</v>
      </c>
      <c r="AL12" s="116">
        <f>'Catch Age'!D92</f>
        <v>0</v>
      </c>
      <c r="AM12" s="126">
        <v>1987</v>
      </c>
      <c r="AN12" s="116">
        <f>'Catch Age'!E93</f>
        <v>111.9040069497231</v>
      </c>
      <c r="AO12" s="126">
        <v>1988</v>
      </c>
      <c r="AP12" s="116">
        <f>'Catch Age'!F94</f>
        <v>1511</v>
      </c>
      <c r="AQ12" s="126">
        <v>1989</v>
      </c>
      <c r="AR12" s="116">
        <f>'Catch Age'!G95</f>
        <v>603.19343065693431</v>
      </c>
      <c r="AS12" s="115">
        <f>SUM(AL12,AN12,AP12,AR12)</f>
        <v>2226.0974376066574</v>
      </c>
    </row>
    <row r="13" spans="1:45" x14ac:dyDescent="0.2">
      <c r="A13" s="11">
        <v>1984</v>
      </c>
      <c r="B13" s="643" t="s">
        <v>19</v>
      </c>
      <c r="C13" s="643" t="s">
        <v>19</v>
      </c>
      <c r="D13" s="644" t="s">
        <v>19</v>
      </c>
      <c r="E13" s="644" t="s">
        <v>19</v>
      </c>
      <c r="F13" s="645" t="s">
        <v>19</v>
      </c>
      <c r="G13" s="498">
        <v>0.9</v>
      </c>
      <c r="H13" s="12">
        <f>'Daily Weir Counts'!C$5</f>
        <v>40794</v>
      </c>
      <c r="I13" s="166">
        <f>'Daily Weir Counts'!C$6</f>
        <v>9764</v>
      </c>
      <c r="J13" s="259">
        <f>'Weir Expansions'!B15</f>
        <v>10619.443567532897</v>
      </c>
      <c r="K13" s="489">
        <f>'Weir Expansions'!B27</f>
        <v>4.2607950877867569E-2</v>
      </c>
      <c r="L13" s="212" t="s">
        <v>19</v>
      </c>
      <c r="M13" s="212" t="s">
        <v>19</v>
      </c>
      <c r="N13" s="212" t="s">
        <v>19</v>
      </c>
      <c r="O13" s="14">
        <v>0</v>
      </c>
      <c r="P13" s="24">
        <f t="shared" ref="P13:P42" si="0">J13-O13</f>
        <v>10619.443567532897</v>
      </c>
      <c r="Q13" s="235">
        <v>1987</v>
      </c>
      <c r="R13" s="236">
        <f>AD13+AL13</f>
        <v>0</v>
      </c>
      <c r="S13" s="237">
        <v>1988</v>
      </c>
      <c r="T13" s="236">
        <f t="shared" ref="T13:T36" si="1">AF13+AN13</f>
        <v>1820.0868167450485</v>
      </c>
      <c r="U13" s="235">
        <v>1989</v>
      </c>
      <c r="V13" s="236">
        <f>AH13+AP13</f>
        <v>14983.131295900497</v>
      </c>
      <c r="W13" s="147">
        <v>1990</v>
      </c>
      <c r="X13" s="134">
        <f t="shared" ref="X13:X34" si="2">AJ13+AR13</f>
        <v>717.63578104926535</v>
      </c>
      <c r="Y13" s="134">
        <f t="shared" ref="Y13:Y34" si="3">SUM(R13,T13,V13,X13)</f>
        <v>17520.853893694813</v>
      </c>
      <c r="Z13" s="500">
        <f t="shared" ref="Z13:Z35" si="4">LN(Y13)</f>
        <v>9.771147101527303</v>
      </c>
      <c r="AA13" s="135">
        <f t="shared" ref="AA13:AA35" si="5">Y13/P13</f>
        <v>1.6498843637402791</v>
      </c>
      <c r="AB13" s="135">
        <f t="shared" ref="AB13:AB32" si="6">LN(AA13)</f>
        <v>0.50070520287494136</v>
      </c>
      <c r="AC13" s="233">
        <v>1987</v>
      </c>
      <c r="AD13" s="48">
        <f>'Escapement Age'!B10</f>
        <v>0</v>
      </c>
      <c r="AE13" s="234">
        <v>1988</v>
      </c>
      <c r="AF13" s="48">
        <f>'Escapement Age'!C11</f>
        <v>734.08681674504862</v>
      </c>
      <c r="AG13" s="233">
        <v>1989</v>
      </c>
      <c r="AH13" s="48">
        <f>'Escapement Age'!D12</f>
        <v>9201.1057484552421</v>
      </c>
      <c r="AI13" s="233">
        <v>1990</v>
      </c>
      <c r="AJ13" s="114">
        <f>'Escapement Age'!E13</f>
        <v>452.30942636946236</v>
      </c>
      <c r="AK13" s="126">
        <v>1987</v>
      </c>
      <c r="AL13" s="116">
        <f>'Catch Age'!D93</f>
        <v>0</v>
      </c>
      <c r="AM13" s="126">
        <v>1988</v>
      </c>
      <c r="AN13" s="116">
        <f>'Catch Age'!E94</f>
        <v>1086</v>
      </c>
      <c r="AO13" s="126">
        <v>1989</v>
      </c>
      <c r="AP13" s="116">
        <f>'Catch Age'!F95</f>
        <v>5782.0255474452551</v>
      </c>
      <c r="AQ13" s="126">
        <v>1990</v>
      </c>
      <c r="AR13" s="116">
        <f>'Catch Age'!G96</f>
        <v>265.32635467980299</v>
      </c>
      <c r="AS13" s="115">
        <f t="shared" ref="AS13:AS34" si="7">SUM(AL13,AN13,AP13,AR13)</f>
        <v>7133.3519021250577</v>
      </c>
    </row>
    <row r="14" spans="1:45" x14ac:dyDescent="0.2">
      <c r="A14" s="11">
        <v>1985</v>
      </c>
      <c r="B14" s="643" t="s">
        <v>19</v>
      </c>
      <c r="C14" s="643" t="s">
        <v>19</v>
      </c>
      <c r="D14" s="644" t="s">
        <v>19</v>
      </c>
      <c r="E14" s="644" t="s">
        <v>19</v>
      </c>
      <c r="F14" s="645" t="s">
        <v>19</v>
      </c>
      <c r="G14" s="498">
        <v>0.9</v>
      </c>
      <c r="H14" s="12">
        <f>'Daily Weir Counts'!D$5</f>
        <v>40784</v>
      </c>
      <c r="I14" s="166">
        <f>'Daily Weir Counts'!D$6</f>
        <v>7073</v>
      </c>
      <c r="J14" s="484">
        <f>'Weir Expansions'!C15</f>
        <v>8157.0449090643469</v>
      </c>
      <c r="K14" s="489">
        <f>'Weir Expansions'!C27</f>
        <v>0.20643169501716654</v>
      </c>
      <c r="L14" s="212" t="s">
        <v>19</v>
      </c>
      <c r="M14" s="212" t="s">
        <v>19</v>
      </c>
      <c r="N14" s="212" t="s">
        <v>19</v>
      </c>
      <c r="O14" s="14">
        <v>0</v>
      </c>
      <c r="P14" s="24">
        <f t="shared" si="0"/>
        <v>8157.0449090643469</v>
      </c>
      <c r="Q14" s="237">
        <v>1988</v>
      </c>
      <c r="R14" s="236">
        <f t="shared" ref="R14:R37" si="8">AD14+AL14</f>
        <v>2.7597248749813859</v>
      </c>
      <c r="S14" s="235">
        <v>1989</v>
      </c>
      <c r="T14" s="236">
        <f t="shared" si="1"/>
        <v>5105.3858874943126</v>
      </c>
      <c r="U14" s="235">
        <v>1990</v>
      </c>
      <c r="V14" s="236">
        <f t="shared" ref="V14:V35" si="9">AH14+AP14</f>
        <v>12057.542013753889</v>
      </c>
      <c r="W14" s="161">
        <v>1991</v>
      </c>
      <c r="X14" s="136" t="e">
        <f t="shared" si="2"/>
        <v>#VALUE!</v>
      </c>
      <c r="Y14" s="134" t="e">
        <f t="shared" si="3"/>
        <v>#VALUE!</v>
      </c>
      <c r="Z14" s="500" t="e">
        <f t="shared" si="4"/>
        <v>#VALUE!</v>
      </c>
      <c r="AA14" s="135" t="e">
        <f t="shared" si="5"/>
        <v>#VALUE!</v>
      </c>
      <c r="AB14" s="135" t="e">
        <f t="shared" si="6"/>
        <v>#VALUE!</v>
      </c>
      <c r="AC14" s="234">
        <v>1988</v>
      </c>
      <c r="AD14" s="48">
        <f>'Escapement Age'!B11</f>
        <v>2.7597248749813859</v>
      </c>
      <c r="AE14" s="233">
        <v>1989</v>
      </c>
      <c r="AF14" s="48">
        <f>'Escapement Age'!C12</f>
        <v>4065.6048655965023</v>
      </c>
      <c r="AG14" s="233">
        <v>1990</v>
      </c>
      <c r="AH14" s="48">
        <f>'Escapement Age'!D13</f>
        <v>9449.3338856750725</v>
      </c>
      <c r="AI14" s="233">
        <v>1991</v>
      </c>
      <c r="AJ14" s="114">
        <f>'Escapement Age'!E14</f>
        <v>62.271102673537015</v>
      </c>
      <c r="AK14" s="126">
        <v>1988</v>
      </c>
      <c r="AL14" s="116">
        <f>'Catch Age'!D94</f>
        <v>0</v>
      </c>
      <c r="AM14" s="126">
        <v>1989</v>
      </c>
      <c r="AN14" s="116">
        <f>'Catch Age'!E95</f>
        <v>1039.7810218978102</v>
      </c>
      <c r="AO14" s="126">
        <v>1990</v>
      </c>
      <c r="AP14" s="116">
        <f>'Catch Age'!F96</f>
        <v>2608.2081280788175</v>
      </c>
      <c r="AQ14" s="164">
        <v>1991</v>
      </c>
      <c r="AR14" s="165" t="e">
        <f>'Catch Age'!G97</f>
        <v>#VALUE!</v>
      </c>
      <c r="AS14" s="115" t="e">
        <f t="shared" si="7"/>
        <v>#VALUE!</v>
      </c>
    </row>
    <row r="15" spans="1:45" x14ac:dyDescent="0.2">
      <c r="A15" s="11">
        <v>1986</v>
      </c>
      <c r="B15" s="291">
        <f>'Catch Age'!P10</f>
        <v>5346</v>
      </c>
      <c r="C15" s="291">
        <f>'Catch Age'!W10</f>
        <v>0</v>
      </c>
      <c r="D15" s="292">
        <f>'Catch Age'!AD10</f>
        <v>0</v>
      </c>
      <c r="E15" s="292">
        <f>'Catch Age'!AK10</f>
        <v>0</v>
      </c>
      <c r="F15" s="495">
        <f>SUM(B15:E15)</f>
        <v>5346</v>
      </c>
      <c r="G15" s="499">
        <v>0.2</v>
      </c>
      <c r="H15" s="12">
        <f>'Daily Weir Counts'!E$5</f>
        <v>40784</v>
      </c>
      <c r="I15" s="166">
        <f>'Daily Weir Counts'!E$6</f>
        <v>5857</v>
      </c>
      <c r="J15" s="484">
        <f>'Weir Expansions'!D15</f>
        <v>7037.0656567450678</v>
      </c>
      <c r="K15" s="489">
        <f>'Weir Expansions'!D27</f>
        <v>0.22936314185501264</v>
      </c>
      <c r="L15" s="24">
        <f>F15+J15</f>
        <v>12383.065656745068</v>
      </c>
      <c r="M15" s="26">
        <f>B15/L15</f>
        <v>0.43171861865143457</v>
      </c>
      <c r="N15" s="26">
        <f>F15/L15</f>
        <v>0.43171861865143457</v>
      </c>
      <c r="O15" s="14">
        <v>0</v>
      </c>
      <c r="P15" s="24">
        <f t="shared" si="0"/>
        <v>7037.0656567450678</v>
      </c>
      <c r="Q15" s="147">
        <v>1989</v>
      </c>
      <c r="R15" s="134">
        <f t="shared" si="8"/>
        <v>12.58701196779103</v>
      </c>
      <c r="S15" s="147">
        <v>1990</v>
      </c>
      <c r="T15" s="134">
        <f t="shared" si="1"/>
        <v>9510.025836992796</v>
      </c>
      <c r="U15" s="161">
        <v>1991</v>
      </c>
      <c r="V15" s="136" t="e">
        <f t="shared" si="9"/>
        <v>#VALUE!</v>
      </c>
      <c r="W15" s="147">
        <v>1992</v>
      </c>
      <c r="X15" s="134">
        <f t="shared" si="2"/>
        <v>620.77996530062865</v>
      </c>
      <c r="Y15" s="134" t="e">
        <f t="shared" si="3"/>
        <v>#VALUE!</v>
      </c>
      <c r="Z15" s="500" t="e">
        <f t="shared" si="4"/>
        <v>#VALUE!</v>
      </c>
      <c r="AA15" s="135" t="e">
        <f t="shared" si="5"/>
        <v>#VALUE!</v>
      </c>
      <c r="AB15" s="135" t="e">
        <f t="shared" si="6"/>
        <v>#VALUE!</v>
      </c>
      <c r="AC15" s="128">
        <v>1989</v>
      </c>
      <c r="AD15" s="114">
        <f>'Escapement Age'!B12</f>
        <v>12.58701196779103</v>
      </c>
      <c r="AE15" s="128">
        <v>1990</v>
      </c>
      <c r="AF15" s="114">
        <f>'Escapement Age'!C13</f>
        <v>8318.5603197514174</v>
      </c>
      <c r="AG15" s="128">
        <v>1991</v>
      </c>
      <c r="AH15" s="114">
        <f>'Escapement Age'!D14</f>
        <v>1382.4184793525219</v>
      </c>
      <c r="AI15" s="128">
        <v>1992</v>
      </c>
      <c r="AJ15" s="114">
        <f>'Escapement Age'!E15</f>
        <v>167.77996530062859</v>
      </c>
      <c r="AK15" s="126">
        <v>1989</v>
      </c>
      <c r="AL15" s="116">
        <f>'Catch Age'!D95</f>
        <v>0</v>
      </c>
      <c r="AM15" s="126">
        <v>1990</v>
      </c>
      <c r="AN15" s="116">
        <f>'Catch Age'!E96</f>
        <v>1191.4655172413793</v>
      </c>
      <c r="AO15" s="164">
        <v>1991</v>
      </c>
      <c r="AP15" s="165" t="e">
        <f>'Catch Age'!F97</f>
        <v>#VALUE!</v>
      </c>
      <c r="AQ15" s="126">
        <v>1992</v>
      </c>
      <c r="AR15" s="116">
        <f>'Catch Age'!G98</f>
        <v>453</v>
      </c>
      <c r="AS15" s="115" t="e">
        <f t="shared" si="7"/>
        <v>#VALUE!</v>
      </c>
    </row>
    <row r="16" spans="1:45" x14ac:dyDescent="0.2">
      <c r="A16" s="11">
        <v>1987</v>
      </c>
      <c r="B16" s="291">
        <f>'Catch Age'!P13</f>
        <v>9284</v>
      </c>
      <c r="C16" s="291">
        <f>'Catch Age'!W13</f>
        <v>0</v>
      </c>
      <c r="D16" s="292">
        <f>'Catch Age'!AD13</f>
        <v>0</v>
      </c>
      <c r="E16" s="292">
        <f>'Catch Age'!AK13</f>
        <v>0</v>
      </c>
      <c r="F16" s="495">
        <f t="shared" ref="F16:F24" si="10">SUM(B16:E16)</f>
        <v>9284</v>
      </c>
      <c r="G16" s="499">
        <v>0.2</v>
      </c>
      <c r="H16" s="12">
        <f>'Daily Weir Counts'!F$5</f>
        <v>40782</v>
      </c>
      <c r="I16" s="166">
        <f>'Daily Weir Counts'!F$6</f>
        <v>9353</v>
      </c>
      <c r="J16" s="484">
        <f>'Weir Expansions'!E15</f>
        <v>10257.416001624877</v>
      </c>
      <c r="K16" s="489">
        <f>'Weir Expansions'!E27</f>
        <v>0.19383393140559516</v>
      </c>
      <c r="L16" s="24">
        <f>F16+J16</f>
        <v>19541.416001624879</v>
      </c>
      <c r="M16" s="26">
        <f>B16/L16</f>
        <v>0.47509351416642637</v>
      </c>
      <c r="N16" s="26">
        <f>F16/L16</f>
        <v>0.47509351416642637</v>
      </c>
      <c r="O16" s="14">
        <v>0</v>
      </c>
      <c r="P16" s="24">
        <f t="shared" si="0"/>
        <v>10257.416001624877</v>
      </c>
      <c r="Q16" s="147">
        <v>1990</v>
      </c>
      <c r="R16" s="134">
        <f t="shared" si="8"/>
        <v>88.495322550546987</v>
      </c>
      <c r="S16" s="161">
        <v>1991</v>
      </c>
      <c r="T16" s="136" t="e">
        <f t="shared" si="1"/>
        <v>#VALUE!</v>
      </c>
      <c r="U16" s="147">
        <v>1992</v>
      </c>
      <c r="V16" s="134">
        <f t="shared" si="9"/>
        <v>11593.936039577544</v>
      </c>
      <c r="W16" s="161">
        <v>1993</v>
      </c>
      <c r="X16" s="136">
        <f t="shared" si="2"/>
        <v>1801.7474606389719</v>
      </c>
      <c r="Y16" s="134" t="e">
        <f t="shared" si="3"/>
        <v>#VALUE!</v>
      </c>
      <c r="Z16" s="500" t="e">
        <f t="shared" si="4"/>
        <v>#VALUE!</v>
      </c>
      <c r="AA16" s="135" t="e">
        <f t="shared" si="5"/>
        <v>#VALUE!</v>
      </c>
      <c r="AB16" s="135" t="e">
        <f t="shared" si="6"/>
        <v>#VALUE!</v>
      </c>
      <c r="AC16" s="128">
        <v>1990</v>
      </c>
      <c r="AD16" s="114">
        <f>'Escapement Age'!B13</f>
        <v>88.495322550546987</v>
      </c>
      <c r="AE16" s="128">
        <v>1991</v>
      </c>
      <c r="AF16" s="114">
        <f>'Escapement Age'!C14</f>
        <v>460.80615978417399</v>
      </c>
      <c r="AG16" s="128">
        <v>1992</v>
      </c>
      <c r="AH16" s="114">
        <f>'Escapement Age'!D15</f>
        <v>4271.9360395775429</v>
      </c>
      <c r="AI16" s="162">
        <v>1993</v>
      </c>
      <c r="AJ16" s="163">
        <f>'Escapement Age'!E16</f>
        <v>793.86007497867729</v>
      </c>
      <c r="AK16" s="126">
        <v>1990</v>
      </c>
      <c r="AL16" s="116">
        <f>'Catch Age'!D96</f>
        <v>0</v>
      </c>
      <c r="AM16" s="164">
        <v>1991</v>
      </c>
      <c r="AN16" s="165" t="e">
        <f>'Catch Age'!E97</f>
        <v>#VALUE!</v>
      </c>
      <c r="AO16" s="126">
        <v>1992</v>
      </c>
      <c r="AP16" s="116">
        <f>'Catch Age'!F98</f>
        <v>7322</v>
      </c>
      <c r="AQ16" s="126">
        <v>1993</v>
      </c>
      <c r="AR16" s="116">
        <f>'Catch Age'!G99</f>
        <v>1007.8873856602946</v>
      </c>
      <c r="AS16" s="115" t="e">
        <f t="shared" si="7"/>
        <v>#VALUE!</v>
      </c>
    </row>
    <row r="17" spans="1:45" x14ac:dyDescent="0.2">
      <c r="A17" s="11">
        <v>1988</v>
      </c>
      <c r="B17" s="291">
        <f>'Catch Age'!P16</f>
        <v>2637</v>
      </c>
      <c r="C17" s="291">
        <f>'Catch Age'!W16</f>
        <v>0</v>
      </c>
      <c r="D17" s="292">
        <f>'Catch Age'!AD16</f>
        <v>0</v>
      </c>
      <c r="E17" s="292">
        <f>'Catch Age'!AK16</f>
        <v>0</v>
      </c>
      <c r="F17" s="495">
        <f t="shared" si="10"/>
        <v>2637</v>
      </c>
      <c r="G17" s="499">
        <v>0.2</v>
      </c>
      <c r="H17" s="12">
        <f>'Daily Weir Counts'!G$5</f>
        <v>40786</v>
      </c>
      <c r="I17" s="166">
        <f>'Daily Weir Counts'!G$6</f>
        <v>969</v>
      </c>
      <c r="J17" s="484">
        <f>'Weir Expansions'!F15</f>
        <v>1818.6586926127331</v>
      </c>
      <c r="K17" s="489">
        <f>'Weir Expansions'!F27</f>
        <v>0.77725260528499629</v>
      </c>
      <c r="L17" s="24">
        <f>F17+J17</f>
        <v>4455.6586926127329</v>
      </c>
      <c r="M17" s="26">
        <f>B17/L17</f>
        <v>0.59183168683275011</v>
      </c>
      <c r="N17" s="26">
        <f>F17/L17</f>
        <v>0.59183168683275011</v>
      </c>
      <c r="O17" s="14">
        <v>259</v>
      </c>
      <c r="P17" s="24">
        <f t="shared" si="0"/>
        <v>1559.6586926127331</v>
      </c>
      <c r="Q17" s="161">
        <v>1991</v>
      </c>
      <c r="R17" s="136">
        <f t="shared" si="8"/>
        <v>12.454220534707405</v>
      </c>
      <c r="S17" s="147">
        <v>1992</v>
      </c>
      <c r="T17" s="134">
        <f t="shared" si="1"/>
        <v>8110.3926343450294</v>
      </c>
      <c r="U17" s="161">
        <v>1993</v>
      </c>
      <c r="V17" s="136">
        <f t="shared" si="9"/>
        <v>30169.734644887121</v>
      </c>
      <c r="W17" s="161">
        <v>1994</v>
      </c>
      <c r="X17" s="136">
        <f t="shared" si="2"/>
        <v>29.669759934593102</v>
      </c>
      <c r="Y17" s="134">
        <f t="shared" si="3"/>
        <v>38322.25125970145</v>
      </c>
      <c r="Z17" s="500">
        <f t="shared" si="4"/>
        <v>10.553785979307513</v>
      </c>
      <c r="AA17" s="135">
        <f t="shared" si="5"/>
        <v>24.570921472251207</v>
      </c>
      <c r="AB17" s="135">
        <f t="shared" si="6"/>
        <v>3.2015636897879598</v>
      </c>
      <c r="AC17" s="128">
        <v>1991</v>
      </c>
      <c r="AD17" s="114">
        <f>'Escapement Age'!B14</f>
        <v>12.454220534707405</v>
      </c>
      <c r="AE17" s="128">
        <v>1992</v>
      </c>
      <c r="AF17" s="114">
        <f>'Escapement Age'!C15</f>
        <v>5859.3926343450294</v>
      </c>
      <c r="AG17" s="162">
        <v>1993</v>
      </c>
      <c r="AH17" s="163">
        <f>'Escapement Age'!D16</f>
        <v>15130.039076064204</v>
      </c>
      <c r="AI17" s="162">
        <v>1994</v>
      </c>
      <c r="AJ17" s="163">
        <f>'Escapement Age'!E17</f>
        <v>11.64596614741531</v>
      </c>
      <c r="AK17" s="164">
        <v>1991</v>
      </c>
      <c r="AL17" s="165">
        <f>'Catch Age'!D97</f>
        <v>0</v>
      </c>
      <c r="AM17" s="126">
        <v>1992</v>
      </c>
      <c r="AN17" s="116">
        <f>'Catch Age'!E98</f>
        <v>2251</v>
      </c>
      <c r="AO17" s="126">
        <v>1993</v>
      </c>
      <c r="AP17" s="116">
        <f>'Catch Age'!F99</f>
        <v>15039.695568822917</v>
      </c>
      <c r="AQ17" s="126">
        <v>1994</v>
      </c>
      <c r="AR17" s="116">
        <f>'Catch Age'!G100</f>
        <v>18.023793787177791</v>
      </c>
      <c r="AS17" s="115">
        <f t="shared" si="7"/>
        <v>17308.719362610096</v>
      </c>
    </row>
    <row r="18" spans="1:45" x14ac:dyDescent="0.2">
      <c r="A18" s="11">
        <v>1989</v>
      </c>
      <c r="B18" s="291">
        <f>'Catch Age'!P19</f>
        <v>7425</v>
      </c>
      <c r="C18" s="291">
        <f>'Catch Age'!W19</f>
        <v>0</v>
      </c>
      <c r="D18" s="292">
        <f>'Catch Age'!AD19</f>
        <v>0</v>
      </c>
      <c r="E18" s="292">
        <f>'Catch Age'!AK19</f>
        <v>0</v>
      </c>
      <c r="F18" s="495">
        <f t="shared" si="10"/>
        <v>7425</v>
      </c>
      <c r="G18" s="499">
        <v>0.2</v>
      </c>
      <c r="H18" s="12">
        <f>'Daily Weir Counts'!H$5</f>
        <v>40791</v>
      </c>
      <c r="I18" s="166">
        <f>'Daily Weir Counts'!H$6</f>
        <v>12854</v>
      </c>
      <c r="J18" s="484">
        <f>'Weir Expansions'!G15</f>
        <v>14198.149499668281</v>
      </c>
      <c r="K18" s="489">
        <f>'Weir Expansions'!G27</f>
        <v>4.2005362048357864E-2</v>
      </c>
      <c r="L18" s="24">
        <f>F18+J18</f>
        <v>21623.149499668281</v>
      </c>
      <c r="M18" s="26">
        <f>B18/L18</f>
        <v>0.34338198513190255</v>
      </c>
      <c r="N18" s="26">
        <f>F18/L18</f>
        <v>0.34338198513190255</v>
      </c>
      <c r="O18" s="14">
        <v>2115</v>
      </c>
      <c r="P18" s="24">
        <f t="shared" si="0"/>
        <v>12083.149499668281</v>
      </c>
      <c r="Q18" s="147">
        <v>1992</v>
      </c>
      <c r="R18" s="134">
        <f t="shared" si="8"/>
        <v>0</v>
      </c>
      <c r="S18" s="161">
        <v>1993</v>
      </c>
      <c r="T18" s="136">
        <f t="shared" si="1"/>
        <v>10758.9943099969</v>
      </c>
      <c r="U18" s="161">
        <v>1994</v>
      </c>
      <c r="V18" s="136">
        <f t="shared" si="9"/>
        <v>2892.0878174497552</v>
      </c>
      <c r="W18" s="147">
        <v>1995</v>
      </c>
      <c r="X18" s="134">
        <f t="shared" si="2"/>
        <v>1733.4790273184158</v>
      </c>
      <c r="Y18" s="134">
        <f t="shared" si="3"/>
        <v>15384.561154765071</v>
      </c>
      <c r="Z18" s="500">
        <f t="shared" si="4"/>
        <v>9.6411197631221537</v>
      </c>
      <c r="AA18" s="135">
        <f t="shared" si="5"/>
        <v>1.2732244316920371</v>
      </c>
      <c r="AB18" s="135">
        <f t="shared" si="6"/>
        <v>0.24155260544373017</v>
      </c>
      <c r="AC18" s="128">
        <v>1992</v>
      </c>
      <c r="AD18" s="114">
        <f>'Escapement Age'!B15</f>
        <v>0</v>
      </c>
      <c r="AE18" s="162">
        <v>1993</v>
      </c>
      <c r="AF18" s="163">
        <f>'Escapement Age'!C16</f>
        <v>8405.5772644801127</v>
      </c>
      <c r="AG18" s="162">
        <v>1994</v>
      </c>
      <c r="AH18" s="163">
        <f>'Escapement Age'!D17</f>
        <v>1473.2147176480366</v>
      </c>
      <c r="AI18" s="128">
        <v>1995</v>
      </c>
      <c r="AJ18" s="114">
        <f>'Escapement Age'!E18</f>
        <v>822.71725894979829</v>
      </c>
      <c r="AK18" s="126">
        <v>1992</v>
      </c>
      <c r="AL18" s="116">
        <f>'Catch Age'!D98</f>
        <v>0</v>
      </c>
      <c r="AM18" s="126">
        <v>1993</v>
      </c>
      <c r="AN18" s="116">
        <f>'Catch Age'!E99</f>
        <v>2353.4170455167882</v>
      </c>
      <c r="AO18" s="126">
        <v>1994</v>
      </c>
      <c r="AP18" s="116">
        <f>'Catch Age'!F100</f>
        <v>1418.8730998017186</v>
      </c>
      <c r="AQ18" s="126">
        <v>1995</v>
      </c>
      <c r="AR18" s="116">
        <f>'Catch Age'!G101</f>
        <v>910.7617683686176</v>
      </c>
      <c r="AS18" s="115">
        <f t="shared" si="7"/>
        <v>4683.0519136871244</v>
      </c>
    </row>
    <row r="19" spans="1:45" x14ac:dyDescent="0.2">
      <c r="A19" s="11">
        <v>1990</v>
      </c>
      <c r="B19" s="291">
        <f>'Catch Age'!P22</f>
        <v>4065</v>
      </c>
      <c r="C19" s="291">
        <f>'Catch Age'!W22</f>
        <v>0</v>
      </c>
      <c r="D19" s="292">
        <f>'Catch Age'!AD22</f>
        <v>0</v>
      </c>
      <c r="E19" s="292">
        <f>'Catch Age'!AK22</f>
        <v>0</v>
      </c>
      <c r="F19" s="495">
        <f t="shared" si="10"/>
        <v>4065</v>
      </c>
      <c r="G19" s="499">
        <v>0.2</v>
      </c>
      <c r="H19" s="12">
        <f>'Daily Weir Counts'!I$5</f>
        <v>40784</v>
      </c>
      <c r="I19" s="166">
        <f>'Daily Weir Counts'!I$6</f>
        <v>18095</v>
      </c>
      <c r="J19" s="484">
        <f>'Weir Expansions'!H15</f>
        <v>18308.698954346499</v>
      </c>
      <c r="K19" s="489">
        <f>'Weir Expansions'!H27</f>
        <v>0.18533595229923958</v>
      </c>
      <c r="L19" s="24">
        <f>F19+J19</f>
        <v>22373.698954346499</v>
      </c>
      <c r="M19" s="26">
        <f>B19/L19</f>
        <v>0.18168654223401445</v>
      </c>
      <c r="N19" s="26">
        <f>F19/L19</f>
        <v>0.18168654223401445</v>
      </c>
      <c r="O19" s="14">
        <v>1197</v>
      </c>
      <c r="P19" s="24">
        <f t="shared" si="0"/>
        <v>17111.698954346499</v>
      </c>
      <c r="Q19" s="161">
        <v>1993</v>
      </c>
      <c r="R19" s="136">
        <f t="shared" si="8"/>
        <v>0</v>
      </c>
      <c r="S19" s="161">
        <v>1994</v>
      </c>
      <c r="T19" s="136">
        <f t="shared" si="1"/>
        <v>520.64982001288558</v>
      </c>
      <c r="U19" s="147">
        <v>1995</v>
      </c>
      <c r="V19" s="134">
        <f t="shared" si="9"/>
        <v>7619.6191032736278</v>
      </c>
      <c r="W19" s="147">
        <v>1996</v>
      </c>
      <c r="X19" s="134">
        <f t="shared" si="2"/>
        <v>20.830985292841909</v>
      </c>
      <c r="Y19" s="134">
        <f t="shared" si="3"/>
        <v>8161.0999085793555</v>
      </c>
      <c r="Z19" s="500">
        <f t="shared" si="4"/>
        <v>9.007134231592488</v>
      </c>
      <c r="AA19" s="135">
        <f t="shared" si="5"/>
        <v>0.47693101254018821</v>
      </c>
      <c r="AB19" s="135">
        <f t="shared" si="6"/>
        <v>-0.74038342635175192</v>
      </c>
      <c r="AC19" s="162">
        <v>1993</v>
      </c>
      <c r="AD19" s="163">
        <f>'Escapement Age'!B16</f>
        <v>0</v>
      </c>
      <c r="AE19" s="162">
        <v>1994</v>
      </c>
      <c r="AF19" s="163">
        <f>'Escapement Age'!C17</f>
        <v>442.54671360178179</v>
      </c>
      <c r="AG19" s="128">
        <v>1995</v>
      </c>
      <c r="AH19" s="114">
        <f>'Escapement Age'!D18</f>
        <v>2956.6401493508379</v>
      </c>
      <c r="AI19" s="128">
        <v>1996</v>
      </c>
      <c r="AJ19" s="114">
        <f>'Escapement Age'!E19</f>
        <v>20.830985292841909</v>
      </c>
      <c r="AK19" s="126">
        <v>1993</v>
      </c>
      <c r="AL19" s="116">
        <f>'Catch Age'!D99</f>
        <v>0</v>
      </c>
      <c r="AM19" s="126">
        <v>1994</v>
      </c>
      <c r="AN19" s="116">
        <f>'Catch Age'!E100</f>
        <v>78.103106411103767</v>
      </c>
      <c r="AO19" s="126">
        <v>1995</v>
      </c>
      <c r="AP19" s="116">
        <f>'Catch Age'!F101</f>
        <v>4662.9789539227895</v>
      </c>
      <c r="AQ19" s="126">
        <v>1996</v>
      </c>
      <c r="AR19" s="116">
        <f>'Catch Age'!G102</f>
        <v>0</v>
      </c>
      <c r="AS19" s="115">
        <f t="shared" si="7"/>
        <v>4741.0820603338934</v>
      </c>
    </row>
    <row r="20" spans="1:45" x14ac:dyDescent="0.2">
      <c r="A20" s="152">
        <v>1991</v>
      </c>
      <c r="B20" s="293" t="s">
        <v>19</v>
      </c>
      <c r="C20" s="293">
        <f>'Catch Age'!W25</f>
        <v>0</v>
      </c>
      <c r="D20" s="294">
        <f>'Catch Age'!AD25</f>
        <v>0</v>
      </c>
      <c r="E20" s="294">
        <f>'Catch Age'!AK25</f>
        <v>0</v>
      </c>
      <c r="F20" s="496" t="s">
        <v>19</v>
      </c>
      <c r="G20" s="499">
        <v>0.9</v>
      </c>
      <c r="H20" s="12">
        <f>'Daily Weir Counts'!J$5</f>
        <v>40784</v>
      </c>
      <c r="I20" s="166">
        <f>'Daily Weir Counts'!J$6</f>
        <v>299</v>
      </c>
      <c r="J20" s="484">
        <f>'Weir Expansions'!I15</f>
        <v>1917.9499623449403</v>
      </c>
      <c r="K20" s="489">
        <f>'Weir Expansions'!I27</f>
        <v>0.96031236078647941</v>
      </c>
      <c r="L20" s="52">
        <f>J20/(1-N20)</f>
        <v>3368.5441574009296</v>
      </c>
      <c r="M20" s="232">
        <f>AVERAGE($N$15:$N$19,$N$21,$N$24)</f>
        <v>0.43062941356102791</v>
      </c>
      <c r="N20" s="232">
        <f>AVERAGE($N$15:$N$19,$N$21,$N$24)</f>
        <v>0.43062941356102791</v>
      </c>
      <c r="O20" s="14">
        <v>0</v>
      </c>
      <c r="P20" s="24">
        <f t="shared" si="0"/>
        <v>1917.9499623449403</v>
      </c>
      <c r="Q20" s="161">
        <v>1994</v>
      </c>
      <c r="R20" s="136">
        <f t="shared" si="8"/>
        <v>75.698779958199509</v>
      </c>
      <c r="S20" s="147">
        <v>1995</v>
      </c>
      <c r="T20" s="134">
        <f t="shared" si="1"/>
        <v>6926.7996730504874</v>
      </c>
      <c r="U20" s="147">
        <v>1996</v>
      </c>
      <c r="V20" s="134">
        <f t="shared" si="9"/>
        <v>16478.926892764885</v>
      </c>
      <c r="W20" s="147">
        <v>1997</v>
      </c>
      <c r="X20" s="134">
        <f t="shared" si="2"/>
        <v>87.030052713591232</v>
      </c>
      <c r="Y20" s="134">
        <f t="shared" si="3"/>
        <v>23568.455398487164</v>
      </c>
      <c r="Z20" s="500">
        <f t="shared" si="4"/>
        <v>10.06766446126213</v>
      </c>
      <c r="AA20" s="135">
        <f t="shared" si="5"/>
        <v>12.288357809747913</v>
      </c>
      <c r="AB20" s="135">
        <f t="shared" si="6"/>
        <v>2.5086522946132059</v>
      </c>
      <c r="AC20" s="162">
        <v>1994</v>
      </c>
      <c r="AD20" s="163">
        <f>'Escapement Age'!B17</f>
        <v>75.698779958199509</v>
      </c>
      <c r="AE20" s="128">
        <v>1995</v>
      </c>
      <c r="AF20" s="114">
        <f>'Escapement Age'!C18</f>
        <v>4383.5403953418945</v>
      </c>
      <c r="AG20" s="128">
        <v>1996</v>
      </c>
      <c r="AH20" s="114">
        <f>'Escapement Age'!D19</f>
        <v>9853.0560435142233</v>
      </c>
      <c r="AI20" s="128">
        <v>1997</v>
      </c>
      <c r="AJ20" s="114">
        <f>'Escapement Age'!E20</f>
        <v>58.967372828717544</v>
      </c>
      <c r="AK20" s="126">
        <v>1994</v>
      </c>
      <c r="AL20" s="116">
        <f>'Catch Age'!D100</f>
        <v>0</v>
      </c>
      <c r="AM20" s="126">
        <v>1995</v>
      </c>
      <c r="AN20" s="116">
        <f>'Catch Age'!E101</f>
        <v>2543.2592777085929</v>
      </c>
      <c r="AO20" s="126">
        <v>1996</v>
      </c>
      <c r="AP20" s="116">
        <f>'Catch Age'!F102</f>
        <v>6625.8708492506612</v>
      </c>
      <c r="AQ20" s="126">
        <v>1997</v>
      </c>
      <c r="AR20" s="116">
        <f>'Catch Age'!G103</f>
        <v>28.062679884873681</v>
      </c>
      <c r="AS20" s="115">
        <f t="shared" si="7"/>
        <v>9197.1928068441284</v>
      </c>
    </row>
    <row r="21" spans="1:45" x14ac:dyDescent="0.2">
      <c r="A21" s="11">
        <v>1992</v>
      </c>
      <c r="B21" s="291">
        <f>'Catch Age'!P28</f>
        <v>7562</v>
      </c>
      <c r="C21" s="291">
        <f>'Catch Age'!W28</f>
        <v>2464</v>
      </c>
      <c r="D21" s="292">
        <f>'Catch Age'!AD28</f>
        <v>0</v>
      </c>
      <c r="E21" s="292">
        <f>'Catch Age'!AK28</f>
        <v>0</v>
      </c>
      <c r="F21" s="495">
        <f t="shared" si="10"/>
        <v>10026</v>
      </c>
      <c r="G21" s="499">
        <v>0.2</v>
      </c>
      <c r="H21" s="12">
        <f>'Daily Weir Counts'!K$5</f>
        <v>40781</v>
      </c>
      <c r="I21" s="166">
        <f>'Daily Weir Counts'!K$6</f>
        <v>9439</v>
      </c>
      <c r="J21" s="484">
        <f>'Weir Expansions'!J15</f>
        <v>10299.108639223201</v>
      </c>
      <c r="K21" s="489">
        <f>'Weir Expansions'!J27</f>
        <v>0.20028861790429095</v>
      </c>
      <c r="L21" s="24">
        <f t="shared" ref="L21:L40" si="11">F21+J21</f>
        <v>20325.108639223203</v>
      </c>
      <c r="M21" s="26">
        <f>B21/L21</f>
        <v>0.37205213188415259</v>
      </c>
      <c r="N21" s="26">
        <f>F21/L21</f>
        <v>0.49328149620080847</v>
      </c>
      <c r="O21" s="14">
        <v>1517</v>
      </c>
      <c r="P21" s="24">
        <f t="shared" si="0"/>
        <v>8782.108639223201</v>
      </c>
      <c r="Q21" s="147">
        <v>1995</v>
      </c>
      <c r="R21" s="134">
        <f t="shared" si="8"/>
        <v>38.564871513271804</v>
      </c>
      <c r="S21" s="147">
        <v>1996</v>
      </c>
      <c r="T21" s="134">
        <f t="shared" si="1"/>
        <v>2314.9037388621618</v>
      </c>
      <c r="U21" s="147">
        <v>1997</v>
      </c>
      <c r="V21" s="134">
        <f t="shared" si="9"/>
        <v>4390.7879142863749</v>
      </c>
      <c r="W21" s="147">
        <v>1998</v>
      </c>
      <c r="X21" s="134">
        <f t="shared" si="2"/>
        <v>75.592423150689271</v>
      </c>
      <c r="Y21" s="134">
        <f t="shared" si="3"/>
        <v>6819.8489478124984</v>
      </c>
      <c r="Z21" s="500">
        <f t="shared" si="4"/>
        <v>8.8275926021776385</v>
      </c>
      <c r="AA21" s="135">
        <f t="shared" si="5"/>
        <v>0.77656166963743356</v>
      </c>
      <c r="AB21" s="135">
        <f t="shared" si="6"/>
        <v>-0.25287921953742409</v>
      </c>
      <c r="AC21" s="128">
        <v>1995</v>
      </c>
      <c r="AD21" s="114">
        <f>'Escapement Age'!B18</f>
        <v>38.564871513271804</v>
      </c>
      <c r="AE21" s="128">
        <v>1996</v>
      </c>
      <c r="AF21" s="114">
        <f>'Escapement Age'!C19</f>
        <v>1999.7745881128233</v>
      </c>
      <c r="AG21" s="128">
        <v>1997</v>
      </c>
      <c r="AH21" s="114">
        <f>'Escapement Age'!D20</f>
        <v>1621.6027527897324</v>
      </c>
      <c r="AI21" s="128">
        <v>1998</v>
      </c>
      <c r="AJ21" s="114">
        <f>'Escapement Age'!E21</f>
        <v>61.592423150689264</v>
      </c>
      <c r="AK21" s="126">
        <v>1995</v>
      </c>
      <c r="AL21" s="116">
        <f>'Catch Age'!D101</f>
        <v>0</v>
      </c>
      <c r="AM21" s="126">
        <v>1996</v>
      </c>
      <c r="AN21" s="116">
        <f>'Catch Age'!E102</f>
        <v>315.12915074933881</v>
      </c>
      <c r="AO21" s="126">
        <v>1997</v>
      </c>
      <c r="AP21" s="116">
        <f>'Catch Age'!F103</f>
        <v>2769.1851614966422</v>
      </c>
      <c r="AQ21" s="126">
        <v>1998</v>
      </c>
      <c r="AR21" s="116">
        <f>'Catch Age'!G104</f>
        <v>14.000000000000002</v>
      </c>
      <c r="AS21" s="115">
        <f t="shared" si="7"/>
        <v>3098.314312245981</v>
      </c>
    </row>
    <row r="22" spans="1:45" x14ac:dyDescent="0.2">
      <c r="A22" s="152">
        <v>1993</v>
      </c>
      <c r="B22" s="291">
        <f>'Catch Age'!P31</f>
        <v>18399</v>
      </c>
      <c r="C22" s="291">
        <f>'Catch Age'!W31</f>
        <v>2</v>
      </c>
      <c r="D22" s="292">
        <f>'Catch Age'!AD31</f>
        <v>0</v>
      </c>
      <c r="E22" s="292">
        <f>'Catch Age'!AK31</f>
        <v>0</v>
      </c>
      <c r="F22" s="495">
        <f t="shared" si="10"/>
        <v>18401</v>
      </c>
      <c r="G22" s="499">
        <v>0.2</v>
      </c>
      <c r="H22" s="642" t="s">
        <v>19</v>
      </c>
      <c r="I22" s="493" t="s">
        <v>19</v>
      </c>
      <c r="J22" s="485" t="s">
        <v>19</v>
      </c>
      <c r="K22" s="490">
        <v>0.9</v>
      </c>
      <c r="L22" s="52" t="s">
        <v>19</v>
      </c>
      <c r="M22" s="232">
        <f t="shared" ref="M22:N23" si="12">AVERAGE($N$15:$N$19,$N$21,$N$24)</f>
        <v>0.43062941356102791</v>
      </c>
      <c r="N22" s="232">
        <f>AVERAGE($N$15:$N$19,$N$21,$N$24)</f>
        <v>0.43062941356102791</v>
      </c>
      <c r="O22" s="15">
        <v>1042</v>
      </c>
      <c r="P22" s="52" t="s">
        <v>19</v>
      </c>
      <c r="Q22" s="147">
        <v>1996</v>
      </c>
      <c r="R22" s="134">
        <f>AD22+AL22</f>
        <v>208.3098529284191</v>
      </c>
      <c r="S22" s="147">
        <v>1997</v>
      </c>
      <c r="T22" s="134">
        <f t="shared" si="1"/>
        <v>4390.7590405928149</v>
      </c>
      <c r="U22" s="147">
        <v>1998</v>
      </c>
      <c r="V22" s="134">
        <f t="shared" si="9"/>
        <v>7279.7779118497856</v>
      </c>
      <c r="W22" s="147">
        <v>1999</v>
      </c>
      <c r="X22" s="134">
        <f t="shared" si="2"/>
        <v>133.71286150749285</v>
      </c>
      <c r="Y22" s="134">
        <f t="shared" si="3"/>
        <v>12012.559666878513</v>
      </c>
      <c r="Z22" s="500">
        <f t="shared" si="4"/>
        <v>9.3937080203320615</v>
      </c>
      <c r="AA22" s="135" t="e">
        <f t="shared" si="5"/>
        <v>#VALUE!</v>
      </c>
      <c r="AB22" s="135" t="e">
        <f t="shared" si="6"/>
        <v>#VALUE!</v>
      </c>
      <c r="AC22" s="128">
        <v>1996</v>
      </c>
      <c r="AD22" s="114">
        <f>'Escapement Age'!B19</f>
        <v>208.3098529284191</v>
      </c>
      <c r="AE22" s="128">
        <v>1997</v>
      </c>
      <c r="AF22" s="114">
        <f>'Escapement Age'!C20</f>
        <v>4054.0068819743306</v>
      </c>
      <c r="AG22" s="128">
        <v>1998</v>
      </c>
      <c r="AH22" s="114">
        <f>'Escapement Age'!D21</f>
        <v>6682.7779118497856</v>
      </c>
      <c r="AI22" s="128">
        <v>1999</v>
      </c>
      <c r="AJ22" s="114">
        <f>'Escapement Age'!E22</f>
        <v>115.572144895115</v>
      </c>
      <c r="AK22" s="126">
        <v>1996</v>
      </c>
      <c r="AL22" s="116">
        <f>'Catch Age'!D102</f>
        <v>0</v>
      </c>
      <c r="AM22" s="126">
        <v>1997</v>
      </c>
      <c r="AN22" s="116">
        <f>'Catch Age'!E103</f>
        <v>336.7521586184842</v>
      </c>
      <c r="AO22" s="126">
        <v>1998</v>
      </c>
      <c r="AP22" s="116">
        <f>'Catch Age'!F104</f>
        <v>597</v>
      </c>
      <c r="AQ22" s="126">
        <v>1999</v>
      </c>
      <c r="AR22" s="116">
        <f>'Catch Age'!G105</f>
        <v>18.140716612377851</v>
      </c>
      <c r="AS22" s="115">
        <f t="shared" si="7"/>
        <v>951.89287523086205</v>
      </c>
    </row>
    <row r="23" spans="1:45" x14ac:dyDescent="0.2">
      <c r="A23" s="152">
        <v>1994</v>
      </c>
      <c r="B23" s="291">
        <f>'Catch Age'!P34</f>
        <v>1414</v>
      </c>
      <c r="C23" s="291">
        <f>'Catch Age'!W34</f>
        <v>101</v>
      </c>
      <c r="D23" s="292">
        <f>'Catch Age'!AD34</f>
        <v>0</v>
      </c>
      <c r="E23" s="292">
        <f>'Catch Age'!AK34</f>
        <v>0</v>
      </c>
      <c r="F23" s="495">
        <f t="shared" si="10"/>
        <v>1515</v>
      </c>
      <c r="G23" s="499">
        <v>0.2</v>
      </c>
      <c r="H23" s="642" t="s">
        <v>19</v>
      </c>
      <c r="I23" s="493" t="s">
        <v>19</v>
      </c>
      <c r="J23" s="485" t="s">
        <v>19</v>
      </c>
      <c r="K23" s="490">
        <v>0.9</v>
      </c>
      <c r="L23" s="52" t="s">
        <v>19</v>
      </c>
      <c r="M23" s="232">
        <f>AVERAGE($N$15:$N$19,$N$21,$N$24)</f>
        <v>0.43062941356102791</v>
      </c>
      <c r="N23" s="232">
        <f t="shared" si="12"/>
        <v>0.43062941356102791</v>
      </c>
      <c r="O23" s="15">
        <v>628</v>
      </c>
      <c r="P23" s="52" t="s">
        <v>19</v>
      </c>
      <c r="Q23" s="147">
        <v>1997</v>
      </c>
      <c r="R23" s="134">
        <f t="shared" si="8"/>
        <v>103.19290245025569</v>
      </c>
      <c r="S23" s="147">
        <v>1998</v>
      </c>
      <c r="T23" s="134">
        <f t="shared" si="1"/>
        <v>7452.3798060621129</v>
      </c>
      <c r="U23" s="147">
        <v>1999</v>
      </c>
      <c r="V23" s="134">
        <f t="shared" si="9"/>
        <v>7580.7838057586232</v>
      </c>
      <c r="W23" s="148">
        <v>2000</v>
      </c>
      <c r="X23" s="134">
        <f t="shared" si="2"/>
        <v>16.150528705876379</v>
      </c>
      <c r="Y23" s="134">
        <f t="shared" si="3"/>
        <v>15152.507042976869</v>
      </c>
      <c r="Z23" s="500">
        <f t="shared" si="4"/>
        <v>9.6259212786315924</v>
      </c>
      <c r="AA23" s="135" t="e">
        <f t="shared" si="5"/>
        <v>#VALUE!</v>
      </c>
      <c r="AB23" s="135" t="e">
        <f t="shared" si="6"/>
        <v>#VALUE!</v>
      </c>
      <c r="AC23" s="128">
        <v>1997</v>
      </c>
      <c r="AD23" s="114">
        <f>'Escapement Age'!B20</f>
        <v>103.19290245025569</v>
      </c>
      <c r="AE23" s="128">
        <v>1998</v>
      </c>
      <c r="AF23" s="114">
        <f>'Escapement Age'!C21</f>
        <v>6667.3798060621129</v>
      </c>
      <c r="AG23" s="128">
        <v>1999</v>
      </c>
      <c r="AH23" s="114">
        <f>'Escapement Age'!D22</f>
        <v>6599.1694735110659</v>
      </c>
      <c r="AI23" s="129">
        <v>2000</v>
      </c>
      <c r="AJ23" s="114">
        <f>'Escapement Age'!E23</f>
        <v>16.150528705876379</v>
      </c>
      <c r="AK23" s="126">
        <v>1997</v>
      </c>
      <c r="AL23" s="116">
        <f>'Catch Age'!D103</f>
        <v>0</v>
      </c>
      <c r="AM23" s="126">
        <v>1998</v>
      </c>
      <c r="AN23" s="116">
        <f>'Catch Age'!E104</f>
        <v>785.00000000000011</v>
      </c>
      <c r="AO23" s="126">
        <v>1999</v>
      </c>
      <c r="AP23" s="116">
        <f>'Catch Age'!F105</f>
        <v>981.61433224755694</v>
      </c>
      <c r="AQ23" s="127">
        <v>2000</v>
      </c>
      <c r="AR23" s="116">
        <f>'Catch Age'!G106</f>
        <v>0</v>
      </c>
      <c r="AS23" s="115">
        <f t="shared" si="7"/>
        <v>1766.6143322475571</v>
      </c>
    </row>
    <row r="24" spans="1:45" x14ac:dyDescent="0.2">
      <c r="A24" s="11">
        <v>1995</v>
      </c>
      <c r="B24" s="291">
        <f>'Catch Age'!P37</f>
        <v>8116</v>
      </c>
      <c r="C24" s="291">
        <f>'Catch Age'!W37</f>
        <v>1</v>
      </c>
      <c r="D24" s="292">
        <f>'Catch Age'!AD37</f>
        <v>0</v>
      </c>
      <c r="E24" s="292">
        <f>'Catch Age'!AK37</f>
        <v>0</v>
      </c>
      <c r="F24" s="495">
        <f t="shared" si="10"/>
        <v>8117</v>
      </c>
      <c r="G24" s="499">
        <v>0.2</v>
      </c>
      <c r="H24" s="12">
        <f>'Daily Weir Counts'!N$5</f>
        <v>40798</v>
      </c>
      <c r="I24" s="494">
        <f>'Daily Weir Counts'!N4</f>
        <v>7668</v>
      </c>
      <c r="J24" s="484">
        <f>'Weir Expansions'!K15</f>
        <v>8201.4626751558026</v>
      </c>
      <c r="K24" s="570">
        <f>'Weir Expansions'!K27</f>
        <v>6.3488095719660076E-2</v>
      </c>
      <c r="L24" s="24">
        <f>F24+J24</f>
        <v>16318.462675155803</v>
      </c>
      <c r="M24" s="26">
        <f t="shared" ref="M24:M40" si="13">B24/L24</f>
        <v>0.49735077142752426</v>
      </c>
      <c r="N24" s="26">
        <f t="shared" ref="N24:N40" si="14">F24/L24</f>
        <v>0.49741205170985886</v>
      </c>
      <c r="O24" s="16">
        <v>1703</v>
      </c>
      <c r="P24" s="24">
        <f t="shared" si="0"/>
        <v>6498.4626751558026</v>
      </c>
      <c r="Q24" s="147">
        <v>1998</v>
      </c>
      <c r="R24" s="134">
        <f t="shared" si="8"/>
        <v>446.54506784249719</v>
      </c>
      <c r="S24" s="147">
        <v>1999</v>
      </c>
      <c r="T24" s="134">
        <f t="shared" si="1"/>
        <v>4557.5983790005557</v>
      </c>
      <c r="U24" s="148">
        <v>2000</v>
      </c>
      <c r="V24" s="134">
        <f t="shared" si="9"/>
        <v>9465.8648312487476</v>
      </c>
      <c r="W24" s="148">
        <v>2001</v>
      </c>
      <c r="X24" s="134">
        <f t="shared" si="2"/>
        <v>58.515819090048041</v>
      </c>
      <c r="Y24" s="134">
        <f t="shared" si="3"/>
        <v>14528.524097181848</v>
      </c>
      <c r="Z24" s="500">
        <f t="shared" si="4"/>
        <v>9.5838691751616061</v>
      </c>
      <c r="AA24" s="135">
        <f t="shared" si="5"/>
        <v>2.2356863189698202</v>
      </c>
      <c r="AB24" s="135">
        <f t="shared" si="6"/>
        <v>0.8045482587656283</v>
      </c>
      <c r="AC24" s="128">
        <v>1998</v>
      </c>
      <c r="AD24" s="114">
        <f>'Escapement Age'!B21</f>
        <v>446.54506784249719</v>
      </c>
      <c r="AE24" s="128">
        <v>1999</v>
      </c>
      <c r="AF24" s="114">
        <f>'Escapement Age'!C22</f>
        <v>4010.3534278604902</v>
      </c>
      <c r="AG24" s="129">
        <v>2000</v>
      </c>
      <c r="AH24" s="114">
        <f>'Escapement Age'!D23</f>
        <v>2761.7404087048608</v>
      </c>
      <c r="AI24" s="129">
        <v>2001</v>
      </c>
      <c r="AJ24" s="114">
        <f>'Escapement Age'!E24</f>
        <v>30.420860916862416</v>
      </c>
      <c r="AK24" s="126">
        <v>1998</v>
      </c>
      <c r="AL24" s="116">
        <f>'Catch Age'!D104</f>
        <v>0</v>
      </c>
      <c r="AM24" s="126">
        <v>1999</v>
      </c>
      <c r="AN24" s="116">
        <f>'Catch Age'!E105</f>
        <v>547.24495114006515</v>
      </c>
      <c r="AO24" s="127">
        <v>2000</v>
      </c>
      <c r="AP24" s="116">
        <f>'Catch Age'!F106</f>
        <v>6704.1244225438868</v>
      </c>
      <c r="AQ24" s="127">
        <v>2001</v>
      </c>
      <c r="AR24" s="116">
        <f>'Catch Age'!G107</f>
        <v>28.094958173185621</v>
      </c>
      <c r="AS24" s="115">
        <f t="shared" si="7"/>
        <v>7279.4643318571379</v>
      </c>
    </row>
    <row r="25" spans="1:45" x14ac:dyDescent="0.2">
      <c r="A25" s="11">
        <v>1996</v>
      </c>
      <c r="B25" s="291">
        <f>'Catch Age'!P40</f>
        <v>6239</v>
      </c>
      <c r="C25" s="291">
        <f>'Catch Age'!W40</f>
        <v>37</v>
      </c>
      <c r="D25" s="292">
        <f>'Catch Age'!AD40</f>
        <v>0</v>
      </c>
      <c r="E25" s="292">
        <f>'Catch Age'!AK40</f>
        <v>665</v>
      </c>
      <c r="F25" s="495">
        <f>SUM(B25:E25)</f>
        <v>6941</v>
      </c>
      <c r="G25" s="499">
        <v>0.2</v>
      </c>
      <c r="H25" s="12">
        <f>'Daily Weir Counts'!O$5</f>
        <v>40787</v>
      </c>
      <c r="I25" s="494">
        <f>'Daily Weir Counts'!O$6</f>
        <v>10442</v>
      </c>
      <c r="J25" s="484">
        <f>'Weir Expansions'!L15</f>
        <v>12081.971469848308</v>
      </c>
      <c r="K25" s="489">
        <f>'Weir Expansions'!L27</f>
        <v>7.793649385915434E-2</v>
      </c>
      <c r="L25" s="24">
        <f t="shared" si="11"/>
        <v>19022.971469848308</v>
      </c>
      <c r="M25" s="26">
        <f t="shared" si="13"/>
        <v>0.32797189492130119</v>
      </c>
      <c r="N25" s="26">
        <f t="shared" si="14"/>
        <v>0.3648746470025247</v>
      </c>
      <c r="O25" s="16">
        <v>1927</v>
      </c>
      <c r="P25" s="24">
        <f t="shared" si="0"/>
        <v>10154.971469848308</v>
      </c>
      <c r="Q25" s="147">
        <v>1999</v>
      </c>
      <c r="R25" s="134">
        <f t="shared" si="8"/>
        <v>335.15922019583348</v>
      </c>
      <c r="S25" s="148">
        <v>2000</v>
      </c>
      <c r="T25" s="134">
        <f t="shared" si="1"/>
        <v>7982.0341892190272</v>
      </c>
      <c r="U25" s="148">
        <v>2001</v>
      </c>
      <c r="V25" s="134">
        <f t="shared" si="9"/>
        <v>13474.601775029498</v>
      </c>
      <c r="W25" s="147">
        <v>2002</v>
      </c>
      <c r="X25" s="134">
        <f t="shared" si="2"/>
        <v>28.594965486164782</v>
      </c>
      <c r="Y25" s="134">
        <f t="shared" si="3"/>
        <v>21820.390149930525</v>
      </c>
      <c r="Z25" s="500">
        <f t="shared" si="4"/>
        <v>9.9906001396089934</v>
      </c>
      <c r="AA25" s="135">
        <f t="shared" si="5"/>
        <v>2.1487396803347663</v>
      </c>
      <c r="AB25" s="135">
        <f t="shared" si="6"/>
        <v>0.76488147506686399</v>
      </c>
      <c r="AC25" s="128">
        <v>1999</v>
      </c>
      <c r="AD25" s="114">
        <f>'Escapement Age'!B22</f>
        <v>335.15922019583348</v>
      </c>
      <c r="AE25" s="129">
        <v>2000</v>
      </c>
      <c r="AF25" s="114">
        <f>'Escapement Age'!C23</f>
        <v>4845.158611762914</v>
      </c>
      <c r="AG25" s="129">
        <v>2001</v>
      </c>
      <c r="AH25" s="114">
        <f>'Escapement Age'!D24</f>
        <v>3640.3630230512031</v>
      </c>
      <c r="AI25" s="128">
        <v>2002</v>
      </c>
      <c r="AJ25" s="114">
        <f>'Escapement Age'!E25</f>
        <v>19.579150579150578</v>
      </c>
      <c r="AK25" s="126">
        <v>1999</v>
      </c>
      <c r="AL25" s="116">
        <f>'Catch Age'!D105</f>
        <v>0</v>
      </c>
      <c r="AM25" s="127">
        <v>2000</v>
      </c>
      <c r="AN25" s="116">
        <f>'Catch Age'!E106</f>
        <v>3136.8755774561132</v>
      </c>
      <c r="AO25" s="127">
        <v>2001</v>
      </c>
      <c r="AP25" s="116">
        <f>'Catch Age'!F107</f>
        <v>9834.2387519782951</v>
      </c>
      <c r="AQ25" s="126">
        <v>2002</v>
      </c>
      <c r="AR25" s="116">
        <f>'Catch Age'!G108</f>
        <v>9.0158149070142048</v>
      </c>
      <c r="AS25" s="115">
        <f t="shared" si="7"/>
        <v>12980.130144341421</v>
      </c>
    </row>
    <row r="26" spans="1:45" x14ac:dyDescent="0.2">
      <c r="A26" s="11">
        <v>1997</v>
      </c>
      <c r="B26" s="291">
        <f>'Catch Age'!P43</f>
        <v>2515</v>
      </c>
      <c r="C26" s="291">
        <f>'Catch Age'!W43</f>
        <v>34</v>
      </c>
      <c r="D26" s="292">
        <f>'Catch Age'!AD43</f>
        <v>0</v>
      </c>
      <c r="E26" s="292">
        <f>'Catch Age'!AK43</f>
        <v>585</v>
      </c>
      <c r="F26" s="495">
        <f t="shared" ref="F26:F39" si="15">SUM(B26:E26)</f>
        <v>3134</v>
      </c>
      <c r="G26" s="499">
        <v>0.2</v>
      </c>
      <c r="H26" s="12">
        <f>'Daily Weir Counts'!P$5</f>
        <v>40787</v>
      </c>
      <c r="I26" s="494">
        <f>'Daily Weir Counts'!P$6</f>
        <v>4999</v>
      </c>
      <c r="J26" s="484">
        <f>'Weir Expansions'!M15</f>
        <v>5837.7699100430364</v>
      </c>
      <c r="K26" s="489">
        <f>'Weir Expansions'!M27</f>
        <v>0.12813480428139212</v>
      </c>
      <c r="L26" s="24">
        <f t="shared" si="11"/>
        <v>8971.7699100430364</v>
      </c>
      <c r="M26" s="26">
        <f t="shared" si="13"/>
        <v>0.28032372934405048</v>
      </c>
      <c r="N26" s="26">
        <f t="shared" si="14"/>
        <v>0.3493179195881726</v>
      </c>
      <c r="O26" s="16">
        <v>0</v>
      </c>
      <c r="P26" s="24">
        <f t="shared" si="0"/>
        <v>5837.7699100430364</v>
      </c>
      <c r="Q26" s="148">
        <v>2000</v>
      </c>
      <c r="R26" s="134">
        <f t="shared" si="8"/>
        <v>387.61268894103307</v>
      </c>
      <c r="S26" s="148">
        <v>2001</v>
      </c>
      <c r="T26" s="134">
        <f t="shared" si="1"/>
        <v>8349.4248974633683</v>
      </c>
      <c r="U26" s="147">
        <v>2002</v>
      </c>
      <c r="V26" s="134">
        <f t="shared" si="9"/>
        <v>4847.557197303573</v>
      </c>
      <c r="W26" s="148">
        <v>2003</v>
      </c>
      <c r="X26" s="134">
        <f t="shared" si="2"/>
        <v>6.2680965147453085</v>
      </c>
      <c r="Y26" s="134">
        <f t="shared" si="3"/>
        <v>13590.862880222719</v>
      </c>
      <c r="Z26" s="500">
        <f t="shared" si="4"/>
        <v>9.5171529988913353</v>
      </c>
      <c r="AA26" s="135">
        <f t="shared" si="5"/>
        <v>2.328091564013445</v>
      </c>
      <c r="AB26" s="135">
        <f t="shared" si="6"/>
        <v>0.84504886071661911</v>
      </c>
      <c r="AC26" s="129">
        <v>2000</v>
      </c>
      <c r="AD26" s="114">
        <f>'Escapement Age'!B23</f>
        <v>387.61268894103307</v>
      </c>
      <c r="AE26" s="129">
        <v>2001</v>
      </c>
      <c r="AF26" s="114">
        <f>'Escapement Age'!C24</f>
        <v>4897.75860761485</v>
      </c>
      <c r="AG26" s="128">
        <v>2002</v>
      </c>
      <c r="AH26" s="114">
        <f>'Escapement Age'!D25</f>
        <v>1116.0115830115831</v>
      </c>
      <c r="AI26" s="129">
        <v>2003</v>
      </c>
      <c r="AJ26" s="114">
        <f>'Escapement Age'!E26</f>
        <v>6.2680965147453085</v>
      </c>
      <c r="AK26" s="127">
        <v>2000</v>
      </c>
      <c r="AL26" s="116">
        <f>'Catch Age'!D106</f>
        <v>0</v>
      </c>
      <c r="AM26" s="127">
        <v>2001</v>
      </c>
      <c r="AN26" s="116">
        <f>'Catch Age'!E107</f>
        <v>3451.6662898485188</v>
      </c>
      <c r="AO26" s="126">
        <v>2002</v>
      </c>
      <c r="AP26" s="116">
        <f>'Catch Age'!F108</f>
        <v>3731.5456142919898</v>
      </c>
      <c r="AQ26" s="127">
        <v>2003</v>
      </c>
      <c r="AR26" s="116">
        <f>'Catch Age'!G109</f>
        <v>0</v>
      </c>
      <c r="AS26" s="115">
        <f t="shared" si="7"/>
        <v>7183.2119041405085</v>
      </c>
    </row>
    <row r="27" spans="1:45" x14ac:dyDescent="0.2">
      <c r="A27" s="11">
        <v>1998</v>
      </c>
      <c r="B27" s="291">
        <f>'Catch Age'!P46</f>
        <v>513</v>
      </c>
      <c r="C27" s="291">
        <f>'Catch Age'!W46</f>
        <v>36</v>
      </c>
      <c r="D27" s="292">
        <f>'Catch Age'!AD46</f>
        <v>0</v>
      </c>
      <c r="E27" s="292">
        <f>'Catch Age'!AK46</f>
        <v>847</v>
      </c>
      <c r="F27" s="495">
        <f t="shared" si="15"/>
        <v>1396</v>
      </c>
      <c r="G27" s="499">
        <v>0.2</v>
      </c>
      <c r="H27" s="12">
        <f>'Daily Weir Counts'!Q$5</f>
        <v>40782</v>
      </c>
      <c r="I27" s="494">
        <f>'Daily Weir Counts'!Q$6</f>
        <v>13358</v>
      </c>
      <c r="J27" s="486">
        <f>'Weir Expansions'!N15</f>
        <v>13858.295208905085</v>
      </c>
      <c r="K27" s="491">
        <f>'Weir Expansions'!N27</f>
        <v>0.18877200803511354</v>
      </c>
      <c r="L27" s="24">
        <f t="shared" si="11"/>
        <v>15254.295208905085</v>
      </c>
      <c r="M27" s="26">
        <f t="shared" si="13"/>
        <v>3.3629872306425744E-2</v>
      </c>
      <c r="N27" s="26">
        <f t="shared" si="14"/>
        <v>9.1515208069727752E-2</v>
      </c>
      <c r="O27" s="17">
        <v>0</v>
      </c>
      <c r="P27" s="24">
        <f t="shared" si="0"/>
        <v>13858.295208905085</v>
      </c>
      <c r="Q27" s="148">
        <v>2001</v>
      </c>
      <c r="R27" s="134">
        <f t="shared" si="8"/>
        <v>780.80209686613546</v>
      </c>
      <c r="S27" s="147">
        <v>2002</v>
      </c>
      <c r="T27" s="134">
        <f t="shared" si="1"/>
        <v>6967.3208101832352</v>
      </c>
      <c r="U27" s="148">
        <v>2003</v>
      </c>
      <c r="V27" s="134">
        <f t="shared" si="9"/>
        <v>18107.013364188337</v>
      </c>
      <c r="W27" s="147">
        <v>2004</v>
      </c>
      <c r="X27" s="134">
        <f t="shared" si="2"/>
        <v>76.369634061313491</v>
      </c>
      <c r="Y27" s="134">
        <f t="shared" si="3"/>
        <v>25931.505905299022</v>
      </c>
      <c r="Z27" s="500">
        <f t="shared" si="4"/>
        <v>10.163213952638857</v>
      </c>
      <c r="AA27" s="135">
        <f t="shared" si="5"/>
        <v>1.871190179917362</v>
      </c>
      <c r="AB27" s="135">
        <f t="shared" si="6"/>
        <v>0.62657468826068063</v>
      </c>
      <c r="AC27" s="129">
        <v>2001</v>
      </c>
      <c r="AD27" s="114">
        <f>'Escapement Age'!B24</f>
        <v>780.80209686613546</v>
      </c>
      <c r="AE27" s="128">
        <v>2002</v>
      </c>
      <c r="AF27" s="114">
        <f>'Escapement Age'!C25</f>
        <v>3866.8822393822397</v>
      </c>
      <c r="AG27" s="129">
        <v>2003</v>
      </c>
      <c r="AH27" s="114">
        <f>'Escapement Age'!D26</f>
        <v>4230.9651474530829</v>
      </c>
      <c r="AI27" s="128">
        <v>2004</v>
      </c>
      <c r="AJ27" s="114">
        <f>'Escapement Age'!E27</f>
        <v>18.326035965598123</v>
      </c>
      <c r="AK27" s="127">
        <v>2001</v>
      </c>
      <c r="AL27" s="116">
        <f>'Catch Age'!D107</f>
        <v>0</v>
      </c>
      <c r="AM27" s="126">
        <v>2002</v>
      </c>
      <c r="AN27" s="116">
        <f>'Catch Age'!E108</f>
        <v>3100.4385708009959</v>
      </c>
      <c r="AO27" s="127">
        <v>2003</v>
      </c>
      <c r="AP27" s="116">
        <f>'Catch Age'!F109</f>
        <v>13876.048216735253</v>
      </c>
      <c r="AQ27" s="126">
        <v>2004</v>
      </c>
      <c r="AR27" s="116">
        <f>'Catch Age'!G110</f>
        <v>58.04359809571536</v>
      </c>
      <c r="AS27" s="115">
        <f t="shared" si="7"/>
        <v>17034.530385631962</v>
      </c>
    </row>
    <row r="28" spans="1:45" x14ac:dyDescent="0.2">
      <c r="A28" s="11">
        <v>1999</v>
      </c>
      <c r="B28" s="291">
        <f>'Catch Age'!P49</f>
        <v>1492</v>
      </c>
      <c r="C28" s="291">
        <f>'Catch Age'!W49</f>
        <v>0</v>
      </c>
      <c r="D28" s="292">
        <f>'Catch Age'!AD49</f>
        <v>2</v>
      </c>
      <c r="E28" s="292">
        <f>'Catch Age'!AK49</f>
        <v>53</v>
      </c>
      <c r="F28" s="495">
        <f t="shared" si="15"/>
        <v>1547</v>
      </c>
      <c r="G28" s="499">
        <v>0.2</v>
      </c>
      <c r="H28" s="12">
        <f>'Daily Weir Counts'!R$5</f>
        <v>40785</v>
      </c>
      <c r="I28" s="494">
        <f>'Daily Weir Counts'!R$6</f>
        <v>10277</v>
      </c>
      <c r="J28" s="486">
        <f>'Weir Expansions'!O15</f>
        <v>11060.254266462505</v>
      </c>
      <c r="K28" s="491">
        <f>'Weir Expansions'!O27</f>
        <v>0.18178042840807332</v>
      </c>
      <c r="L28" s="24">
        <f t="shared" si="11"/>
        <v>12607.254266462505</v>
      </c>
      <c r="M28" s="26">
        <f t="shared" si="13"/>
        <v>0.11834456325426704</v>
      </c>
      <c r="N28" s="26">
        <f t="shared" si="14"/>
        <v>0.12270713093455168</v>
      </c>
      <c r="O28" s="17">
        <v>0</v>
      </c>
      <c r="P28" s="24">
        <f t="shared" si="0"/>
        <v>11060.254266462505</v>
      </c>
      <c r="Q28" s="147">
        <v>2002</v>
      </c>
      <c r="R28" s="134">
        <f t="shared" si="8"/>
        <v>68.527027027027032</v>
      </c>
      <c r="S28" s="148">
        <v>2003</v>
      </c>
      <c r="T28" s="134">
        <f t="shared" si="1"/>
        <v>3423.3056706642101</v>
      </c>
      <c r="U28" s="147">
        <v>2004</v>
      </c>
      <c r="V28" s="134">
        <f t="shared" si="9"/>
        <v>14307.453618961663</v>
      </c>
      <c r="W28" s="147">
        <v>2005</v>
      </c>
      <c r="X28" s="134">
        <f t="shared" si="2"/>
        <v>274.12820479111213</v>
      </c>
      <c r="Y28" s="134">
        <f t="shared" si="3"/>
        <v>18073.41452144401</v>
      </c>
      <c r="Z28" s="500">
        <f t="shared" si="4"/>
        <v>9.8021973265237019</v>
      </c>
      <c r="AA28" s="135">
        <f t="shared" si="5"/>
        <v>1.6340867113920867</v>
      </c>
      <c r="AB28" s="135">
        <f t="shared" si="6"/>
        <v>0.49108406197723198</v>
      </c>
      <c r="AC28" s="128">
        <v>2002</v>
      </c>
      <c r="AD28" s="114">
        <f>'Escapement Age'!B25</f>
        <v>68.527027027027032</v>
      </c>
      <c r="AE28" s="129">
        <v>2003</v>
      </c>
      <c r="AF28" s="114">
        <f>'Escapement Age'!C26</f>
        <v>2720.3538873994639</v>
      </c>
      <c r="AG28" s="128">
        <v>2004</v>
      </c>
      <c r="AH28" s="114">
        <f>'Escapement Age'!D27</f>
        <v>3445.2947615324474</v>
      </c>
      <c r="AI28" s="128">
        <v>2005</v>
      </c>
      <c r="AJ28" s="114">
        <f>'Escapement Age'!E28</f>
        <v>48.313600000000001</v>
      </c>
      <c r="AK28" s="126">
        <v>2002</v>
      </c>
      <c r="AL28" s="116">
        <f>'Catch Age'!D108</f>
        <v>0</v>
      </c>
      <c r="AM28" s="127">
        <v>2003</v>
      </c>
      <c r="AN28" s="116">
        <f>'Catch Age'!E109</f>
        <v>702.95178326474627</v>
      </c>
      <c r="AO28" s="126">
        <v>2004</v>
      </c>
      <c r="AP28" s="116">
        <f>'Catch Age'!F110</f>
        <v>10862.158857429215</v>
      </c>
      <c r="AQ28" s="126">
        <v>2005</v>
      </c>
      <c r="AR28" s="116">
        <f>'Catch Age'!G111</f>
        <v>225.81460479111212</v>
      </c>
      <c r="AS28" s="115">
        <f t="shared" si="7"/>
        <v>11790.925245485074</v>
      </c>
    </row>
    <row r="29" spans="1:45" x14ac:dyDescent="0.2">
      <c r="A29" s="18">
        <v>2000</v>
      </c>
      <c r="B29" s="291">
        <f>'Catch Age'!P52</f>
        <v>9085</v>
      </c>
      <c r="C29" s="291">
        <f>'Catch Age'!W52</f>
        <v>63</v>
      </c>
      <c r="D29" s="292">
        <f>'Catch Age'!AD52</f>
        <v>130</v>
      </c>
      <c r="E29" s="292">
        <f>'Catch Age'!AK52</f>
        <v>563</v>
      </c>
      <c r="F29" s="495">
        <f t="shared" si="15"/>
        <v>9841</v>
      </c>
      <c r="G29" s="499">
        <v>0.2</v>
      </c>
      <c r="H29" s="12">
        <f>'Daily Weir Counts'!S$5</f>
        <v>40786</v>
      </c>
      <c r="I29" s="494">
        <f>'Daily Weir Counts'!S$6</f>
        <v>6763</v>
      </c>
      <c r="J29" s="484">
        <f>'Weir Expansions'!P15</f>
        <v>8010.6622381146835</v>
      </c>
      <c r="K29" s="489">
        <f>'Weir Expansions'!P27</f>
        <v>0.16211820735714227</v>
      </c>
      <c r="L29" s="24">
        <f t="shared" si="11"/>
        <v>17851.662238114684</v>
      </c>
      <c r="M29" s="26">
        <f t="shared" si="13"/>
        <v>0.50891619384344056</v>
      </c>
      <c r="N29" s="26">
        <f t="shared" si="14"/>
        <v>0.55126519137185448</v>
      </c>
      <c r="O29" s="16">
        <v>0</v>
      </c>
      <c r="P29" s="24">
        <f t="shared" si="0"/>
        <v>8010.6622381146835</v>
      </c>
      <c r="Q29" s="148">
        <v>2003</v>
      </c>
      <c r="R29" s="134">
        <f t="shared" si="8"/>
        <v>56.412868632707777</v>
      </c>
      <c r="S29" s="147">
        <v>2004</v>
      </c>
      <c r="T29" s="134">
        <f t="shared" si="1"/>
        <v>5398.9593896666247</v>
      </c>
      <c r="U29" s="147">
        <v>2005</v>
      </c>
      <c r="V29" s="134">
        <f t="shared" si="9"/>
        <v>11192.84015488948</v>
      </c>
      <c r="W29" s="147">
        <v>2006</v>
      </c>
      <c r="X29" s="134">
        <f t="shared" si="2"/>
        <v>147.83445140903439</v>
      </c>
      <c r="Y29" s="134">
        <f t="shared" si="3"/>
        <v>16796.046864597847</v>
      </c>
      <c r="Z29" s="500">
        <f t="shared" si="4"/>
        <v>9.7288988320239262</v>
      </c>
      <c r="AA29" s="135">
        <f t="shared" si="5"/>
        <v>2.0967114035444356</v>
      </c>
      <c r="AB29" s="135">
        <f t="shared" si="6"/>
        <v>0.74037011896021587</v>
      </c>
      <c r="AC29" s="129">
        <v>2003</v>
      </c>
      <c r="AD29" s="114">
        <f>'Escapement Age'!B26</f>
        <v>56.412868632707777</v>
      </c>
      <c r="AE29" s="128">
        <v>2004</v>
      </c>
      <c r="AF29" s="114">
        <f>'Escapement Age'!C27</f>
        <v>4337.1618451915556</v>
      </c>
      <c r="AG29" s="128">
        <v>2005</v>
      </c>
      <c r="AH29" s="114">
        <f>'Escapement Age'!D28</f>
        <v>3303.4423999999999</v>
      </c>
      <c r="AI29" s="128">
        <v>2006</v>
      </c>
      <c r="AJ29" s="114">
        <f>'Escapement Age'!E29</f>
        <v>12.894736842105264</v>
      </c>
      <c r="AK29" s="127">
        <v>2003</v>
      </c>
      <c r="AL29" s="116">
        <f>'Catch Age'!D109</f>
        <v>0</v>
      </c>
      <c r="AM29" s="126">
        <v>2004</v>
      </c>
      <c r="AN29" s="116">
        <f>'Catch Age'!E110</f>
        <v>1061.7975444750689</v>
      </c>
      <c r="AO29" s="126">
        <v>2005</v>
      </c>
      <c r="AP29" s="116">
        <f>'Catch Age'!F111</f>
        <v>7889.39775488948</v>
      </c>
      <c r="AQ29" s="126">
        <v>2006</v>
      </c>
      <c r="AR29" s="116">
        <f>'Catch Age'!G112</f>
        <v>134.93971456692913</v>
      </c>
      <c r="AS29" s="115">
        <f t="shared" si="7"/>
        <v>9086.1350139314782</v>
      </c>
    </row>
    <row r="30" spans="1:45" x14ac:dyDescent="0.2">
      <c r="A30" s="18">
        <v>2001</v>
      </c>
      <c r="B30" s="291">
        <f>'Catch Age'!P55</f>
        <v>9501</v>
      </c>
      <c r="C30" s="291">
        <f>'Catch Age'!W55</f>
        <v>407</v>
      </c>
      <c r="D30" s="292">
        <f>'Catch Age'!AD55</f>
        <v>26</v>
      </c>
      <c r="E30" s="292">
        <f>'Catch Age'!AK55</f>
        <v>3380</v>
      </c>
      <c r="F30" s="495">
        <f t="shared" si="15"/>
        <v>13314</v>
      </c>
      <c r="G30" s="499">
        <v>0.2</v>
      </c>
      <c r="H30" s="12">
        <f>'Daily Weir Counts'!T$5</f>
        <v>40787</v>
      </c>
      <c r="I30" s="494">
        <f>'Daily Weir Counts'!T$6</f>
        <v>8060</v>
      </c>
      <c r="J30" s="484">
        <f>'Weir Expansions'!Q15</f>
        <v>9349.3445884490502</v>
      </c>
      <c r="K30" s="489">
        <f>'Weir Expansions'!Q27</f>
        <v>8.7133863893318772E-2</v>
      </c>
      <c r="L30" s="24">
        <f t="shared" si="11"/>
        <v>22663.34458844905</v>
      </c>
      <c r="M30" s="26">
        <f t="shared" si="13"/>
        <v>0.41922320701254423</v>
      </c>
      <c r="N30" s="26">
        <f t="shared" si="14"/>
        <v>0.58746845365382738</v>
      </c>
      <c r="O30" s="16">
        <v>0</v>
      </c>
      <c r="P30" s="24">
        <f t="shared" si="0"/>
        <v>9349.3445884490502</v>
      </c>
      <c r="Q30" s="147">
        <v>2004</v>
      </c>
      <c r="R30" s="134">
        <f t="shared" si="8"/>
        <v>12.217357310398748</v>
      </c>
      <c r="S30" s="147">
        <v>2005</v>
      </c>
      <c r="T30" s="134">
        <f t="shared" si="1"/>
        <v>3561.0348403194075</v>
      </c>
      <c r="U30" s="147">
        <v>2006</v>
      </c>
      <c r="V30" s="134">
        <f t="shared" si="9"/>
        <v>7119.931069985495</v>
      </c>
      <c r="W30" s="147">
        <v>2007</v>
      </c>
      <c r="X30" s="134">
        <f t="shared" si="2"/>
        <v>237.66746721913839</v>
      </c>
      <c r="Y30" s="134">
        <f t="shared" si="3"/>
        <v>10930.850734834439</v>
      </c>
      <c r="Z30" s="500">
        <f t="shared" si="4"/>
        <v>9.2993444129846505</v>
      </c>
      <c r="AA30" s="135">
        <f t="shared" si="5"/>
        <v>1.1691568998686082</v>
      </c>
      <c r="AB30" s="135">
        <f t="shared" si="6"/>
        <v>0.1562828906509427</v>
      </c>
      <c r="AC30" s="128">
        <v>2004</v>
      </c>
      <c r="AD30" s="114">
        <f>'Escapement Age'!B27</f>
        <v>12.217357310398748</v>
      </c>
      <c r="AE30" s="128">
        <v>2005</v>
      </c>
      <c r="AF30" s="114">
        <f>'Escapement Age'!C28</f>
        <v>2965.2471999999998</v>
      </c>
      <c r="AG30" s="128">
        <v>2006</v>
      </c>
      <c r="AH30" s="114">
        <f>'Escapement Age'!D29</f>
        <v>1431.3157894736844</v>
      </c>
      <c r="AI30" s="128">
        <v>2007</v>
      </c>
      <c r="AJ30" s="114">
        <f>'Escapement Age'!E30</f>
        <v>52.724007561436672</v>
      </c>
      <c r="AK30" s="126">
        <v>2004</v>
      </c>
      <c r="AL30" s="116">
        <f>'Catch Age'!D110</f>
        <v>0</v>
      </c>
      <c r="AM30" s="126">
        <v>2005</v>
      </c>
      <c r="AN30" s="116">
        <f>'Catch Age'!E111</f>
        <v>595.7876403194075</v>
      </c>
      <c r="AO30" s="126">
        <v>2006</v>
      </c>
      <c r="AP30" s="116">
        <f>'Catch Age'!F112</f>
        <v>5688.6152805118109</v>
      </c>
      <c r="AQ30" s="126">
        <v>2007</v>
      </c>
      <c r="AR30" s="116">
        <f>'Catch Age'!G113</f>
        <v>184.94345965770171</v>
      </c>
      <c r="AS30" s="115">
        <f t="shared" si="7"/>
        <v>6469.3463804889207</v>
      </c>
    </row>
    <row r="31" spans="1:45" x14ac:dyDescent="0.2">
      <c r="A31" s="11">
        <v>2002</v>
      </c>
      <c r="B31" s="291">
        <f>'Catch Age'!P58</f>
        <v>6070</v>
      </c>
      <c r="C31" s="291">
        <f>'Catch Age'!W58</f>
        <v>408</v>
      </c>
      <c r="D31" s="292">
        <f>'Catch Age'!AD58</f>
        <v>265</v>
      </c>
      <c r="E31" s="292">
        <f>'Catch Age'!AK58</f>
        <v>98</v>
      </c>
      <c r="F31" s="495">
        <f t="shared" si="15"/>
        <v>6841</v>
      </c>
      <c r="G31" s="499">
        <v>0.2</v>
      </c>
      <c r="H31" s="12">
        <f>'Daily Weir Counts'!U$5</f>
        <v>40806</v>
      </c>
      <c r="I31" s="494">
        <f>'Daily Weir Counts'!U$6</f>
        <v>5071</v>
      </c>
      <c r="J31" s="487">
        <f>'Daily Weir Counts'!U$6</f>
        <v>5071</v>
      </c>
      <c r="K31" s="492">
        <v>0.05</v>
      </c>
      <c r="L31" s="24">
        <f t="shared" si="11"/>
        <v>11912</v>
      </c>
      <c r="M31" s="26">
        <f t="shared" si="13"/>
        <v>0.50957018132975151</v>
      </c>
      <c r="N31" s="26">
        <f t="shared" si="14"/>
        <v>0.57429482874412352</v>
      </c>
      <c r="O31" s="17">
        <v>0</v>
      </c>
      <c r="P31" s="24">
        <f t="shared" si="0"/>
        <v>5071</v>
      </c>
      <c r="Q31" s="147">
        <v>2005</v>
      </c>
      <c r="R31" s="134">
        <f t="shared" si="8"/>
        <v>1231.9968000000001</v>
      </c>
      <c r="S31" s="147">
        <v>2006</v>
      </c>
      <c r="T31" s="134">
        <f t="shared" si="1"/>
        <v>5043.5502680791542</v>
      </c>
      <c r="U31" s="147">
        <v>2007</v>
      </c>
      <c r="V31" s="134">
        <f t="shared" si="9"/>
        <v>4707.9266798313929</v>
      </c>
      <c r="W31" s="147">
        <v>2008</v>
      </c>
      <c r="X31" s="134">
        <f t="shared" si="2"/>
        <v>6.0584192439862541</v>
      </c>
      <c r="Y31" s="134">
        <f t="shared" si="3"/>
        <v>10989.532167154532</v>
      </c>
      <c r="Z31" s="500">
        <f t="shared" si="4"/>
        <v>9.3046984775338526</v>
      </c>
      <c r="AA31" s="135">
        <f t="shared" si="5"/>
        <v>2.1671331428031024</v>
      </c>
      <c r="AB31" s="135">
        <f t="shared" si="6"/>
        <v>0.77340516173883278</v>
      </c>
      <c r="AC31" s="128">
        <v>2005</v>
      </c>
      <c r="AD31" s="114">
        <f>'Escapement Age'!B28</f>
        <v>1231.9968000000001</v>
      </c>
      <c r="AE31" s="128">
        <v>2006</v>
      </c>
      <c r="AF31" s="114">
        <f>'Escapement Age'!C29</f>
        <v>2682.1052631578946</v>
      </c>
      <c r="AG31" s="128">
        <v>2007</v>
      </c>
      <c r="AH31" s="114">
        <f>'Escapement Age'!D30</f>
        <v>2495.6030245746692</v>
      </c>
      <c r="AI31" s="128">
        <v>2008</v>
      </c>
      <c r="AJ31" s="114">
        <f>'Escapement Age'!E31</f>
        <v>6.0584192439862541</v>
      </c>
      <c r="AK31" s="126">
        <v>2005</v>
      </c>
      <c r="AL31" s="116">
        <f>'Catch Age'!D111</f>
        <v>0</v>
      </c>
      <c r="AM31" s="126">
        <v>2006</v>
      </c>
      <c r="AN31" s="116">
        <f>'Catch Age'!E112</f>
        <v>2361.4450049212601</v>
      </c>
      <c r="AO31" s="126">
        <v>2007</v>
      </c>
      <c r="AP31" s="116">
        <f>'Catch Age'!F113</f>
        <v>2212.3236552567237</v>
      </c>
      <c r="AQ31" s="126">
        <v>2008</v>
      </c>
      <c r="AR31" s="116">
        <f>'Catch Age'!G114</f>
        <v>0</v>
      </c>
      <c r="AS31" s="115">
        <f t="shared" si="7"/>
        <v>4573.7686601779842</v>
      </c>
    </row>
    <row r="32" spans="1:45" x14ac:dyDescent="0.2">
      <c r="A32" s="18">
        <v>2003</v>
      </c>
      <c r="B32" s="291">
        <f>'Catch Age'!P61</f>
        <v>6043</v>
      </c>
      <c r="C32" s="291">
        <f>'Catch Age'!W61</f>
        <v>6753</v>
      </c>
      <c r="D32" s="292">
        <f>'Catch Age'!AD61</f>
        <v>298</v>
      </c>
      <c r="E32" s="292">
        <f>'Catch Age'!AK61</f>
        <v>1485</v>
      </c>
      <c r="F32" s="495">
        <f t="shared" si="15"/>
        <v>14579</v>
      </c>
      <c r="G32" s="499">
        <v>0.2</v>
      </c>
      <c r="H32" s="12">
        <f>'Daily Weir Counts'!V$5</f>
        <v>40804</v>
      </c>
      <c r="I32" s="494">
        <f>'Daily Weir Counts'!V$6</f>
        <v>7014</v>
      </c>
      <c r="J32" s="487">
        <f>'Daily Weir Counts'!V$6</f>
        <v>7014</v>
      </c>
      <c r="K32" s="492">
        <v>0.05</v>
      </c>
      <c r="L32" s="24">
        <f t="shared" si="11"/>
        <v>21593</v>
      </c>
      <c r="M32" s="26">
        <f t="shared" si="13"/>
        <v>0.27985921363404809</v>
      </c>
      <c r="N32" s="26">
        <f t="shared" si="14"/>
        <v>0.67517250960959574</v>
      </c>
      <c r="O32" s="17">
        <v>0</v>
      </c>
      <c r="P32" s="24">
        <f t="shared" si="0"/>
        <v>7014</v>
      </c>
      <c r="Q32" s="147">
        <v>2006</v>
      </c>
      <c r="R32" s="134">
        <f t="shared" si="8"/>
        <v>38.684210526315788</v>
      </c>
      <c r="S32" s="147">
        <v>2007</v>
      </c>
      <c r="T32" s="134">
        <f t="shared" si="1"/>
        <v>1424.4058529494687</v>
      </c>
      <c r="U32" s="147">
        <v>2008</v>
      </c>
      <c r="V32" s="134">
        <f t="shared" si="9"/>
        <v>5793.7489133990612</v>
      </c>
      <c r="W32" s="147">
        <v>2009</v>
      </c>
      <c r="X32" s="134">
        <f t="shared" si="2"/>
        <v>39.773584905660378</v>
      </c>
      <c r="Y32" s="134">
        <f t="shared" si="3"/>
        <v>7296.6125617805064</v>
      </c>
      <c r="Z32" s="500">
        <f t="shared" si="4"/>
        <v>8.8951654868072154</v>
      </c>
      <c r="AA32" s="135">
        <f t="shared" si="5"/>
        <v>1.0402926378358293</v>
      </c>
      <c r="AB32" s="135">
        <f t="shared" si="6"/>
        <v>3.950205610709185E-2</v>
      </c>
      <c r="AC32" s="128">
        <v>2006</v>
      </c>
      <c r="AD32" s="114">
        <f>'Escapement Age'!B29</f>
        <v>38.684210526315788</v>
      </c>
      <c r="AE32" s="128">
        <v>2007</v>
      </c>
      <c r="AF32" s="114">
        <f>'Escapement Age'!C30</f>
        <v>550.6729678638942</v>
      </c>
      <c r="AG32" s="128">
        <v>2008</v>
      </c>
      <c r="AH32" s="114">
        <f>'Escapement Age'!D31</f>
        <v>1029.9312714776634</v>
      </c>
      <c r="AI32" s="128">
        <v>2009</v>
      </c>
      <c r="AJ32" s="114">
        <f>'Escapement Age'!E32</f>
        <v>39.773584905660378</v>
      </c>
      <c r="AK32" s="126">
        <v>2006</v>
      </c>
      <c r="AL32" s="116">
        <f>'Catch Age'!D112</f>
        <v>0</v>
      </c>
      <c r="AM32" s="126">
        <v>2007</v>
      </c>
      <c r="AN32" s="116">
        <f>'Catch Age'!E113</f>
        <v>873.73288508557459</v>
      </c>
      <c r="AO32" s="126">
        <v>2008</v>
      </c>
      <c r="AP32" s="116">
        <f>'Catch Age'!F114</f>
        <v>4763.8176419213978</v>
      </c>
      <c r="AQ32" s="126">
        <v>2009</v>
      </c>
      <c r="AR32" s="116">
        <f>'Catch Age'!G115</f>
        <v>0</v>
      </c>
      <c r="AS32" s="115">
        <f t="shared" si="7"/>
        <v>5637.5505270069725</v>
      </c>
    </row>
    <row r="33" spans="1:58" x14ac:dyDescent="0.2">
      <c r="A33" s="11">
        <v>2004</v>
      </c>
      <c r="B33" s="291">
        <f>'Catch Age'!P64</f>
        <v>7256</v>
      </c>
      <c r="C33" s="291">
        <f>'Catch Age'!W64</f>
        <v>3332</v>
      </c>
      <c r="D33" s="292">
        <f>'Catch Age'!AD64</f>
        <v>277</v>
      </c>
      <c r="E33" s="292">
        <f>'Catch Age'!AK64</f>
        <v>1117</v>
      </c>
      <c r="F33" s="495">
        <f t="shared" si="15"/>
        <v>11982</v>
      </c>
      <c r="G33" s="499">
        <v>0.2</v>
      </c>
      <c r="H33" s="12">
        <f>'Daily Weir Counts'!W$5</f>
        <v>40805</v>
      </c>
      <c r="I33" s="494">
        <f>'Daily Weir Counts'!W$6</f>
        <v>7813</v>
      </c>
      <c r="J33" s="487">
        <f>'Daily Weir Counts'!W$6</f>
        <v>7813</v>
      </c>
      <c r="K33" s="492">
        <v>0.05</v>
      </c>
      <c r="L33" s="24">
        <f t="shared" si="11"/>
        <v>19795</v>
      </c>
      <c r="M33" s="26">
        <f t="shared" si="13"/>
        <v>0.36655721141702452</v>
      </c>
      <c r="N33" s="26">
        <f t="shared" si="14"/>
        <v>0.60530436979035107</v>
      </c>
      <c r="O33" s="17">
        <v>0</v>
      </c>
      <c r="P33" s="24">
        <f t="shared" si="0"/>
        <v>7813</v>
      </c>
      <c r="Q33" s="147">
        <v>2007</v>
      </c>
      <c r="R33" s="134">
        <f t="shared" si="8"/>
        <v>0</v>
      </c>
      <c r="S33" s="147">
        <v>2008</v>
      </c>
      <c r="T33" s="134">
        <f t="shared" si="1"/>
        <v>1677.0174096249943</v>
      </c>
      <c r="U33" s="147">
        <v>2009</v>
      </c>
      <c r="V33" s="134">
        <f t="shared" si="9"/>
        <v>6442.4566725091927</v>
      </c>
      <c r="W33" s="147">
        <v>2010</v>
      </c>
      <c r="X33" s="134">
        <f t="shared" si="2"/>
        <v>130.97328818095613</v>
      </c>
      <c r="Y33" s="134">
        <f t="shared" si="3"/>
        <v>8250.4473703151434</v>
      </c>
      <c r="Z33" s="500">
        <f t="shared" si="4"/>
        <v>9.0180227045633785</v>
      </c>
      <c r="AA33" s="135">
        <f t="shared" si="5"/>
        <v>1.0559896800608144</v>
      </c>
      <c r="AB33" s="135">
        <f t="shared" ref="AB33:AB34" si="16">LN(AA33)</f>
        <v>5.4478412566633543E-2</v>
      </c>
      <c r="AC33" s="128">
        <v>2007</v>
      </c>
      <c r="AD33" s="114">
        <f>'Escapement Age'!B30</f>
        <v>0</v>
      </c>
      <c r="AE33" s="128">
        <v>2008</v>
      </c>
      <c r="AF33" s="114">
        <f>'Escapement Age'!C31</f>
        <v>708.83505154639181</v>
      </c>
      <c r="AG33" s="128">
        <v>2009</v>
      </c>
      <c r="AH33" s="114">
        <f>'Escapement Age'!D32</f>
        <v>1302.5849056603774</v>
      </c>
      <c r="AI33" s="128">
        <v>2010</v>
      </c>
      <c r="AJ33" s="114">
        <f>'Escapement Age'!E33</f>
        <v>29.960159362549799</v>
      </c>
      <c r="AK33" s="126">
        <v>2007</v>
      </c>
      <c r="AL33" s="116">
        <f>'Catch Age'!D113</f>
        <v>0</v>
      </c>
      <c r="AM33" s="126">
        <v>2008</v>
      </c>
      <c r="AN33" s="116">
        <f>'Catch Age'!E114</f>
        <v>968.18235807860265</v>
      </c>
      <c r="AO33" s="126">
        <v>2009</v>
      </c>
      <c r="AP33" s="116">
        <f>'Catch Age'!F115</f>
        <v>5139.8717668488152</v>
      </c>
      <c r="AQ33" s="126">
        <v>2010</v>
      </c>
      <c r="AR33" s="116">
        <f>'Catch Age'!G116</f>
        <v>101.01312881840634</v>
      </c>
      <c r="AS33" s="115">
        <f t="shared" si="7"/>
        <v>6209.067253745824</v>
      </c>
    </row>
    <row r="34" spans="1:58" x14ac:dyDescent="0.2">
      <c r="A34" s="11">
        <v>2005</v>
      </c>
      <c r="B34" s="291">
        <f>'Catch Age'!P67</f>
        <v>6809</v>
      </c>
      <c r="C34" s="291">
        <f>'Catch Age'!W67</f>
        <v>822</v>
      </c>
      <c r="D34" s="292">
        <f>'Catch Age'!AD67</f>
        <v>65</v>
      </c>
      <c r="E34" s="292">
        <f>'Catch Age'!AK67</f>
        <v>1015</v>
      </c>
      <c r="F34" s="495">
        <f t="shared" si="15"/>
        <v>8711</v>
      </c>
      <c r="G34" s="499">
        <v>0.2</v>
      </c>
      <c r="H34" s="12">
        <f>'Daily Weir Counts'!X$5</f>
        <v>40806</v>
      </c>
      <c r="I34" s="494">
        <f>'Daily Weir Counts'!X$6</f>
        <v>7549</v>
      </c>
      <c r="J34" s="487">
        <f>'Daily Weir Counts'!X$6</f>
        <v>7549</v>
      </c>
      <c r="K34" s="492">
        <v>0.05</v>
      </c>
      <c r="L34" s="24">
        <f t="shared" si="11"/>
        <v>16260</v>
      </c>
      <c r="M34" s="26">
        <f t="shared" si="13"/>
        <v>0.41875768757687576</v>
      </c>
      <c r="N34" s="26">
        <f t="shared" si="14"/>
        <v>0.5357318573185732</v>
      </c>
      <c r="O34" s="17">
        <v>0</v>
      </c>
      <c r="P34" s="24">
        <f t="shared" si="0"/>
        <v>7549</v>
      </c>
      <c r="Q34" s="147">
        <v>2008</v>
      </c>
      <c r="R34" s="134">
        <f t="shared" si="8"/>
        <v>18.175257731958762</v>
      </c>
      <c r="S34" s="147">
        <v>2009</v>
      </c>
      <c r="T34" s="134">
        <f t="shared" si="1"/>
        <v>2698.7697425851461</v>
      </c>
      <c r="U34" s="147">
        <v>2010</v>
      </c>
      <c r="V34" s="134">
        <f t="shared" si="9"/>
        <v>10211.647619841706</v>
      </c>
      <c r="W34" s="147">
        <v>2011</v>
      </c>
      <c r="X34" s="134">
        <f t="shared" si="2"/>
        <v>199.85024888984384</v>
      </c>
      <c r="Y34" s="134">
        <f t="shared" si="3"/>
        <v>13128.442869048655</v>
      </c>
      <c r="Z34" s="500">
        <f t="shared" si="4"/>
        <v>9.4825363668938447</v>
      </c>
      <c r="AA34" s="135">
        <f t="shared" si="5"/>
        <v>1.7390969491387807</v>
      </c>
      <c r="AB34" s="135">
        <f t="shared" si="16"/>
        <v>0.55336598375422008</v>
      </c>
      <c r="AC34" s="128">
        <v>2008</v>
      </c>
      <c r="AD34" s="114">
        <f>'Escapement Age'!B31</f>
        <v>18.175257731958762</v>
      </c>
      <c r="AE34" s="128">
        <v>2009</v>
      </c>
      <c r="AF34" s="114">
        <f>'Escapement Age'!C32</f>
        <v>2346.6415094339623</v>
      </c>
      <c r="AG34" s="128">
        <v>2010</v>
      </c>
      <c r="AH34" s="114">
        <f>'Escapement Age'!D33</f>
        <v>3205.7370517928289</v>
      </c>
      <c r="AI34" s="128">
        <v>2011</v>
      </c>
      <c r="AJ34" s="114">
        <f>'Escapement Age'!E34</f>
        <v>68.899038461538467</v>
      </c>
      <c r="AK34" s="126">
        <v>2008</v>
      </c>
      <c r="AL34" s="116">
        <f>'Catch Age'!D114</f>
        <v>0</v>
      </c>
      <c r="AM34" s="126">
        <v>2009</v>
      </c>
      <c r="AN34" s="116">
        <f>'Catch Age'!E115</f>
        <v>352.12823315118396</v>
      </c>
      <c r="AO34" s="126">
        <v>2010</v>
      </c>
      <c r="AP34" s="116">
        <f>'Catch Age'!F116</f>
        <v>7005.9105680488765</v>
      </c>
      <c r="AQ34" s="126">
        <v>2011</v>
      </c>
      <c r="AR34" s="116">
        <f>'Catch Age'!G117</f>
        <v>130.95121042830539</v>
      </c>
      <c r="AS34" s="115">
        <f t="shared" si="7"/>
        <v>7488.9900116283661</v>
      </c>
    </row>
    <row r="35" spans="1:58" x14ac:dyDescent="0.2">
      <c r="A35" s="11">
        <v>2006</v>
      </c>
      <c r="B35" s="291">
        <f>'Catch Age'!P70</f>
        <v>4550</v>
      </c>
      <c r="C35" s="291">
        <f>'Catch Age'!W70</f>
        <v>2192</v>
      </c>
      <c r="D35" s="292">
        <f>'Catch Age'!AD70</f>
        <v>1037</v>
      </c>
      <c r="E35" s="292">
        <f>'Catch Age'!AK70</f>
        <v>406</v>
      </c>
      <c r="F35" s="495">
        <f t="shared" si="15"/>
        <v>8185</v>
      </c>
      <c r="G35" s="499">
        <v>0.2</v>
      </c>
      <c r="H35" s="12">
        <f>'Daily Weir Counts'!Y$5</f>
        <v>40802</v>
      </c>
      <c r="I35" s="494">
        <f>'Daily Weir Counts'!Y$6</f>
        <v>4165</v>
      </c>
      <c r="J35" s="487">
        <f>'Daily Weir Counts'!Y$6</f>
        <v>4165</v>
      </c>
      <c r="K35" s="492">
        <v>0.05</v>
      </c>
      <c r="L35" s="24">
        <f t="shared" si="11"/>
        <v>12350</v>
      </c>
      <c r="M35" s="26">
        <f t="shared" si="13"/>
        <v>0.36842105263157893</v>
      </c>
      <c r="N35" s="26">
        <f t="shared" si="14"/>
        <v>0.66275303643724692</v>
      </c>
      <c r="O35" s="17">
        <v>0</v>
      </c>
      <c r="P35" s="24">
        <f t="shared" si="0"/>
        <v>4165</v>
      </c>
      <c r="Q35" s="147">
        <v>2009</v>
      </c>
      <c r="R35" s="134">
        <f t="shared" si="8"/>
        <v>0</v>
      </c>
      <c r="S35" s="147">
        <v>2010</v>
      </c>
      <c r="T35" s="134">
        <f t="shared" si="1"/>
        <v>2991.3790919773401</v>
      </c>
      <c r="U35" s="147">
        <v>2011</v>
      </c>
      <c r="V35" s="134">
        <f t="shared" si="9"/>
        <v>4648.7833530296521</v>
      </c>
      <c r="W35" s="147">
        <v>2012</v>
      </c>
      <c r="X35" s="136" t="e">
        <f>AB68-(SUM(R35,T35,V35))</f>
        <v>#VALUE!</v>
      </c>
      <c r="Y35" s="134" t="e">
        <f t="shared" ref="Y35" si="17">SUM(R35,T35,V35,X35)</f>
        <v>#VALUE!</v>
      </c>
      <c r="Z35" s="500" t="e">
        <f t="shared" si="4"/>
        <v>#VALUE!</v>
      </c>
      <c r="AA35" s="135" t="e">
        <f t="shared" si="5"/>
        <v>#VALUE!</v>
      </c>
      <c r="AB35" s="135" t="e">
        <f t="shared" ref="AB35" si="18">LN(AA35)</f>
        <v>#VALUE!</v>
      </c>
      <c r="AC35" s="128">
        <v>2009</v>
      </c>
      <c r="AD35" s="114">
        <f>'Escapement Age'!B32</f>
        <v>0</v>
      </c>
      <c r="AE35" s="128">
        <v>2010</v>
      </c>
      <c r="AF35" s="114">
        <f>'Escapement Age'!C33</f>
        <v>2404.3027888446218</v>
      </c>
      <c r="AG35" s="128">
        <v>2011</v>
      </c>
      <c r="AH35" s="114">
        <f>'Escapement Age'!D34</f>
        <v>2273.6682692307691</v>
      </c>
      <c r="AI35" s="128">
        <v>2012</v>
      </c>
      <c r="AJ35" s="114">
        <f>'Escapement Age'!E35</f>
        <v>66.723154362416111</v>
      </c>
      <c r="AK35" s="126">
        <v>2009</v>
      </c>
      <c r="AL35" s="116">
        <f>'Catch Age'!D115</f>
        <v>0</v>
      </c>
      <c r="AM35" s="126">
        <v>2010</v>
      </c>
      <c r="AN35" s="116">
        <f>'Catch Age'!E116</f>
        <v>587.07630313271807</v>
      </c>
      <c r="AO35" s="126">
        <v>2011</v>
      </c>
      <c r="AP35" s="116">
        <f>'Catch Age'!F117</f>
        <v>2375.1150837988826</v>
      </c>
      <c r="AQ35" s="126">
        <v>2012</v>
      </c>
      <c r="AR35" s="31"/>
      <c r="AS35" s="138" t="s">
        <v>75</v>
      </c>
    </row>
    <row r="36" spans="1:58" x14ac:dyDescent="0.2">
      <c r="A36" s="11">
        <v>2007</v>
      </c>
      <c r="B36" s="291">
        <f>'Catch Age'!P73</f>
        <v>2512</v>
      </c>
      <c r="C36" s="291">
        <f>'Catch Age'!W73</f>
        <v>197</v>
      </c>
      <c r="D36" s="292">
        <f>'Catch Age'!AD73</f>
        <v>0</v>
      </c>
      <c r="E36" s="292">
        <f>'Catch Age'!AK73</f>
        <v>562</v>
      </c>
      <c r="F36" s="495">
        <f t="shared" si="15"/>
        <v>3271</v>
      </c>
      <c r="G36" s="499">
        <v>0.2</v>
      </c>
      <c r="H36" s="12">
        <f>'Daily Weir Counts'!Z$5</f>
        <v>40807</v>
      </c>
      <c r="I36" s="494">
        <f>'Daily Weir Counts'!Z$6</f>
        <v>3099</v>
      </c>
      <c r="J36" s="487">
        <f>'Daily Weir Counts'!Z$6</f>
        <v>3099</v>
      </c>
      <c r="K36" s="492">
        <v>0.05</v>
      </c>
      <c r="L36" s="24">
        <f t="shared" si="11"/>
        <v>6370</v>
      </c>
      <c r="M36" s="26">
        <f t="shared" si="13"/>
        <v>0.39434850863422294</v>
      </c>
      <c r="N36" s="26">
        <f t="shared" si="14"/>
        <v>0.51350078492935636</v>
      </c>
      <c r="O36" s="17">
        <v>0</v>
      </c>
      <c r="P36" s="24">
        <f t="shared" si="0"/>
        <v>3099</v>
      </c>
      <c r="Q36" s="147">
        <v>2010</v>
      </c>
      <c r="R36" s="134">
        <f t="shared" si="8"/>
        <v>0</v>
      </c>
      <c r="S36" s="147">
        <v>2011</v>
      </c>
      <c r="T36" s="134">
        <f t="shared" si="1"/>
        <v>2612.366398080504</v>
      </c>
      <c r="U36" s="147">
        <v>2012</v>
      </c>
      <c r="V36" s="134"/>
      <c r="W36" s="147">
        <v>2013</v>
      </c>
      <c r="X36" s="134"/>
      <c r="Y36" s="45"/>
      <c r="Z36" s="501" t="s">
        <v>176</v>
      </c>
      <c r="AA36" s="137" t="s">
        <v>75</v>
      </c>
      <c r="AB36" s="137"/>
      <c r="AC36" s="128">
        <v>2010</v>
      </c>
      <c r="AD36" s="114">
        <f>'Escapement Age'!B33</f>
        <v>0</v>
      </c>
      <c r="AE36" s="128">
        <v>2011</v>
      </c>
      <c r="AF36" s="114">
        <f>'Escapement Age'!C34</f>
        <v>2434.4326923076919</v>
      </c>
      <c r="AG36" s="128">
        <v>2012</v>
      </c>
      <c r="AH36" s="114">
        <f>'Escapement Age'!D35</f>
        <v>3298.030201342282</v>
      </c>
      <c r="AI36" s="128">
        <v>2013</v>
      </c>
      <c r="AJ36" s="114">
        <f>'Escapement Age'!E36</f>
        <v>100.23223570190642</v>
      </c>
      <c r="AK36" s="126">
        <v>2010</v>
      </c>
      <c r="AL36" s="116">
        <f>'Catch Age'!D116</f>
        <v>0</v>
      </c>
      <c r="AM36" s="126">
        <v>2011</v>
      </c>
      <c r="AN36" s="116">
        <f>'Catch Age'!E117</f>
        <v>177.93370577281192</v>
      </c>
      <c r="AO36" s="126">
        <v>2012</v>
      </c>
      <c r="AP36" s="31"/>
      <c r="AQ36" s="126">
        <v>2013</v>
      </c>
      <c r="AR36" s="31"/>
      <c r="AS36" s="138" t="s">
        <v>75</v>
      </c>
    </row>
    <row r="37" spans="1:58" x14ac:dyDescent="0.2">
      <c r="A37" s="11">
        <v>2008</v>
      </c>
      <c r="B37" s="291">
        <f>'Catch Age'!P76</f>
        <v>5732</v>
      </c>
      <c r="C37" s="291">
        <f>'Catch Age'!W76</f>
        <v>0</v>
      </c>
      <c r="D37" s="292">
        <f>'Catch Age'!AD76</f>
        <v>0</v>
      </c>
      <c r="E37" s="292">
        <f>'Catch Age'!AK76</f>
        <v>0</v>
      </c>
      <c r="F37" s="495">
        <f t="shared" si="15"/>
        <v>5732</v>
      </c>
      <c r="G37" s="499">
        <v>0.2</v>
      </c>
      <c r="H37" s="12">
        <f>'Daily Weir Counts'!AA$5</f>
        <v>40806</v>
      </c>
      <c r="I37" s="494">
        <f>'Daily Weir Counts'!AA$6</f>
        <v>1763</v>
      </c>
      <c r="J37" s="487">
        <f>'Daily Weir Counts'!AA$6</f>
        <v>1763</v>
      </c>
      <c r="K37" s="492">
        <v>0.05</v>
      </c>
      <c r="L37" s="24">
        <f t="shared" si="11"/>
        <v>7495</v>
      </c>
      <c r="M37" s="26">
        <f t="shared" si="13"/>
        <v>0.76477651767845234</v>
      </c>
      <c r="N37" s="26">
        <f t="shared" si="14"/>
        <v>0.76477651767845234</v>
      </c>
      <c r="O37" s="17">
        <v>0</v>
      </c>
      <c r="P37" s="24">
        <f t="shared" si="0"/>
        <v>1763</v>
      </c>
      <c r="Q37" s="147">
        <v>2011</v>
      </c>
      <c r="R37" s="134">
        <f t="shared" si="8"/>
        <v>0</v>
      </c>
      <c r="S37" s="147">
        <v>2012</v>
      </c>
      <c r="T37" s="134"/>
      <c r="U37" s="147">
        <v>2013</v>
      </c>
      <c r="V37" s="134"/>
      <c r="W37" s="149"/>
      <c r="X37" s="134"/>
      <c r="Y37" s="45"/>
      <c r="Z37" s="501" t="s">
        <v>176</v>
      </c>
      <c r="AA37" s="137" t="s">
        <v>75</v>
      </c>
      <c r="AB37" s="137"/>
      <c r="AC37" s="128">
        <v>2011</v>
      </c>
      <c r="AD37" s="114">
        <f>'Escapement Age'!B34</f>
        <v>0</v>
      </c>
      <c r="AE37" s="128">
        <v>2012</v>
      </c>
      <c r="AF37" s="114">
        <f>'Escapement Age'!C35</f>
        <v>2278.1191275167785</v>
      </c>
      <c r="AG37" s="128">
        <v>2013</v>
      </c>
      <c r="AH37" s="114">
        <f>'Escapement Age'!D36</f>
        <v>2995.830155979203</v>
      </c>
      <c r="AI37" s="130"/>
      <c r="AJ37" s="118"/>
      <c r="AK37" s="126">
        <v>2011</v>
      </c>
      <c r="AL37" s="116">
        <f>'Catch Age'!D117</f>
        <v>0</v>
      </c>
      <c r="AM37" s="126">
        <v>2012</v>
      </c>
      <c r="AN37" s="116"/>
      <c r="AO37" s="126">
        <v>2013</v>
      </c>
      <c r="AP37" s="31"/>
      <c r="AQ37" s="30"/>
      <c r="AR37" s="31"/>
      <c r="AS37" s="138" t="s">
        <v>75</v>
      </c>
    </row>
    <row r="38" spans="1:58" x14ac:dyDescent="0.2">
      <c r="A38" s="11">
        <v>2009</v>
      </c>
      <c r="B38" s="291">
        <f>'Catch Age'!P79</f>
        <v>5492</v>
      </c>
      <c r="C38" s="291">
        <f>'Catch Age'!W79</f>
        <v>0</v>
      </c>
      <c r="D38" s="292">
        <f>'Catch Age'!AD79</f>
        <v>0</v>
      </c>
      <c r="E38" s="292">
        <f>'Catch Age'!AK79</f>
        <v>0</v>
      </c>
      <c r="F38" s="495">
        <f t="shared" si="15"/>
        <v>5492</v>
      </c>
      <c r="G38" s="499">
        <v>0.2</v>
      </c>
      <c r="H38" s="12">
        <f>'Daily Weir Counts'!AB$5</f>
        <v>40806</v>
      </c>
      <c r="I38" s="494">
        <f>'Daily Weir Counts'!AB$6</f>
        <v>3689</v>
      </c>
      <c r="J38" s="487">
        <f>'Daily Weir Counts'!AB$6</f>
        <v>3689</v>
      </c>
      <c r="K38" s="492">
        <v>0.05</v>
      </c>
      <c r="L38" s="24">
        <f t="shared" si="11"/>
        <v>9181</v>
      </c>
      <c r="M38" s="26">
        <f t="shared" si="13"/>
        <v>0.59819191809171113</v>
      </c>
      <c r="N38" s="26">
        <f t="shared" si="14"/>
        <v>0.59819191809171113</v>
      </c>
      <c r="O38" s="17">
        <v>0</v>
      </c>
      <c r="P38" s="24">
        <f t="shared" si="0"/>
        <v>3689</v>
      </c>
      <c r="Q38" s="147">
        <v>2012</v>
      </c>
      <c r="R38" s="134"/>
      <c r="S38" s="147">
        <v>2013</v>
      </c>
      <c r="T38" s="134"/>
      <c r="U38" s="149"/>
      <c r="V38" s="134"/>
      <c r="W38" s="149"/>
      <c r="X38" s="134"/>
      <c r="Y38" s="45"/>
      <c r="Z38" s="45"/>
      <c r="AA38" s="137" t="s">
        <v>75</v>
      </c>
      <c r="AB38" s="137"/>
      <c r="AC38" s="128">
        <v>2012</v>
      </c>
      <c r="AD38" s="114">
        <f>'Escapement Age'!B35</f>
        <v>38.127516778523486</v>
      </c>
      <c r="AE38" s="128">
        <v>2013</v>
      </c>
      <c r="AF38" s="114">
        <f>'Escapement Age'!C36</f>
        <v>3318.8006932409012</v>
      </c>
      <c r="AG38" s="130"/>
      <c r="AH38" s="114"/>
      <c r="AI38" s="130"/>
      <c r="AJ38" s="118"/>
      <c r="AK38" s="126">
        <v>2012</v>
      </c>
      <c r="AL38" s="116"/>
      <c r="AM38" s="126">
        <v>2013</v>
      </c>
      <c r="AN38" s="31"/>
      <c r="AO38" s="30"/>
      <c r="AP38" s="31"/>
      <c r="AQ38" s="30"/>
      <c r="AR38" s="31"/>
      <c r="AS38" s="138" t="s">
        <v>75</v>
      </c>
    </row>
    <row r="39" spans="1:58" x14ac:dyDescent="0.2">
      <c r="A39" s="11">
        <v>2010</v>
      </c>
      <c r="B39" s="291">
        <f>'Catch Age'!P82</f>
        <v>7422</v>
      </c>
      <c r="C39" s="295">
        <f>'Catch Age'!W82</f>
        <v>0</v>
      </c>
      <c r="D39" s="296">
        <f>'Catch Age'!AD82</f>
        <v>15</v>
      </c>
      <c r="E39" s="292">
        <f>'Catch Age'!AK82</f>
        <v>257</v>
      </c>
      <c r="F39" s="495">
        <f t="shared" si="15"/>
        <v>7694</v>
      </c>
      <c r="G39" s="499">
        <v>0.2</v>
      </c>
      <c r="H39" s="12">
        <f>'Daily Weir Counts'!AC$5</f>
        <v>40805</v>
      </c>
      <c r="I39" s="494">
        <f>'Daily Weir Counts'!AC$6</f>
        <v>5640</v>
      </c>
      <c r="J39" s="487">
        <f>'Daily Weir Counts'!AC$6</f>
        <v>5640</v>
      </c>
      <c r="K39" s="492">
        <v>0.05</v>
      </c>
      <c r="L39" s="24">
        <f t="shared" si="11"/>
        <v>13334</v>
      </c>
      <c r="M39" s="26">
        <f t="shared" si="13"/>
        <v>0.55662216889155547</v>
      </c>
      <c r="N39" s="26">
        <f t="shared" si="14"/>
        <v>0.57702114894255285</v>
      </c>
      <c r="O39" s="16">
        <v>0</v>
      </c>
      <c r="P39" s="24">
        <f t="shared" si="0"/>
        <v>5640</v>
      </c>
      <c r="Q39" s="147">
        <v>2013</v>
      </c>
      <c r="R39" s="180"/>
      <c r="S39" s="181"/>
      <c r="T39" s="180"/>
      <c r="U39" s="181"/>
      <c r="V39" s="253"/>
      <c r="W39" s="254"/>
      <c r="X39" s="45"/>
      <c r="Y39" s="182"/>
      <c r="Z39" s="182"/>
      <c r="AA39" s="137" t="s">
        <v>75</v>
      </c>
      <c r="AB39" s="137"/>
      <c r="AC39" s="128">
        <v>2013</v>
      </c>
      <c r="AD39" s="114">
        <f>'Escapement Age'!B36</f>
        <v>11.136915077989601</v>
      </c>
      <c r="AE39" s="183"/>
      <c r="AF39" s="184"/>
      <c r="AG39" s="183"/>
      <c r="AH39" s="184"/>
      <c r="AI39" s="183"/>
      <c r="AJ39" s="185"/>
      <c r="AK39" s="126">
        <v>2013</v>
      </c>
      <c r="AL39" s="116"/>
      <c r="AM39" s="186"/>
      <c r="AN39" s="187"/>
      <c r="AO39" s="186"/>
      <c r="AP39" s="187"/>
      <c r="AQ39" s="186"/>
      <c r="AR39" s="187"/>
      <c r="AS39" s="138" t="s">
        <v>75</v>
      </c>
    </row>
    <row r="40" spans="1:58" s="123" customFormat="1" x14ac:dyDescent="0.2">
      <c r="A40" s="11">
        <v>2011</v>
      </c>
      <c r="B40" s="291">
        <f>'Catch Age'!P85</f>
        <v>2600</v>
      </c>
      <c r="C40" s="295">
        <f>'Catch Age'!W85</f>
        <v>13</v>
      </c>
      <c r="D40" s="296">
        <f>'Catch Age'!AD85</f>
        <v>2</v>
      </c>
      <c r="E40" s="292">
        <f>'Catch Age'!AK85</f>
        <v>69</v>
      </c>
      <c r="F40" s="495">
        <f>SUM(B40:E40)</f>
        <v>2684</v>
      </c>
      <c r="G40" s="499">
        <v>0.2</v>
      </c>
      <c r="H40" s="12">
        <f>'Daily Weir Counts'!AD$5</f>
        <v>40806</v>
      </c>
      <c r="I40" s="494">
        <f>'Daily Weir Counts'!AD$6</f>
        <v>4777</v>
      </c>
      <c r="J40" s="487">
        <f>'Daily Weir Counts'!AD$6</f>
        <v>4777</v>
      </c>
      <c r="K40" s="492">
        <v>0.05</v>
      </c>
      <c r="L40" s="24">
        <f t="shared" si="11"/>
        <v>7461</v>
      </c>
      <c r="M40" s="26">
        <f t="shared" si="13"/>
        <v>0.34847875619890095</v>
      </c>
      <c r="N40" s="26">
        <f t="shared" si="14"/>
        <v>0.35973730062994236</v>
      </c>
      <c r="O40" s="16">
        <v>0</v>
      </c>
      <c r="P40" s="24">
        <f t="shared" si="0"/>
        <v>4777</v>
      </c>
      <c r="Q40" s="151"/>
      <c r="R40" s="180"/>
      <c r="S40" s="181"/>
      <c r="T40" s="180"/>
      <c r="U40" s="181"/>
      <c r="V40" s="180"/>
      <c r="W40" s="181"/>
      <c r="X40" s="180"/>
      <c r="Y40" s="182"/>
      <c r="Z40" s="182"/>
      <c r="AA40" s="137"/>
      <c r="AB40" s="137"/>
      <c r="AC40" s="183"/>
      <c r="AD40" s="184"/>
      <c r="AE40" s="183"/>
      <c r="AF40" s="184"/>
      <c r="AG40" s="183"/>
      <c r="AH40" s="184"/>
      <c r="AI40" s="183"/>
      <c r="AJ40" s="185"/>
      <c r="AK40" s="186"/>
      <c r="AL40" s="187"/>
      <c r="AM40" s="186"/>
      <c r="AN40" s="187"/>
      <c r="AO40" s="186"/>
      <c r="AP40" s="187"/>
      <c r="AQ40" s="186"/>
      <c r="AR40" s="187"/>
      <c r="AS40" s="188"/>
    </row>
    <row r="41" spans="1:58" s="123" customFormat="1" x14ac:dyDescent="0.2">
      <c r="A41" s="11">
        <v>2012</v>
      </c>
      <c r="B41" s="646" t="s">
        <v>19</v>
      </c>
      <c r="C41" s="646" t="s">
        <v>19</v>
      </c>
      <c r="D41" s="646" t="s">
        <v>19</v>
      </c>
      <c r="E41" s="646" t="s">
        <v>19</v>
      </c>
      <c r="F41" s="646" t="s">
        <v>19</v>
      </c>
      <c r="G41" s="499">
        <v>0.9</v>
      </c>
      <c r="H41" s="12">
        <f>'Daily Weir Counts'!AE$5</f>
        <v>40806</v>
      </c>
      <c r="I41" s="153">
        <f>'Daily Weir Counts'!AE$6</f>
        <v>5681</v>
      </c>
      <c r="J41" s="25">
        <f>'Daily Weir Counts'!AE$6</f>
        <v>5681</v>
      </c>
      <c r="K41" s="492">
        <v>0.05</v>
      </c>
      <c r="L41" s="24"/>
      <c r="M41" s="26"/>
      <c r="N41" s="654">
        <f>AVERAGE(N15:N19,N21,N24:N40)</f>
        <v>0.47600168337912008</v>
      </c>
      <c r="O41" s="16">
        <v>0</v>
      </c>
      <c r="P41" s="24">
        <f t="shared" si="0"/>
        <v>5681</v>
      </c>
      <c r="Q41" s="151"/>
      <c r="R41" s="180"/>
      <c r="S41" s="181"/>
      <c r="T41" s="180"/>
      <c r="U41" s="181"/>
      <c r="V41" s="180"/>
      <c r="W41" s="181"/>
      <c r="X41" s="180"/>
      <c r="Y41" s="182"/>
      <c r="Z41" s="182"/>
      <c r="AA41" s="137"/>
      <c r="AB41" s="137"/>
      <c r="AC41" s="183"/>
      <c r="AD41" s="184"/>
      <c r="AE41" s="183"/>
      <c r="AF41" s="184"/>
      <c r="AG41" s="183"/>
      <c r="AH41" s="184"/>
      <c r="AI41" s="183"/>
      <c r="AJ41" s="185"/>
      <c r="AK41" s="186"/>
      <c r="AL41" s="187"/>
      <c r="AM41" s="186"/>
      <c r="AN41" s="187"/>
      <c r="AO41" s="186"/>
      <c r="AP41" s="187"/>
      <c r="AQ41" s="186"/>
      <c r="AR41" s="187"/>
      <c r="AS41" s="188"/>
    </row>
    <row r="42" spans="1:58" x14ac:dyDescent="0.2">
      <c r="A42" s="11">
        <v>2013</v>
      </c>
      <c r="B42" s="647" t="s">
        <v>19</v>
      </c>
      <c r="C42" s="647" t="s">
        <v>19</v>
      </c>
      <c r="D42" s="647" t="s">
        <v>19</v>
      </c>
      <c r="E42" s="647" t="s">
        <v>19</v>
      </c>
      <c r="F42" s="647" t="s">
        <v>19</v>
      </c>
      <c r="G42" s="499">
        <v>0.9</v>
      </c>
      <c r="H42" s="12">
        <f>'Daily Weir Counts'!AF$5</f>
        <v>40817</v>
      </c>
      <c r="I42" s="153">
        <f>'Daily Weir Counts'!AF$6</f>
        <v>6426</v>
      </c>
      <c r="J42" s="25">
        <f>'Daily Weir Counts'!AF$6</f>
        <v>6426</v>
      </c>
      <c r="K42" s="492">
        <v>0.05</v>
      </c>
      <c r="L42" s="24"/>
      <c r="M42" s="26"/>
      <c r="N42" s="654">
        <f>MIN(N15:N19,N21,N24:N40)</f>
        <v>9.1515208069727752E-2</v>
      </c>
      <c r="O42" s="16">
        <v>0</v>
      </c>
      <c r="P42" s="24">
        <f t="shared" si="0"/>
        <v>6426</v>
      </c>
      <c r="Q42" s="151"/>
      <c r="R42" s="180"/>
      <c r="S42" s="181"/>
      <c r="T42" s="180"/>
      <c r="U42" s="181"/>
      <c r="V42" s="180"/>
      <c r="W42" s="181"/>
      <c r="X42" s="180"/>
      <c r="Y42" s="182"/>
      <c r="Z42" s="182"/>
      <c r="AA42" s="137"/>
      <c r="AB42" s="137"/>
      <c r="AC42" s="28"/>
      <c r="AD42" s="118"/>
      <c r="AE42" s="28"/>
      <c r="AF42" s="118"/>
      <c r="AG42" s="28"/>
      <c r="AH42" s="118"/>
      <c r="AI42" s="28"/>
      <c r="AJ42" s="118"/>
      <c r="AK42" s="30"/>
      <c r="AL42" s="31"/>
      <c r="AM42" s="30"/>
      <c r="AN42" s="31"/>
      <c r="AO42" s="30"/>
      <c r="AP42" s="31"/>
      <c r="AQ42" s="30"/>
      <c r="AR42" s="31"/>
      <c r="AS42" s="211"/>
    </row>
    <row r="43" spans="1:58" x14ac:dyDescent="0.2">
      <c r="A43" s="11"/>
      <c r="B43" s="20"/>
      <c r="C43" s="121"/>
      <c r="D43" s="121"/>
      <c r="E43" s="121"/>
      <c r="F43" s="121"/>
      <c r="G43" s="497"/>
      <c r="H43" s="12"/>
      <c r="I43" s="122"/>
      <c r="J43" s="655">
        <f>AVERAGE(J12:J40)</f>
        <v>7854.7146755607891</v>
      </c>
      <c r="K43" s="15"/>
      <c r="L43" s="24"/>
      <c r="M43" s="26"/>
      <c r="N43" s="654">
        <f>MAX(N15:N19,N21,N24:N40)</f>
        <v>0.76477651767845234</v>
      </c>
      <c r="O43" s="16"/>
      <c r="P43" s="24">
        <f>AVERAGE(P12:P40)</f>
        <v>7531.8257866718996</v>
      </c>
      <c r="Q43" s="146"/>
      <c r="R43" s="122"/>
      <c r="S43" s="150"/>
      <c r="T43" s="122"/>
      <c r="U43" s="150"/>
      <c r="V43" s="122"/>
      <c r="W43" s="150"/>
      <c r="X43" s="122"/>
      <c r="Y43" s="123"/>
      <c r="Z43" s="123"/>
      <c r="AA43" s="119"/>
      <c r="AB43" s="119"/>
    </row>
    <row r="44" spans="1:58" x14ac:dyDescent="0.2">
      <c r="A44" s="19"/>
      <c r="B44" s="19"/>
      <c r="G44" s="497"/>
      <c r="J44" s="656">
        <f>MIN(J12:J40)</f>
        <v>1763</v>
      </c>
      <c r="K44" s="656">
        <f>MAX(J12:J40)</f>
        <v>18308.698954346499</v>
      </c>
      <c r="L44" s="6"/>
      <c r="N44" s="145"/>
      <c r="P44" s="7"/>
      <c r="Q44" s="6"/>
      <c r="R44" s="7"/>
      <c r="S44" s="1"/>
      <c r="W44" s="225"/>
      <c r="AA44" s="255"/>
      <c r="AB44" s="196" t="s">
        <v>138</v>
      </c>
    </row>
    <row r="45" spans="1:58" ht="13.5" thickBot="1" x14ac:dyDescent="0.25">
      <c r="A45" s="19"/>
      <c r="B45" s="19"/>
      <c r="G45" s="497"/>
      <c r="L45" s="6" t="s">
        <v>134</v>
      </c>
      <c r="N45" s="159" t="s">
        <v>98</v>
      </c>
      <c r="O45" s="6" t="s">
        <v>96</v>
      </c>
      <c r="P45" s="6" t="s">
        <v>97</v>
      </c>
      <c r="Q45" s="6" t="s">
        <v>43</v>
      </c>
      <c r="R45" s="6" t="s">
        <v>99</v>
      </c>
      <c r="S45" s="1"/>
      <c r="T45" s="167"/>
      <c r="U45" s="168" t="s">
        <v>100</v>
      </c>
      <c r="V45" s="169"/>
      <c r="W45" s="167"/>
      <c r="AA45" s="6">
        <v>1983</v>
      </c>
      <c r="AB45" s="256">
        <f t="shared" ref="AB45:AB67" si="19">X12/Y12</f>
        <v>0.30452715705035105</v>
      </c>
    </row>
    <row r="46" spans="1:58" x14ac:dyDescent="0.2">
      <c r="A46" s="19"/>
      <c r="B46" s="19"/>
      <c r="G46" s="497"/>
      <c r="I46" s="251"/>
      <c r="J46" s="6">
        <v>1983</v>
      </c>
      <c r="K46" s="6"/>
      <c r="L46" s="24">
        <v>10484</v>
      </c>
      <c r="M46" s="6">
        <v>1</v>
      </c>
      <c r="N46" s="6">
        <v>1983</v>
      </c>
      <c r="O46" s="166">
        <f t="shared" ref="O46:O69" si="20">P12/1000</f>
        <v>10.484</v>
      </c>
      <c r="P46" s="166">
        <f t="shared" ref="P46:P69" si="21">Y12/1000</f>
        <v>4.9980609908430003</v>
      </c>
      <c r="Q46" s="160">
        <f>AA12</f>
        <v>0.47673225780646705</v>
      </c>
      <c r="R46" s="160">
        <f t="shared" ref="R46:R69" si="22">AB12</f>
        <v>-0.74080025007303585</v>
      </c>
      <c r="S46" s="1"/>
      <c r="T46" s="170" t="s">
        <v>101</v>
      </c>
      <c r="U46" s="171" t="e">
        <f t="array" ref="U46:V50">LINEST(R46:R68,O46:O68,1,1)</f>
        <v>#VALUE!</v>
      </c>
      <c r="V46" s="172" t="e">
        <v>#VALUE!</v>
      </c>
      <c r="W46" s="167" t="s">
        <v>102</v>
      </c>
      <c r="AA46" s="6">
        <v>1984</v>
      </c>
      <c r="AB46" s="256">
        <f t="shared" si="19"/>
        <v>4.0958950140410635E-2</v>
      </c>
      <c r="AC46" s="6"/>
      <c r="AD46" s="7"/>
      <c r="AE46" s="6"/>
      <c r="AF46" s="7"/>
      <c r="AG46" s="6"/>
      <c r="AH46" s="7"/>
      <c r="AI46" s="6"/>
      <c r="AJ46" s="7"/>
      <c r="AK46" s="6"/>
      <c r="AL46" s="7"/>
      <c r="AT46" s="21"/>
      <c r="AU46" s="21"/>
      <c r="AV46" s="21"/>
    </row>
    <row r="47" spans="1:58" x14ac:dyDescent="0.2">
      <c r="G47" s="497"/>
      <c r="I47" s="251"/>
      <c r="J47" s="6">
        <v>1984</v>
      </c>
      <c r="K47" s="6"/>
      <c r="L47" s="222">
        <v>10432.762681405464</v>
      </c>
      <c r="M47" s="6">
        <v>2</v>
      </c>
      <c r="N47" s="6">
        <v>1984</v>
      </c>
      <c r="O47" s="166">
        <f t="shared" si="20"/>
        <v>10.619443567532898</v>
      </c>
      <c r="P47" s="166">
        <f t="shared" si="21"/>
        <v>17.520853893694813</v>
      </c>
      <c r="Q47" s="160">
        <f t="shared" ref="Q47:Q69" si="23">AA13</f>
        <v>1.6498843637402791</v>
      </c>
      <c r="R47" s="160">
        <f t="shared" si="22"/>
        <v>0.50070520287494136</v>
      </c>
      <c r="S47" s="229"/>
      <c r="T47" s="170" t="s">
        <v>64</v>
      </c>
      <c r="U47" s="173" t="e">
        <v>#VALUE!</v>
      </c>
      <c r="V47" s="174" t="e">
        <v>#VALUE!</v>
      </c>
      <c r="W47" s="167" t="s">
        <v>64</v>
      </c>
      <c r="AA47" s="6">
        <v>1985</v>
      </c>
      <c r="AB47" s="256" t="e">
        <f t="shared" si="19"/>
        <v>#VALUE!</v>
      </c>
      <c r="AC47" s="6"/>
      <c r="AD47" s="7"/>
      <c r="AE47" s="6"/>
      <c r="AF47" s="7"/>
      <c r="AG47" s="6"/>
      <c r="AH47" s="7"/>
      <c r="AI47" s="242"/>
      <c r="AJ47" s="243"/>
      <c r="AK47" s="244"/>
      <c r="AL47" s="242"/>
      <c r="AN47" s="145"/>
      <c r="AO47" s="21"/>
      <c r="AP47" s="145"/>
      <c r="AQ47" s="21"/>
      <c r="AR47" s="21"/>
      <c r="AS47" s="21"/>
      <c r="AT47" s="21"/>
      <c r="AU47" s="21"/>
      <c r="AV47" s="21"/>
      <c r="AW47" s="21"/>
      <c r="AX47" s="21"/>
      <c r="AY47" s="21"/>
      <c r="AZ47" s="21"/>
      <c r="BA47" s="21"/>
      <c r="BB47" s="21"/>
      <c r="BC47" s="21"/>
      <c r="BD47" s="21"/>
      <c r="BE47" s="21"/>
      <c r="BF47" s="21"/>
    </row>
    <row r="48" spans="1:58" x14ac:dyDescent="0.2">
      <c r="G48" s="497"/>
      <c r="J48" s="6">
        <v>1985</v>
      </c>
      <c r="K48" s="6"/>
      <c r="L48" s="222">
        <v>8392.9966800404745</v>
      </c>
      <c r="M48" s="6">
        <v>3</v>
      </c>
      <c r="N48" s="6">
        <v>1985</v>
      </c>
      <c r="O48" s="166">
        <f t="shared" si="20"/>
        <v>8.1570449090643464</v>
      </c>
      <c r="P48" s="166" t="e">
        <f t="shared" si="21"/>
        <v>#VALUE!</v>
      </c>
      <c r="Q48" s="160" t="e">
        <f t="shared" si="23"/>
        <v>#VALUE!</v>
      </c>
      <c r="R48" s="160" t="e">
        <f t="shared" si="22"/>
        <v>#VALUE!</v>
      </c>
      <c r="S48" s="229"/>
      <c r="T48" s="170" t="s">
        <v>103</v>
      </c>
      <c r="U48" s="175" t="e">
        <v>#VALUE!</v>
      </c>
      <c r="V48" s="174" t="e">
        <v>#VALUE!</v>
      </c>
      <c r="W48" s="167" t="s">
        <v>88</v>
      </c>
      <c r="AA48" s="6">
        <v>1986</v>
      </c>
      <c r="AB48" s="256" t="e">
        <f t="shared" si="19"/>
        <v>#VALUE!</v>
      </c>
      <c r="AC48" s="6"/>
      <c r="AD48" s="7"/>
      <c r="AE48" s="6"/>
      <c r="AF48" s="7"/>
      <c r="AG48" s="6"/>
      <c r="AH48" s="7"/>
      <c r="AI48" s="245"/>
      <c r="AJ48" s="246"/>
      <c r="AK48" s="244"/>
      <c r="AL48" s="242"/>
      <c r="AN48" s="145"/>
      <c r="AO48" s="21"/>
      <c r="AP48" s="145"/>
      <c r="AQ48" s="21"/>
      <c r="AR48" s="21"/>
      <c r="AS48" s="21"/>
      <c r="AT48" s="21"/>
      <c r="AU48" s="21"/>
      <c r="AV48" s="21"/>
      <c r="AW48" s="21"/>
      <c r="AX48" s="21"/>
      <c r="AY48" s="21"/>
      <c r="AZ48" s="21"/>
      <c r="BA48" s="21"/>
      <c r="BB48" s="21"/>
      <c r="BC48" s="21"/>
      <c r="BD48" s="21"/>
      <c r="BE48" s="21"/>
      <c r="BF48" s="21"/>
    </row>
    <row r="49" spans="7:58" x14ac:dyDescent="0.2">
      <c r="G49" s="497"/>
      <c r="J49" s="6">
        <v>1986</v>
      </c>
      <c r="K49" s="6"/>
      <c r="L49" s="222">
        <v>6980.1109536234098</v>
      </c>
      <c r="M49" s="6">
        <v>4</v>
      </c>
      <c r="N49" s="6">
        <v>1986</v>
      </c>
      <c r="O49" s="166">
        <f t="shared" si="20"/>
        <v>7.0370656567450682</v>
      </c>
      <c r="P49" s="166" t="e">
        <f t="shared" si="21"/>
        <v>#VALUE!</v>
      </c>
      <c r="Q49" s="160" t="e">
        <f t="shared" si="23"/>
        <v>#VALUE!</v>
      </c>
      <c r="R49" s="160" t="e">
        <f t="shared" si="22"/>
        <v>#VALUE!</v>
      </c>
      <c r="S49" s="229"/>
      <c r="T49" s="170" t="s">
        <v>104</v>
      </c>
      <c r="U49" s="175" t="e">
        <v>#VALUE!</v>
      </c>
      <c r="V49" s="176" t="e">
        <v>#VALUE!</v>
      </c>
      <c r="W49" s="167" t="s">
        <v>105</v>
      </c>
      <c r="AA49" s="6">
        <v>1987</v>
      </c>
      <c r="AB49" s="256" t="e">
        <f t="shared" si="19"/>
        <v>#VALUE!</v>
      </c>
      <c r="AC49" s="6"/>
      <c r="AD49" s="7"/>
      <c r="AE49" s="6"/>
      <c r="AF49" s="7"/>
      <c r="AG49" s="6"/>
      <c r="AH49" s="7"/>
      <c r="AI49" s="245"/>
      <c r="AJ49" s="246"/>
      <c r="AK49" s="244"/>
      <c r="AL49" s="242"/>
      <c r="AN49" s="145"/>
      <c r="AO49" s="21"/>
      <c r="AP49" s="145"/>
      <c r="AQ49" s="21"/>
      <c r="AR49" s="21"/>
      <c r="AS49" s="21"/>
      <c r="AT49" s="21"/>
      <c r="AU49" s="21"/>
      <c r="AV49" s="21"/>
      <c r="AW49" s="21"/>
      <c r="AX49" s="21"/>
      <c r="AY49" s="21"/>
      <c r="AZ49" s="21"/>
      <c r="BA49" s="21"/>
      <c r="BB49" s="21"/>
      <c r="BC49" s="21"/>
      <c r="BD49" s="21"/>
      <c r="BE49" s="21"/>
      <c r="BF49" s="21"/>
    </row>
    <row r="50" spans="7:58" ht="13.5" thickBot="1" x14ac:dyDescent="0.25">
      <c r="G50" s="497"/>
      <c r="J50" s="6">
        <v>1987</v>
      </c>
      <c r="K50" s="6"/>
      <c r="L50" s="222">
        <v>11159.339942980554</v>
      </c>
      <c r="M50" s="6">
        <v>5</v>
      </c>
      <c r="N50" s="6">
        <v>1987</v>
      </c>
      <c r="O50" s="166">
        <f t="shared" si="20"/>
        <v>10.257416001624877</v>
      </c>
      <c r="P50" s="166" t="e">
        <f t="shared" si="21"/>
        <v>#VALUE!</v>
      </c>
      <c r="Q50" s="160" t="e">
        <f t="shared" si="23"/>
        <v>#VALUE!</v>
      </c>
      <c r="R50" s="160" t="e">
        <f t="shared" si="22"/>
        <v>#VALUE!</v>
      </c>
      <c r="S50" s="240"/>
      <c r="T50" s="170" t="s">
        <v>106</v>
      </c>
      <c r="U50" s="177" t="e">
        <v>#VALUE!</v>
      </c>
      <c r="V50" s="178" t="e">
        <v>#VALUE!</v>
      </c>
      <c r="W50" s="167" t="s">
        <v>107</v>
      </c>
      <c r="AA50" s="6">
        <v>1988</v>
      </c>
      <c r="AB50" s="256">
        <f t="shared" si="19"/>
        <v>7.7421756184227486E-4</v>
      </c>
      <c r="AC50" s="145"/>
      <c r="AD50" s="21"/>
      <c r="AE50" s="145"/>
      <c r="AF50" s="21"/>
      <c r="AG50" s="145"/>
      <c r="AH50" s="21"/>
      <c r="AI50" s="245"/>
      <c r="AJ50" s="244"/>
      <c r="AK50" s="244"/>
      <c r="AL50" s="242"/>
      <c r="AN50" s="145"/>
      <c r="AO50" s="21"/>
      <c r="AP50" s="145"/>
      <c r="AQ50" s="21"/>
      <c r="AR50" s="21"/>
      <c r="AS50" s="21"/>
      <c r="AT50" s="21"/>
      <c r="AU50" s="21"/>
      <c r="AV50" s="21"/>
      <c r="AW50" s="21"/>
      <c r="AX50" s="21"/>
      <c r="AY50" s="21"/>
      <c r="AZ50" s="21"/>
      <c r="BA50" s="21"/>
      <c r="BB50" s="21"/>
      <c r="BC50" s="21"/>
      <c r="BD50" s="21"/>
      <c r="BE50" s="21"/>
      <c r="BF50" s="21"/>
    </row>
    <row r="51" spans="7:58" x14ac:dyDescent="0.2">
      <c r="G51" s="497"/>
      <c r="J51" s="238">
        <v>1988</v>
      </c>
      <c r="K51" s="238"/>
      <c r="L51" s="222">
        <v>1273.0531179902227</v>
      </c>
      <c r="M51" s="6">
        <v>6</v>
      </c>
      <c r="N51" s="238">
        <v>1988</v>
      </c>
      <c r="O51" s="166">
        <f t="shared" si="20"/>
        <v>1.5596586926127332</v>
      </c>
      <c r="P51" s="166">
        <f t="shared" si="21"/>
        <v>38.322251259701453</v>
      </c>
      <c r="Q51" s="160">
        <f t="shared" si="23"/>
        <v>24.570921472251207</v>
      </c>
      <c r="R51" s="160">
        <f t="shared" si="22"/>
        <v>3.2015636897879598</v>
      </c>
      <c r="S51" s="229"/>
      <c r="T51" s="169"/>
      <c r="U51" s="179">
        <v>9.8362359860032512E-7</v>
      </c>
      <c r="V51" s="169"/>
      <c r="W51" s="169"/>
      <c r="AA51" s="6">
        <v>1989</v>
      </c>
      <c r="AB51" s="256">
        <f t="shared" si="19"/>
        <v>0.11267653395374909</v>
      </c>
      <c r="AC51" s="145"/>
      <c r="AD51" s="21"/>
      <c r="AE51" s="145"/>
      <c r="AF51" s="21"/>
      <c r="AG51" s="145"/>
      <c r="AH51" s="21"/>
      <c r="AI51" s="245"/>
      <c r="AJ51" s="244"/>
      <c r="AK51" s="247"/>
      <c r="AL51" s="242"/>
      <c r="AN51" s="21"/>
      <c r="AO51" s="145"/>
      <c r="AP51" s="21"/>
      <c r="AQ51" s="145"/>
      <c r="AR51" s="21"/>
      <c r="AS51" s="21"/>
      <c r="AT51" s="21"/>
      <c r="AU51" s="21"/>
      <c r="AV51" s="21"/>
      <c r="AW51" s="21"/>
      <c r="AX51" s="21"/>
      <c r="AY51" s="21"/>
      <c r="AZ51" s="21"/>
      <c r="BA51" s="21"/>
      <c r="BB51" s="21"/>
      <c r="BC51" s="21"/>
      <c r="BD51" s="21"/>
      <c r="BE51" s="21"/>
      <c r="BF51" s="21"/>
    </row>
    <row r="52" spans="7:58" x14ac:dyDescent="0.2">
      <c r="G52" s="497"/>
      <c r="J52" s="6">
        <v>1989</v>
      </c>
      <c r="K52" s="6"/>
      <c r="L52" s="222">
        <v>13932.916894939224</v>
      </c>
      <c r="M52" s="6">
        <v>7</v>
      </c>
      <c r="N52" s="6">
        <v>1989</v>
      </c>
      <c r="O52" s="166">
        <f t="shared" si="20"/>
        <v>12.083149499668281</v>
      </c>
      <c r="P52" s="166">
        <f t="shared" si="21"/>
        <v>15.384561154765072</v>
      </c>
      <c r="Q52" s="160">
        <f t="shared" si="23"/>
        <v>1.2732244316920371</v>
      </c>
      <c r="R52" s="160">
        <f t="shared" si="22"/>
        <v>0.24155260544373017</v>
      </c>
      <c r="S52" s="229"/>
      <c r="T52" s="245"/>
      <c r="U52" s="244"/>
      <c r="V52" s="244"/>
      <c r="W52" s="242"/>
      <c r="AA52" s="6">
        <v>1990</v>
      </c>
      <c r="AB52" s="256">
        <f t="shared" si="19"/>
        <v>2.5524727703606885E-3</v>
      </c>
      <c r="AC52" s="250"/>
      <c r="AD52" s="21"/>
      <c r="AE52" s="145"/>
      <c r="AF52" s="21"/>
      <c r="AG52" s="145"/>
      <c r="AH52" s="21"/>
      <c r="AI52" s="245"/>
      <c r="AJ52" s="244"/>
      <c r="AK52" s="244"/>
      <c r="AL52" s="242"/>
      <c r="AN52" s="21"/>
      <c r="AO52" s="145"/>
      <c r="AP52" s="21"/>
      <c r="AQ52" s="145"/>
      <c r="AR52" s="21"/>
      <c r="AS52" s="21"/>
      <c r="AT52" s="21"/>
      <c r="AU52" s="21"/>
      <c r="AV52" s="21"/>
      <c r="AW52" s="21"/>
      <c r="AX52" s="21"/>
      <c r="AY52" s="21"/>
      <c r="AZ52" s="21"/>
      <c r="BA52" s="21"/>
      <c r="BB52" s="21"/>
      <c r="BC52" s="21"/>
      <c r="BD52" s="21"/>
      <c r="BE52" s="21"/>
      <c r="BF52" s="21"/>
    </row>
    <row r="53" spans="7:58" x14ac:dyDescent="0.2">
      <c r="G53" s="497"/>
      <c r="J53" s="6">
        <v>1990</v>
      </c>
      <c r="K53" s="6"/>
      <c r="L53" s="222">
        <v>21199.59740090304</v>
      </c>
      <c r="M53" s="6">
        <v>8</v>
      </c>
      <c r="N53" s="6">
        <v>1990</v>
      </c>
      <c r="O53" s="166">
        <f t="shared" si="20"/>
        <v>17.111698954346497</v>
      </c>
      <c r="P53" s="166">
        <f t="shared" si="21"/>
        <v>8.1610999085793559</v>
      </c>
      <c r="Q53" s="160">
        <f t="shared" si="23"/>
        <v>0.47693101254018821</v>
      </c>
      <c r="R53" s="160">
        <f t="shared" si="22"/>
        <v>-0.74038342635175192</v>
      </c>
      <c r="S53" s="229"/>
      <c r="AA53" s="6">
        <v>1991</v>
      </c>
      <c r="AB53" s="256">
        <f t="shared" si="19"/>
        <v>3.6926498254602467E-3</v>
      </c>
      <c r="AC53" s="250"/>
      <c r="AD53" s="21"/>
      <c r="AE53" s="145"/>
      <c r="AF53" s="21"/>
      <c r="AG53" s="145"/>
      <c r="AH53" s="21"/>
      <c r="AI53" s="244"/>
      <c r="AJ53" s="248"/>
      <c r="AK53" s="244"/>
      <c r="AL53" s="244"/>
      <c r="AN53" s="21"/>
      <c r="AO53" s="145"/>
      <c r="AP53" s="21"/>
      <c r="AQ53" s="145"/>
      <c r="AR53" s="21"/>
      <c r="AS53" s="21"/>
      <c r="AT53" s="21"/>
      <c r="AU53" s="21"/>
      <c r="AV53" s="21"/>
      <c r="AW53" s="21"/>
      <c r="AX53" s="21"/>
      <c r="AY53" s="21"/>
      <c r="AZ53" s="21"/>
      <c r="BA53" s="21"/>
      <c r="BB53" s="21"/>
      <c r="BC53" s="21"/>
      <c r="BD53" s="21"/>
      <c r="BE53" s="21"/>
      <c r="BF53" s="21"/>
    </row>
    <row r="54" spans="7:58" x14ac:dyDescent="0.2">
      <c r="G54" s="497"/>
      <c r="J54" s="238">
        <v>1991</v>
      </c>
      <c r="K54" s="238"/>
      <c r="L54" s="210">
        <v>522.20070080593939</v>
      </c>
      <c r="M54" s="6">
        <v>9</v>
      </c>
      <c r="N54" s="238">
        <v>1991</v>
      </c>
      <c r="O54" s="166">
        <f t="shared" si="20"/>
        <v>1.9179499623449403</v>
      </c>
      <c r="P54" s="166">
        <f t="shared" si="21"/>
        <v>23.568455398487163</v>
      </c>
      <c r="Q54" s="160">
        <f t="shared" si="23"/>
        <v>12.288357809747913</v>
      </c>
      <c r="R54" s="160">
        <f t="shared" si="22"/>
        <v>2.5086522946132059</v>
      </c>
      <c r="S54" s="229"/>
      <c r="AA54" s="6">
        <v>1992</v>
      </c>
      <c r="AB54" s="256">
        <f t="shared" si="19"/>
        <v>1.1084178510278578E-2</v>
      </c>
      <c r="AC54" s="249"/>
      <c r="AD54" s="145"/>
      <c r="AE54" s="21"/>
      <c r="AF54" s="145"/>
      <c r="AG54" s="21"/>
      <c r="AH54" s="145"/>
      <c r="AI54" s="249"/>
      <c r="AJ54" s="250"/>
      <c r="AK54" s="249"/>
      <c r="AL54" s="250"/>
      <c r="AN54" s="21"/>
      <c r="AO54" s="145"/>
      <c r="AP54" s="21"/>
      <c r="AQ54" s="145"/>
      <c r="AR54" s="21"/>
      <c r="AS54" s="21"/>
      <c r="AT54" s="21"/>
      <c r="AU54" s="21"/>
      <c r="AV54" s="21"/>
      <c r="AW54" s="21"/>
      <c r="AX54" s="21"/>
      <c r="AY54" s="21"/>
      <c r="AZ54" s="21"/>
      <c r="BA54" s="21"/>
      <c r="BB54" s="21"/>
      <c r="BC54" s="21"/>
      <c r="BD54" s="21"/>
      <c r="BE54" s="21"/>
      <c r="BF54" s="21"/>
    </row>
    <row r="55" spans="7:58" x14ac:dyDescent="0.2">
      <c r="G55" s="497"/>
      <c r="J55" s="6">
        <v>1992</v>
      </c>
      <c r="K55" s="6"/>
      <c r="L55" s="222">
        <v>11212.785562179308</v>
      </c>
      <c r="M55" s="6">
        <v>10</v>
      </c>
      <c r="N55" s="6">
        <v>1992</v>
      </c>
      <c r="O55" s="166">
        <f t="shared" si="20"/>
        <v>8.7821086392232015</v>
      </c>
      <c r="P55" s="166">
        <f t="shared" si="21"/>
        <v>6.8198489478124982</v>
      </c>
      <c r="Q55" s="160">
        <f t="shared" si="23"/>
        <v>0.77656166963743356</v>
      </c>
      <c r="R55" s="160">
        <f t="shared" si="22"/>
        <v>-0.25287921953742409</v>
      </c>
      <c r="S55" s="229"/>
      <c r="AA55" s="6">
        <v>1993</v>
      </c>
      <c r="AB55" s="256">
        <f t="shared" si="19"/>
        <v>1.1131088228945164E-2</v>
      </c>
      <c r="AC55" s="249"/>
      <c r="AD55" s="145"/>
      <c r="AE55" s="21"/>
      <c r="AF55" s="145"/>
      <c r="AG55" s="21"/>
      <c r="AH55" s="145"/>
      <c r="AI55" s="21"/>
      <c r="AJ55" s="145"/>
      <c r="AK55" s="21"/>
      <c r="AL55" s="145"/>
      <c r="AN55" s="21"/>
      <c r="AO55" s="145"/>
      <c r="AP55" s="21"/>
      <c r="AQ55" s="145"/>
      <c r="AR55" s="21"/>
      <c r="AS55" s="21"/>
      <c r="AW55" s="21"/>
      <c r="AX55" s="21"/>
      <c r="AY55" s="21"/>
      <c r="AZ55" s="21"/>
      <c r="BA55" s="21"/>
      <c r="BB55" s="21"/>
      <c r="BC55" s="21"/>
      <c r="BD55" s="21"/>
      <c r="BE55" s="21"/>
      <c r="BF55" s="21"/>
    </row>
    <row r="56" spans="7:58" x14ac:dyDescent="0.2">
      <c r="G56" s="497"/>
      <c r="J56" s="6">
        <v>1995</v>
      </c>
      <c r="K56" s="6"/>
      <c r="L56" s="223">
        <v>8200.8485446877057</v>
      </c>
      <c r="M56" s="6">
        <v>11</v>
      </c>
      <c r="N56" s="238">
        <v>1993</v>
      </c>
      <c r="O56" s="166" t="e">
        <f t="shared" si="20"/>
        <v>#VALUE!</v>
      </c>
      <c r="P56" s="166">
        <f t="shared" si="21"/>
        <v>12.012559666878513</v>
      </c>
      <c r="Q56" s="160" t="e">
        <f t="shared" si="23"/>
        <v>#VALUE!</v>
      </c>
      <c r="R56" s="160" t="e">
        <f t="shared" si="22"/>
        <v>#VALUE!</v>
      </c>
      <c r="S56" s="229"/>
      <c r="AA56" s="6">
        <v>1994</v>
      </c>
      <c r="AB56" s="256">
        <f t="shared" si="19"/>
        <v>1.0658651179021948E-3</v>
      </c>
      <c r="AC56" s="249"/>
      <c r="AD56" s="145"/>
      <c r="AE56" s="21"/>
      <c r="AF56" s="145"/>
      <c r="AG56" s="21"/>
      <c r="AH56" s="145"/>
      <c r="AI56" s="21"/>
      <c r="AJ56" s="145"/>
      <c r="AK56" s="21"/>
      <c r="AL56" s="145"/>
    </row>
    <row r="57" spans="7:58" x14ac:dyDescent="0.2">
      <c r="G57" s="497"/>
      <c r="J57" s="6">
        <v>1996</v>
      </c>
      <c r="K57" s="6"/>
      <c r="L57" s="223">
        <v>11834.362466680286</v>
      </c>
      <c r="M57" s="6">
        <v>12</v>
      </c>
      <c r="N57" s="238">
        <v>1994</v>
      </c>
      <c r="O57" s="166" t="e">
        <f t="shared" si="20"/>
        <v>#VALUE!</v>
      </c>
      <c r="P57" s="166">
        <f t="shared" si="21"/>
        <v>15.15250704297687</v>
      </c>
      <c r="Q57" s="160" t="e">
        <f t="shared" si="23"/>
        <v>#VALUE!</v>
      </c>
      <c r="R57" s="160" t="e">
        <f t="shared" si="22"/>
        <v>#VALUE!</v>
      </c>
      <c r="S57" s="229"/>
      <c r="W57" s="245"/>
      <c r="X57" s="244"/>
      <c r="Y57" s="247"/>
      <c r="Z57" s="247"/>
      <c r="AA57" s="6">
        <v>1995</v>
      </c>
      <c r="AB57" s="256">
        <f t="shared" si="19"/>
        <v>4.0276506201616562E-3</v>
      </c>
      <c r="AC57" s="249"/>
      <c r="AD57" s="145"/>
      <c r="AE57" s="21"/>
      <c r="AF57" s="145"/>
      <c r="AG57" s="21"/>
      <c r="AH57" s="145"/>
      <c r="AI57" s="21"/>
      <c r="AJ57" s="145"/>
      <c r="AK57" s="21"/>
      <c r="AL57" s="145"/>
    </row>
    <row r="58" spans="7:58" x14ac:dyDescent="0.2">
      <c r="G58" s="497"/>
      <c r="J58" s="6">
        <v>1997</v>
      </c>
      <c r="K58" s="6"/>
      <c r="L58" s="223">
        <v>5747.4229901020526</v>
      </c>
      <c r="M58" s="6">
        <v>13</v>
      </c>
      <c r="N58" s="6">
        <v>1995</v>
      </c>
      <c r="O58" s="166">
        <f t="shared" si="20"/>
        <v>6.4984626751558023</v>
      </c>
      <c r="P58" s="166">
        <f t="shared" si="21"/>
        <v>14.528524097181847</v>
      </c>
      <c r="Q58" s="160">
        <f t="shared" si="23"/>
        <v>2.2356863189698202</v>
      </c>
      <c r="R58" s="160">
        <f t="shared" si="22"/>
        <v>0.8045482587656283</v>
      </c>
      <c r="S58" s="229"/>
      <c r="W58" s="245"/>
      <c r="X58" s="244"/>
      <c r="Y58" s="244"/>
      <c r="Z58" s="244"/>
      <c r="AA58" s="6">
        <v>1996</v>
      </c>
      <c r="AB58" s="256">
        <f t="shared" si="19"/>
        <v>1.3104699452981974E-3</v>
      </c>
      <c r="AC58" s="123"/>
      <c r="AD58" s="7"/>
      <c r="AE58" s="6"/>
      <c r="AF58" s="7"/>
      <c r="AG58" s="21"/>
      <c r="AH58" s="145"/>
      <c r="AI58" s="21"/>
      <c r="AJ58" s="145"/>
      <c r="AK58" s="21"/>
      <c r="AL58" s="145"/>
    </row>
    <row r="59" spans="7:58" x14ac:dyDescent="0.2">
      <c r="G59" s="497"/>
      <c r="J59" s="6">
        <v>1998</v>
      </c>
      <c r="K59" s="6"/>
      <c r="L59" s="224">
        <v>15806.348498038611</v>
      </c>
      <c r="M59" s="6">
        <v>14</v>
      </c>
      <c r="N59" s="6">
        <v>1996</v>
      </c>
      <c r="O59" s="166">
        <f t="shared" si="20"/>
        <v>10.154971469848308</v>
      </c>
      <c r="P59" s="166">
        <f t="shared" si="21"/>
        <v>21.820390149930525</v>
      </c>
      <c r="Q59" s="160">
        <f t="shared" si="23"/>
        <v>2.1487396803347663</v>
      </c>
      <c r="R59" s="160">
        <f t="shared" si="22"/>
        <v>0.76488147506686399</v>
      </c>
      <c r="S59" s="229"/>
      <c r="W59" s="244"/>
      <c r="X59" s="248"/>
      <c r="Y59" s="244"/>
      <c r="Z59" s="244"/>
      <c r="AA59" s="6">
        <v>1997</v>
      </c>
      <c r="AB59" s="256">
        <f t="shared" si="19"/>
        <v>4.6119930500267034E-4</v>
      </c>
      <c r="AC59" s="123"/>
      <c r="AD59" s="7"/>
      <c r="AE59" s="6"/>
      <c r="AF59" s="7"/>
      <c r="AG59" s="6"/>
      <c r="AH59" s="7"/>
      <c r="AI59" s="6"/>
      <c r="AJ59" s="7"/>
      <c r="AK59" s="6"/>
      <c r="AL59" s="7"/>
    </row>
    <row r="60" spans="7:58" x14ac:dyDescent="0.2">
      <c r="G60" s="497"/>
      <c r="J60" s="6">
        <v>1999</v>
      </c>
      <c r="K60" s="6"/>
      <c r="L60" s="224">
        <v>12018.320824530942</v>
      </c>
      <c r="M60" s="6">
        <v>15</v>
      </c>
      <c r="N60" s="6">
        <v>1997</v>
      </c>
      <c r="O60" s="166">
        <f t="shared" si="20"/>
        <v>5.8377699100430362</v>
      </c>
      <c r="P60" s="166">
        <f t="shared" si="21"/>
        <v>13.590862880222719</v>
      </c>
      <c r="Q60" s="160">
        <f t="shared" si="23"/>
        <v>2.328091564013445</v>
      </c>
      <c r="R60" s="160">
        <f t="shared" si="22"/>
        <v>0.84504886071661911</v>
      </c>
      <c r="S60" s="229"/>
      <c r="W60" s="239"/>
      <c r="X60" s="226"/>
      <c r="Y60" s="226"/>
      <c r="Z60" s="226"/>
      <c r="AA60" s="6">
        <v>1998</v>
      </c>
      <c r="AB60" s="256">
        <f t="shared" si="19"/>
        <v>2.9450520282243847E-3</v>
      </c>
      <c r="AC60" s="123"/>
      <c r="AD60" s="7"/>
      <c r="AE60" s="6"/>
      <c r="AF60" s="7"/>
      <c r="AG60" s="6"/>
      <c r="AH60" s="7"/>
      <c r="AI60" s="6"/>
      <c r="AJ60" s="7"/>
      <c r="AK60" s="6"/>
      <c r="AL60" s="7"/>
    </row>
    <row r="61" spans="7:58" x14ac:dyDescent="0.2">
      <c r="G61" s="497"/>
      <c r="J61" s="6">
        <v>2000</v>
      </c>
      <c r="K61" s="6"/>
      <c r="L61" s="223">
        <v>7902.0791045072356</v>
      </c>
      <c r="M61" s="6">
        <v>16</v>
      </c>
      <c r="N61" s="6">
        <v>1998</v>
      </c>
      <c r="O61" s="166">
        <f t="shared" si="20"/>
        <v>13.858295208905085</v>
      </c>
      <c r="P61" s="166">
        <f t="shared" si="21"/>
        <v>25.931505905299023</v>
      </c>
      <c r="Q61" s="160">
        <f t="shared" si="23"/>
        <v>1.871190179917362</v>
      </c>
      <c r="R61" s="160">
        <f t="shared" si="22"/>
        <v>0.62657468826068063</v>
      </c>
      <c r="S61" s="229"/>
      <c r="W61" s="241"/>
      <c r="X61" s="229"/>
      <c r="Y61" s="229"/>
      <c r="Z61" s="229"/>
      <c r="AA61" s="6">
        <v>1999</v>
      </c>
      <c r="AB61" s="256">
        <f t="shared" si="19"/>
        <v>1.516748284978804E-2</v>
      </c>
      <c r="AC61" s="6"/>
      <c r="AD61" s="7"/>
      <c r="AE61" s="6"/>
      <c r="AF61" s="7"/>
      <c r="AG61" s="6"/>
      <c r="AH61" s="7"/>
      <c r="AI61" s="6"/>
      <c r="AJ61" s="7"/>
      <c r="AK61" s="6"/>
      <c r="AL61" s="7"/>
    </row>
    <row r="62" spans="7:58" x14ac:dyDescent="0.2">
      <c r="G62" s="497"/>
      <c r="J62" s="6">
        <v>2001</v>
      </c>
      <c r="K62" s="6"/>
      <c r="L62" s="223">
        <v>9170.5576103125932</v>
      </c>
      <c r="M62" s="6">
        <v>17</v>
      </c>
      <c r="N62" s="6">
        <v>1999</v>
      </c>
      <c r="O62" s="166">
        <f t="shared" si="20"/>
        <v>11.060254266462506</v>
      </c>
      <c r="P62" s="166">
        <f t="shared" si="21"/>
        <v>18.073414521444011</v>
      </c>
      <c r="Q62" s="160">
        <f t="shared" si="23"/>
        <v>1.6340867113920867</v>
      </c>
      <c r="R62" s="160">
        <f t="shared" si="22"/>
        <v>0.49108406197723198</v>
      </c>
      <c r="S62" s="229"/>
      <c r="W62" s="239"/>
      <c r="X62" s="229"/>
      <c r="Y62" s="229"/>
      <c r="Z62" s="229"/>
      <c r="AA62" s="6">
        <v>2000</v>
      </c>
      <c r="AB62" s="256">
        <f t="shared" si="19"/>
        <v>8.8017408263271132E-3</v>
      </c>
      <c r="AC62" s="6"/>
      <c r="AD62" s="7"/>
      <c r="AE62" s="6"/>
      <c r="AF62" s="7"/>
      <c r="AG62" s="6"/>
      <c r="AH62" s="7"/>
      <c r="AI62" s="6"/>
      <c r="AJ62" s="7"/>
      <c r="AK62" s="6"/>
      <c r="AL62" s="7"/>
    </row>
    <row r="63" spans="7:58" x14ac:dyDescent="0.2">
      <c r="G63" s="497"/>
      <c r="J63" s="6">
        <v>2002</v>
      </c>
      <c r="K63" s="6"/>
      <c r="L63" s="25">
        <v>5071</v>
      </c>
      <c r="M63" s="6">
        <v>18</v>
      </c>
      <c r="N63" s="6">
        <v>2000</v>
      </c>
      <c r="O63" s="166">
        <f t="shared" si="20"/>
        <v>8.0106622381146835</v>
      </c>
      <c r="P63" s="166">
        <f t="shared" si="21"/>
        <v>16.796046864597848</v>
      </c>
      <c r="Q63" s="160">
        <f t="shared" si="23"/>
        <v>2.0967114035444356</v>
      </c>
      <c r="R63" s="160">
        <f t="shared" si="22"/>
        <v>0.74037011896021587</v>
      </c>
      <c r="S63" s="229"/>
      <c r="W63" s="239"/>
      <c r="X63" s="229"/>
      <c r="Y63" s="229"/>
      <c r="Z63" s="229"/>
      <c r="AA63" s="6">
        <v>2001</v>
      </c>
      <c r="AB63" s="256">
        <f t="shared" si="19"/>
        <v>2.1742815173730223E-2</v>
      </c>
      <c r="AC63" s="6"/>
      <c r="AD63" s="7"/>
      <c r="AE63" s="6"/>
      <c r="AF63" s="7"/>
      <c r="AG63" s="6"/>
      <c r="AH63" s="7"/>
      <c r="AI63" s="6"/>
      <c r="AJ63" s="7"/>
      <c r="AK63" s="6"/>
      <c r="AL63" s="7"/>
    </row>
    <row r="64" spans="7:58" x14ac:dyDescent="0.2">
      <c r="G64" s="497"/>
      <c r="J64" s="6">
        <v>2003</v>
      </c>
      <c r="K64" s="6"/>
      <c r="L64" s="25">
        <v>7014</v>
      </c>
      <c r="M64" s="6">
        <v>19</v>
      </c>
      <c r="N64" s="6">
        <v>2001</v>
      </c>
      <c r="O64" s="166">
        <f t="shared" si="20"/>
        <v>9.3493445884490498</v>
      </c>
      <c r="P64" s="166">
        <f t="shared" si="21"/>
        <v>10.93085073483444</v>
      </c>
      <c r="Q64" s="160">
        <f t="shared" si="23"/>
        <v>1.1691568998686082</v>
      </c>
      <c r="R64" s="160">
        <f t="shared" si="22"/>
        <v>0.1562828906509427</v>
      </c>
      <c r="S64" s="229"/>
      <c r="W64" s="239"/>
      <c r="X64" s="229"/>
      <c r="Y64" s="229"/>
      <c r="Z64" s="229"/>
      <c r="AA64" s="6">
        <v>2002</v>
      </c>
      <c r="AB64" s="256">
        <f t="shared" si="19"/>
        <v>5.5129000505532277E-4</v>
      </c>
      <c r="AC64" s="6"/>
      <c r="AD64" s="7"/>
      <c r="AE64" s="6"/>
      <c r="AF64" s="7"/>
      <c r="AG64" s="6"/>
      <c r="AH64" s="7"/>
      <c r="AI64" s="6"/>
      <c r="AJ64" s="7"/>
      <c r="AK64" s="6"/>
      <c r="AL64" s="7"/>
    </row>
    <row r="65" spans="7:43" x14ac:dyDescent="0.2">
      <c r="G65" s="497"/>
      <c r="J65" s="6">
        <v>2004</v>
      </c>
      <c r="K65" s="6"/>
      <c r="L65" s="25">
        <v>7813</v>
      </c>
      <c r="M65" s="6">
        <v>20</v>
      </c>
      <c r="N65" s="6">
        <v>2002</v>
      </c>
      <c r="O65" s="166">
        <f t="shared" si="20"/>
        <v>5.0709999999999997</v>
      </c>
      <c r="P65" s="166">
        <f t="shared" si="21"/>
        <v>10.989532167154533</v>
      </c>
      <c r="Q65" s="160">
        <f t="shared" si="23"/>
        <v>2.1671331428031024</v>
      </c>
      <c r="R65" s="160">
        <f t="shared" si="22"/>
        <v>0.77340516173883278</v>
      </c>
      <c r="S65" s="229"/>
      <c r="W65" s="239"/>
      <c r="X65" s="229"/>
      <c r="Y65" s="229"/>
      <c r="Z65" s="229"/>
      <c r="AA65" s="6">
        <v>2003</v>
      </c>
      <c r="AB65" s="256">
        <f t="shared" si="19"/>
        <v>5.450965714418431E-3</v>
      </c>
      <c r="AC65" s="6"/>
      <c r="AD65" s="7"/>
      <c r="AE65" s="6"/>
      <c r="AF65" s="7"/>
      <c r="AG65" s="6"/>
      <c r="AH65" s="7"/>
      <c r="AI65" s="6"/>
      <c r="AJ65" s="7"/>
      <c r="AK65" s="6"/>
      <c r="AL65" s="7"/>
    </row>
    <row r="66" spans="7:43" x14ac:dyDescent="0.2">
      <c r="G66" s="497"/>
      <c r="J66" s="6">
        <v>2005</v>
      </c>
      <c r="K66" s="6"/>
      <c r="L66" s="25">
        <v>7549</v>
      </c>
      <c r="M66" s="6">
        <v>21</v>
      </c>
      <c r="N66" s="6">
        <v>2003</v>
      </c>
      <c r="O66" s="166">
        <f t="shared" si="20"/>
        <v>7.0140000000000002</v>
      </c>
      <c r="P66" s="166">
        <f t="shared" si="21"/>
        <v>7.2966125617805062</v>
      </c>
      <c r="Q66" s="160">
        <f t="shared" si="23"/>
        <v>1.0402926378358293</v>
      </c>
      <c r="R66" s="160">
        <f t="shared" si="22"/>
        <v>3.950205610709185E-2</v>
      </c>
      <c r="S66" s="229"/>
      <c r="W66" s="239"/>
      <c r="X66" s="229"/>
      <c r="Y66" s="229"/>
      <c r="Z66" s="229"/>
      <c r="AA66" s="6">
        <v>2004</v>
      </c>
      <c r="AB66" s="256">
        <f t="shared" si="19"/>
        <v>1.5874689250451317E-2</v>
      </c>
      <c r="AC66" s="6"/>
      <c r="AD66" s="7"/>
      <c r="AE66" s="6"/>
      <c r="AF66" s="7"/>
      <c r="AG66" s="6"/>
      <c r="AH66" s="7"/>
      <c r="AI66" s="6"/>
      <c r="AJ66" s="7"/>
      <c r="AK66" s="6"/>
      <c r="AL66" s="7"/>
    </row>
    <row r="67" spans="7:43" x14ac:dyDescent="0.2">
      <c r="G67" s="497"/>
      <c r="J67" s="6">
        <v>2006</v>
      </c>
      <c r="K67" s="6"/>
      <c r="L67" s="25">
        <v>4165</v>
      </c>
      <c r="M67" s="6">
        <v>22</v>
      </c>
      <c r="N67" s="6">
        <v>2004</v>
      </c>
      <c r="O67" s="166">
        <f t="shared" si="20"/>
        <v>7.8129999999999997</v>
      </c>
      <c r="P67" s="166">
        <f t="shared" si="21"/>
        <v>8.2504473703151433</v>
      </c>
      <c r="Q67" s="160">
        <f t="shared" si="23"/>
        <v>1.0559896800608144</v>
      </c>
      <c r="R67" s="160">
        <f t="shared" si="22"/>
        <v>5.4478412566633543E-2</v>
      </c>
      <c r="S67" s="229"/>
      <c r="W67" s="239"/>
      <c r="X67" s="240"/>
      <c r="Y67" s="240"/>
      <c r="Z67" s="240"/>
      <c r="AA67" s="6">
        <v>2005</v>
      </c>
      <c r="AB67" s="256">
        <f t="shared" si="19"/>
        <v>1.5222692506893308E-2</v>
      </c>
    </row>
    <row r="68" spans="7:43" x14ac:dyDescent="0.2">
      <c r="G68" s="497"/>
      <c r="J68" s="6">
        <v>2007</v>
      </c>
      <c r="K68" s="6"/>
      <c r="L68" s="25">
        <v>3099</v>
      </c>
      <c r="M68" s="6">
        <v>23</v>
      </c>
      <c r="N68" s="6">
        <v>2005</v>
      </c>
      <c r="O68" s="166">
        <f t="shared" si="20"/>
        <v>7.5490000000000004</v>
      </c>
      <c r="P68" s="166">
        <f t="shared" si="21"/>
        <v>13.128442869048655</v>
      </c>
      <c r="Q68" s="160">
        <f t="shared" si="23"/>
        <v>1.7390969491387807</v>
      </c>
      <c r="R68" s="160">
        <f t="shared" si="22"/>
        <v>0.55336598375422008</v>
      </c>
      <c r="S68" s="158"/>
      <c r="W68" s="158"/>
      <c r="X68" s="158"/>
      <c r="Y68" s="257"/>
      <c r="Z68" s="257"/>
      <c r="AA68" s="258" t="s">
        <v>137</v>
      </c>
      <c r="AB68" s="226" t="e">
        <f>SUM(R35,T35,V35)/(1-(MEDIAN(AB45:AB67)))</f>
        <v>#VALUE!</v>
      </c>
    </row>
    <row r="69" spans="7:43" x14ac:dyDescent="0.2">
      <c r="G69" s="497"/>
      <c r="J69" s="6">
        <v>2008</v>
      </c>
      <c r="K69" s="6"/>
      <c r="L69" s="25">
        <v>1763</v>
      </c>
      <c r="M69" s="6">
        <v>24</v>
      </c>
      <c r="N69" s="6">
        <v>2006</v>
      </c>
      <c r="O69" s="166">
        <f t="shared" si="20"/>
        <v>4.165</v>
      </c>
      <c r="P69" s="166" t="e">
        <f t="shared" si="21"/>
        <v>#VALUE!</v>
      </c>
      <c r="Q69" s="160" t="e">
        <f t="shared" si="23"/>
        <v>#VALUE!</v>
      </c>
      <c r="R69" s="160" t="e">
        <f t="shared" si="22"/>
        <v>#VALUE!</v>
      </c>
      <c r="S69" s="158"/>
      <c r="W69" s="157"/>
      <c r="X69" s="158"/>
      <c r="Y69" s="158"/>
      <c r="Z69" s="158"/>
      <c r="AA69" s="205"/>
      <c r="AB69" s="205"/>
    </row>
    <row r="70" spans="7:43" x14ac:dyDescent="0.2">
      <c r="G70" s="497"/>
      <c r="H70" s="7"/>
      <c r="J70" s="6">
        <v>2009</v>
      </c>
      <c r="K70" s="6"/>
      <c r="L70" s="25">
        <v>3689</v>
      </c>
      <c r="N70" s="157"/>
      <c r="O70" s="158"/>
      <c r="P70" s="157"/>
      <c r="Q70" s="158"/>
      <c r="R70" s="157"/>
      <c r="S70" s="158"/>
      <c r="Y70" s="7"/>
      <c r="Z70" s="7"/>
      <c r="AB70" s="7"/>
      <c r="AC70" s="6"/>
      <c r="AD70" s="7"/>
      <c r="AE70" s="6"/>
      <c r="AF70" s="7"/>
      <c r="AG70" s="6"/>
      <c r="AI70" s="6"/>
      <c r="AK70" s="6"/>
      <c r="AM70" s="6"/>
      <c r="AO70" s="6"/>
      <c r="AQ70" s="6"/>
    </row>
    <row r="71" spans="7:43" x14ac:dyDescent="0.2">
      <c r="G71" s="497"/>
      <c r="J71" s="6">
        <v>2010</v>
      </c>
      <c r="K71" s="6"/>
      <c r="L71" s="15">
        <v>5640</v>
      </c>
      <c r="N71" s="159" t="s">
        <v>98</v>
      </c>
      <c r="O71" s="6" t="s">
        <v>96</v>
      </c>
      <c r="P71" s="6" t="s">
        <v>97</v>
      </c>
      <c r="Q71" s="6" t="s">
        <v>43</v>
      </c>
      <c r="R71" s="6" t="s">
        <v>99</v>
      </c>
      <c r="S71" s="6"/>
      <c r="Y71" s="7"/>
      <c r="Z71" s="7"/>
      <c r="AB71" s="7"/>
      <c r="AC71" s="6"/>
      <c r="AD71" s="7"/>
      <c r="AE71" s="6"/>
      <c r="AF71" s="7"/>
      <c r="AG71" s="6"/>
      <c r="AI71" s="6"/>
      <c r="AK71" s="6"/>
      <c r="AM71" s="6"/>
      <c r="AO71" s="6"/>
      <c r="AQ71" s="6"/>
    </row>
    <row r="72" spans="7:43" x14ac:dyDescent="0.2">
      <c r="G72" s="497"/>
      <c r="J72" s="1">
        <v>2011</v>
      </c>
      <c r="K72" s="481"/>
      <c r="L72" s="15">
        <v>4777</v>
      </c>
      <c r="M72" s="6">
        <v>1</v>
      </c>
      <c r="N72" s="6">
        <v>1983</v>
      </c>
      <c r="O72" s="166">
        <v>10.484</v>
      </c>
      <c r="P72" s="166">
        <v>4.7346896559693805</v>
      </c>
      <c r="Q72" s="160">
        <v>0.45161099351100537</v>
      </c>
      <c r="R72" s="160">
        <v>-0.79493410353303084</v>
      </c>
      <c r="S72" s="6"/>
      <c r="Y72" s="7"/>
      <c r="Z72" s="7"/>
      <c r="AB72" s="7"/>
      <c r="AC72" s="6"/>
      <c r="AD72" s="7"/>
      <c r="AE72" s="6"/>
      <c r="AF72" s="7"/>
      <c r="AG72" s="6"/>
      <c r="AI72" s="6"/>
      <c r="AK72" s="6"/>
      <c r="AM72" s="6"/>
      <c r="AO72" s="6"/>
      <c r="AQ72" s="6"/>
    </row>
    <row r="73" spans="7:43" x14ac:dyDescent="0.2">
      <c r="G73" s="497"/>
      <c r="J73" s="6">
        <v>2012</v>
      </c>
      <c r="K73" s="6"/>
      <c r="L73" s="15">
        <v>5681</v>
      </c>
      <c r="M73" s="6">
        <v>2</v>
      </c>
      <c r="N73" s="6">
        <v>1984</v>
      </c>
      <c r="O73" s="166">
        <v>10.432762681405464</v>
      </c>
      <c r="P73" s="166">
        <v>17.200159281273468</v>
      </c>
      <c r="Q73" s="160">
        <v>1.6486677408975936</v>
      </c>
      <c r="R73" s="160">
        <v>0.49996753200647481</v>
      </c>
      <c r="S73" s="6"/>
      <c r="Y73" s="7"/>
      <c r="Z73" s="7"/>
      <c r="AB73" s="7"/>
      <c r="AC73" s="6"/>
      <c r="AD73" s="7"/>
      <c r="AE73" s="6"/>
      <c r="AF73" s="7"/>
      <c r="AG73" s="6"/>
      <c r="AI73" s="6"/>
      <c r="AK73" s="6"/>
      <c r="AM73" s="6"/>
      <c r="AO73" s="6"/>
      <c r="AQ73" s="6"/>
    </row>
    <row r="74" spans="7:43" x14ac:dyDescent="0.2">
      <c r="G74" s="497"/>
      <c r="J74" s="6">
        <v>2013</v>
      </c>
      <c r="K74" s="6"/>
      <c r="L74" s="15">
        <v>6426</v>
      </c>
      <c r="M74" s="6">
        <v>3</v>
      </c>
      <c r="N74" s="6">
        <v>1985</v>
      </c>
      <c r="O74" s="166">
        <v>8.3929966800404738</v>
      </c>
      <c r="P74" s="166">
        <v>18.608972291559947</v>
      </c>
      <c r="Q74" s="160">
        <v>2.217202389203162</v>
      </c>
      <c r="R74" s="160">
        <v>0.79624621613967839</v>
      </c>
      <c r="S74" s="6"/>
      <c r="Y74" s="7"/>
      <c r="Z74" s="7"/>
      <c r="AB74" s="7"/>
      <c r="AC74" s="6"/>
      <c r="AD74" s="7"/>
      <c r="AE74" s="6"/>
      <c r="AF74" s="7"/>
      <c r="AG74" s="6"/>
      <c r="AI74" s="6"/>
      <c r="AK74" s="6"/>
      <c r="AM74" s="6"/>
      <c r="AO74" s="6"/>
      <c r="AQ74" s="6"/>
    </row>
    <row r="75" spans="7:43" x14ac:dyDescent="0.2">
      <c r="G75" s="497"/>
      <c r="J75" s="251" t="s">
        <v>135</v>
      </c>
      <c r="K75" s="251"/>
      <c r="L75" s="15">
        <f>MAX(L46:L74)/MIN(L46:L74)</f>
        <v>40.596646783860308</v>
      </c>
      <c r="M75" s="6">
        <v>4</v>
      </c>
      <c r="N75" s="6">
        <v>1986</v>
      </c>
      <c r="O75" s="166">
        <v>6.9801109536234103</v>
      </c>
      <c r="P75" s="166">
        <v>12.153394438944732</v>
      </c>
      <c r="Q75" s="160">
        <v>1.7411463112396293</v>
      </c>
      <c r="R75" s="160">
        <v>0.55454369587627383</v>
      </c>
      <c r="S75" s="6"/>
      <c r="Y75" s="7"/>
      <c r="Z75" s="7"/>
      <c r="AB75" s="7"/>
      <c r="AC75" s="6"/>
      <c r="AD75" s="7"/>
      <c r="AE75" s="6"/>
      <c r="AF75" s="7"/>
      <c r="AG75" s="6"/>
      <c r="AI75" s="6"/>
      <c r="AK75" s="6"/>
      <c r="AM75" s="6"/>
      <c r="AO75" s="6"/>
      <c r="AQ75" s="6"/>
    </row>
    <row r="76" spans="7:43" x14ac:dyDescent="0.2">
      <c r="G76" s="497"/>
      <c r="J76" s="252" t="s">
        <v>136</v>
      </c>
      <c r="K76" s="252"/>
      <c r="L76" s="15">
        <f>PERCENTILE($L$46:$L$74,0.15)</f>
        <v>3784.2000000000003</v>
      </c>
      <c r="M76" s="6">
        <v>5</v>
      </c>
      <c r="N76" s="6">
        <v>1987</v>
      </c>
      <c r="O76" s="166">
        <v>11.159339942980553</v>
      </c>
      <c r="P76" s="166">
        <v>14.075113138311192</v>
      </c>
      <c r="Q76" s="160">
        <v>1.2612854532820927</v>
      </c>
      <c r="R76" s="160">
        <v>0.23213140192953705</v>
      </c>
      <c r="S76" s="6"/>
      <c r="Y76" s="7"/>
      <c r="Z76" s="7"/>
      <c r="AB76" s="7"/>
      <c r="AC76" s="6"/>
      <c r="AD76" s="7"/>
      <c r="AE76" s="6"/>
      <c r="AF76" s="7"/>
      <c r="AG76" s="6"/>
      <c r="AI76" s="6"/>
      <c r="AK76" s="6"/>
      <c r="AM76" s="6"/>
      <c r="AO76" s="6"/>
      <c r="AQ76" s="6"/>
    </row>
    <row r="77" spans="7:43" x14ac:dyDescent="0.2">
      <c r="G77" s="497"/>
      <c r="J77" s="251" t="s">
        <v>132</v>
      </c>
      <c r="K77" s="251"/>
      <c r="L77" s="15">
        <f>PERCENTILE($L$46:$L$74,0.2)</f>
        <v>4532.2000000000007</v>
      </c>
      <c r="M77" s="6">
        <v>6</v>
      </c>
      <c r="N77" s="6">
        <v>1989</v>
      </c>
      <c r="O77" s="166">
        <v>11.817916894939223</v>
      </c>
      <c r="P77" s="166">
        <v>15.236743753215752</v>
      </c>
      <c r="Q77" s="160">
        <v>1.2892918344806239</v>
      </c>
      <c r="R77" s="160">
        <v>0.25409310211794539</v>
      </c>
      <c r="S77" s="6"/>
      <c r="Y77" s="7"/>
      <c r="Z77" s="7"/>
      <c r="AB77" s="7"/>
      <c r="AC77" s="6"/>
      <c r="AD77" s="7"/>
      <c r="AE77" s="6"/>
      <c r="AF77" s="7"/>
      <c r="AG77" s="6"/>
      <c r="AI77" s="6"/>
      <c r="AK77" s="6"/>
      <c r="AM77" s="6"/>
      <c r="AO77" s="6"/>
      <c r="AQ77" s="6"/>
    </row>
    <row r="78" spans="7:43" x14ac:dyDescent="0.2">
      <c r="G78" s="497"/>
      <c r="J78" s="251" t="s">
        <v>133</v>
      </c>
      <c r="K78" s="251"/>
      <c r="L78" s="15">
        <f>PERCENTILE($L$46:$L$74,0.25)</f>
        <v>5071</v>
      </c>
      <c r="M78" s="6">
        <v>7</v>
      </c>
      <c r="N78" s="6">
        <v>1990</v>
      </c>
      <c r="O78" s="166">
        <v>20.002597400903039</v>
      </c>
      <c r="P78" s="166">
        <v>8.1538324883571924</v>
      </c>
      <c r="Q78" s="160">
        <v>0.40763868436351569</v>
      </c>
      <c r="R78" s="160">
        <v>-0.897374074473826</v>
      </c>
      <c r="S78" s="6"/>
      <c r="Y78" s="7"/>
      <c r="Z78" s="7"/>
      <c r="AB78" s="7"/>
      <c r="AC78" s="6"/>
      <c r="AD78" s="7"/>
      <c r="AE78" s="6"/>
      <c r="AF78" s="7"/>
      <c r="AG78" s="6"/>
      <c r="AI78" s="6"/>
      <c r="AK78" s="6"/>
      <c r="AM78" s="6"/>
      <c r="AO78" s="6"/>
      <c r="AQ78" s="6"/>
    </row>
    <row r="79" spans="7:43" x14ac:dyDescent="0.2">
      <c r="G79" s="497"/>
      <c r="J79" s="6"/>
      <c r="K79" s="6"/>
      <c r="L79" s="6"/>
      <c r="M79" s="6">
        <v>8</v>
      </c>
      <c r="N79" s="6">
        <v>1992</v>
      </c>
      <c r="O79" s="166">
        <v>9.6957855621793083</v>
      </c>
      <c r="P79" s="166">
        <v>6.2918071041864101</v>
      </c>
      <c r="Q79" s="160">
        <v>0.64892184999728997</v>
      </c>
      <c r="R79" s="160">
        <v>-0.43244298555746813</v>
      </c>
      <c r="S79" s="6"/>
      <c r="Y79" s="7"/>
      <c r="Z79" s="7"/>
      <c r="AB79" s="7"/>
      <c r="AC79" s="6"/>
      <c r="AD79" s="7"/>
      <c r="AE79" s="6"/>
      <c r="AF79" s="7"/>
      <c r="AG79" s="6"/>
      <c r="AI79" s="6"/>
      <c r="AK79" s="6"/>
      <c r="AM79" s="6"/>
      <c r="AO79" s="6"/>
      <c r="AQ79" s="6"/>
    </row>
    <row r="80" spans="7:43" x14ac:dyDescent="0.2">
      <c r="G80" s="497"/>
      <c r="J80" s="6"/>
      <c r="K80" s="6"/>
      <c r="L80" s="6"/>
      <c r="M80" s="6">
        <v>9</v>
      </c>
      <c r="N80" s="238">
        <v>1993</v>
      </c>
      <c r="O80" s="166">
        <v>22.92358362780357</v>
      </c>
      <c r="P80" s="166">
        <v>12.555020452576176</v>
      </c>
      <c r="Q80" s="160">
        <v>0.54769012805434292</v>
      </c>
      <c r="R80" s="160">
        <v>-0.60204561172163051</v>
      </c>
      <c r="S80" s="6"/>
      <c r="Y80" s="7"/>
      <c r="Z80" s="7"/>
      <c r="AB80" s="7"/>
      <c r="AC80" s="6"/>
      <c r="AD80" s="7"/>
      <c r="AE80" s="6"/>
      <c r="AF80" s="7"/>
      <c r="AG80" s="6"/>
      <c r="AI80" s="6"/>
      <c r="AK80" s="6"/>
      <c r="AM80" s="6"/>
      <c r="AO80" s="6"/>
      <c r="AQ80" s="6"/>
    </row>
    <row r="81" spans="7:43" x14ac:dyDescent="0.2">
      <c r="G81" s="497"/>
      <c r="J81" s="6"/>
      <c r="K81" s="6"/>
      <c r="L81" s="6"/>
      <c r="M81" s="6">
        <v>10</v>
      </c>
      <c r="N81" s="238">
        <v>1994</v>
      </c>
      <c r="O81" s="166">
        <v>1.3451459809859465</v>
      </c>
      <c r="P81" s="166">
        <v>16.000562776259134</v>
      </c>
      <c r="Q81" s="160">
        <v>11.895038161234561</v>
      </c>
      <c r="R81" s="160">
        <v>2.4761213519241809</v>
      </c>
      <c r="S81" s="6"/>
      <c r="Y81" s="7"/>
      <c r="Z81" s="7"/>
      <c r="AB81" s="7"/>
      <c r="AC81" s="6"/>
      <c r="AD81" s="7"/>
      <c r="AE81" s="6"/>
      <c r="AF81" s="7"/>
      <c r="AG81" s="6"/>
      <c r="AI81" s="6"/>
      <c r="AK81" s="6"/>
      <c r="AM81" s="6"/>
      <c r="AO81" s="6"/>
      <c r="AQ81" s="6"/>
    </row>
    <row r="82" spans="7:43" x14ac:dyDescent="0.2">
      <c r="G82" s="497"/>
      <c r="J82" s="6"/>
      <c r="K82" s="6"/>
      <c r="L82" s="6"/>
      <c r="M82" s="6">
        <v>11</v>
      </c>
      <c r="N82" s="6">
        <v>1995</v>
      </c>
      <c r="O82" s="166">
        <v>6.4978485446877059</v>
      </c>
      <c r="P82" s="166">
        <v>14.510256622406015</v>
      </c>
      <c r="Q82" s="160">
        <v>2.2330863088935531</v>
      </c>
      <c r="R82" s="160">
        <v>0.80338462365318886</v>
      </c>
      <c r="S82" s="6"/>
      <c r="Y82" s="7"/>
      <c r="Z82" s="7"/>
      <c r="AB82" s="7"/>
      <c r="AC82" s="6"/>
      <c r="AD82" s="7"/>
      <c r="AE82" s="6"/>
      <c r="AF82" s="7"/>
      <c r="AG82" s="6"/>
      <c r="AI82" s="6"/>
      <c r="AK82" s="6"/>
      <c r="AM82" s="6"/>
      <c r="AO82" s="6"/>
      <c r="AQ82" s="6"/>
    </row>
    <row r="83" spans="7:43" x14ac:dyDescent="0.2">
      <c r="G83" s="497"/>
      <c r="J83" s="6"/>
      <c r="K83" s="6"/>
      <c r="L83" s="6"/>
      <c r="M83" s="6">
        <v>12</v>
      </c>
      <c r="N83" s="6">
        <v>1996</v>
      </c>
      <c r="O83" s="166">
        <v>9.9073624666802864</v>
      </c>
      <c r="P83" s="166">
        <v>19.339859243955789</v>
      </c>
      <c r="Q83" s="160">
        <v>1.9520694139331416</v>
      </c>
      <c r="R83" s="160">
        <v>0.66889004777521255</v>
      </c>
      <c r="S83" s="6"/>
      <c r="W83" s="155"/>
      <c r="X83" s="156"/>
      <c r="Y83" s="21"/>
      <c r="Z83" s="21"/>
      <c r="AA83" s="21"/>
      <c r="AB83" s="21"/>
    </row>
    <row r="84" spans="7:43" x14ac:dyDescent="0.2">
      <c r="G84" s="497"/>
      <c r="J84" s="6"/>
      <c r="K84" s="6"/>
      <c r="L84" s="6"/>
      <c r="M84" s="6">
        <v>13</v>
      </c>
      <c r="N84" s="6">
        <v>1997</v>
      </c>
      <c r="O84" s="166">
        <v>5.747422990102053</v>
      </c>
      <c r="P84" s="166">
        <v>11.896034629787861</v>
      </c>
      <c r="Q84" s="160">
        <v>2.0698032231618697</v>
      </c>
      <c r="R84" s="160">
        <v>0.72745354148420927</v>
      </c>
      <c r="S84" s="156"/>
      <c r="W84" s="154"/>
      <c r="X84" s="156"/>
      <c r="Y84" s="21"/>
      <c r="Z84" s="21"/>
      <c r="AA84" s="21"/>
      <c r="AB84" s="21"/>
    </row>
    <row r="85" spans="7:43" x14ac:dyDescent="0.2">
      <c r="G85" s="497"/>
      <c r="J85" s="6"/>
      <c r="K85" s="6"/>
      <c r="L85" s="6"/>
      <c r="M85" s="6">
        <v>14</v>
      </c>
      <c r="N85" s="6">
        <v>1998</v>
      </c>
      <c r="O85" s="166">
        <v>15.806348498038611</v>
      </c>
      <c r="P85" s="166">
        <v>24.059660015396339</v>
      </c>
      <c r="Q85" s="160">
        <v>1.5221516859749025</v>
      </c>
      <c r="R85" s="160">
        <v>0.42012491674351538</v>
      </c>
      <c r="S85" s="156"/>
      <c r="W85" s="154"/>
      <c r="X85" s="156"/>
      <c r="Y85" s="21"/>
      <c r="Z85" s="21"/>
      <c r="AA85" s="21"/>
      <c r="AB85" s="21"/>
    </row>
    <row r="86" spans="7:43" x14ac:dyDescent="0.2">
      <c r="G86" s="497"/>
      <c r="J86" s="6"/>
      <c r="K86" s="6"/>
      <c r="L86" s="6"/>
      <c r="M86" s="6">
        <v>15</v>
      </c>
      <c r="N86" s="6">
        <v>1999</v>
      </c>
      <c r="O86" s="166">
        <v>12.018320824530942</v>
      </c>
      <c r="P86" s="166">
        <v>16.937468125373318</v>
      </c>
      <c r="Q86" s="160">
        <v>1.4093040427745749</v>
      </c>
      <c r="R86" s="160">
        <v>0.3430959958513719</v>
      </c>
      <c r="S86" s="156"/>
      <c r="W86" s="154"/>
      <c r="X86" s="156"/>
      <c r="Y86" s="21"/>
      <c r="Z86" s="21"/>
      <c r="AA86" s="21"/>
      <c r="AB86" s="21"/>
    </row>
    <row r="87" spans="7:43" x14ac:dyDescent="0.2">
      <c r="G87" s="497"/>
      <c r="J87" s="6"/>
      <c r="K87" s="6"/>
      <c r="L87" s="6"/>
      <c r="M87" s="6">
        <v>16</v>
      </c>
      <c r="N87" s="6">
        <v>2000</v>
      </c>
      <c r="O87" s="166">
        <v>7.9020791045072354</v>
      </c>
      <c r="P87" s="166">
        <v>15.599108142454519</v>
      </c>
      <c r="Q87" s="160">
        <v>1.9740511245397436</v>
      </c>
      <c r="R87" s="160">
        <v>0.68008783963222141</v>
      </c>
      <c r="S87" s="156"/>
      <c r="W87" s="154"/>
      <c r="X87" s="156"/>
      <c r="Y87" s="21"/>
      <c r="Z87" s="21"/>
      <c r="AA87" s="21"/>
      <c r="AB87" s="21"/>
    </row>
    <row r="88" spans="7:43" x14ac:dyDescent="0.2">
      <c r="G88" s="497"/>
      <c r="J88" s="6"/>
      <c r="K88" s="6"/>
      <c r="L88" s="6"/>
      <c r="M88" s="6">
        <v>17</v>
      </c>
      <c r="N88" s="6">
        <v>2001</v>
      </c>
      <c r="O88" s="166">
        <v>9.1705576103125939</v>
      </c>
      <c r="P88" s="166">
        <v>9.931576970969326</v>
      </c>
      <c r="Q88" s="160">
        <v>1.0829850695012202</v>
      </c>
      <c r="R88" s="160">
        <v>7.9721181683028566E-2</v>
      </c>
      <c r="S88" s="156"/>
      <c r="W88" s="154"/>
      <c r="X88" s="156"/>
      <c r="Y88" s="21"/>
      <c r="Z88" s="21"/>
      <c r="AA88" s="21"/>
      <c r="AB88" s="21"/>
    </row>
    <row r="89" spans="7:43" x14ac:dyDescent="0.2">
      <c r="G89" s="497"/>
      <c r="J89" s="6"/>
      <c r="K89" s="6"/>
      <c r="L89" s="6"/>
      <c r="M89" s="6">
        <v>18</v>
      </c>
      <c r="N89" s="6">
        <v>2002</v>
      </c>
      <c r="O89" s="166">
        <v>5.0709999999999997</v>
      </c>
      <c r="P89" s="166">
        <v>10.068477941966847</v>
      </c>
      <c r="Q89" s="160">
        <v>1.9855014675541012</v>
      </c>
      <c r="R89" s="160">
        <v>0.685871510724681</v>
      </c>
      <c r="S89" s="156"/>
      <c r="W89" s="154"/>
      <c r="X89" s="21"/>
      <c r="Y89" s="21"/>
      <c r="Z89" s="21"/>
      <c r="AA89" s="21"/>
      <c r="AB89" s="21"/>
    </row>
    <row r="90" spans="7:43" x14ac:dyDescent="0.2">
      <c r="G90" s="497"/>
      <c r="L90" s="6"/>
      <c r="M90" s="6">
        <v>19</v>
      </c>
      <c r="N90" s="6">
        <v>2003</v>
      </c>
      <c r="O90" s="166">
        <v>7.0140000000000002</v>
      </c>
      <c r="P90" s="166">
        <v>7.1678796766949313</v>
      </c>
      <c r="Q90" s="160">
        <v>1.0219389330902384</v>
      </c>
      <c r="R90" s="160">
        <v>2.1701737638381399E-2</v>
      </c>
      <c r="S90" s="21"/>
    </row>
    <row r="91" spans="7:43" x14ac:dyDescent="0.2">
      <c r="G91" s="497"/>
      <c r="L91" s="6"/>
      <c r="M91" s="6">
        <v>20</v>
      </c>
      <c r="N91" s="6">
        <v>2004</v>
      </c>
      <c r="O91" s="166">
        <v>7.8129999999999997</v>
      </c>
      <c r="P91" s="166">
        <v>8.239446369242323</v>
      </c>
      <c r="Q91" s="160">
        <v>1.054581642037927</v>
      </c>
      <c r="R91" s="160">
        <v>5.3144140450797843E-2</v>
      </c>
      <c r="S91" s="6"/>
      <c r="X91" s="56"/>
    </row>
    <row r="92" spans="7:43" x14ac:dyDescent="0.2">
      <c r="G92" s="497"/>
      <c r="M92" s="6">
        <v>21</v>
      </c>
      <c r="N92" s="6">
        <v>2005</v>
      </c>
      <c r="O92" s="166">
        <v>7.5490000000000004</v>
      </c>
      <c r="P92" s="166">
        <v>12.943451541339453</v>
      </c>
      <c r="Q92" s="160">
        <v>1.7145915407788386</v>
      </c>
      <c r="R92" s="160">
        <v>0.53917488360917143</v>
      </c>
      <c r="S92" s="56"/>
      <c r="V92" s="56"/>
      <c r="X92" s="56"/>
    </row>
    <row r="93" spans="7:43" x14ac:dyDescent="0.2">
      <c r="G93" s="497"/>
      <c r="M93" s="6">
        <v>22</v>
      </c>
      <c r="N93" s="6">
        <v>2006</v>
      </c>
      <c r="O93" s="166">
        <v>4.165</v>
      </c>
      <c r="P93" s="166">
        <v>7.5610642263393624</v>
      </c>
      <c r="Q93" s="160">
        <v>1.8153815669482263</v>
      </c>
      <c r="R93" s="160">
        <v>0.59629567534518313</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4"/>
  <sheetViews>
    <sheetView showGridLines="0" workbookViewId="0">
      <selection activeCell="G17" sqref="G17"/>
    </sheetView>
  </sheetViews>
  <sheetFormatPr defaultRowHeight="15" x14ac:dyDescent="0.25"/>
  <cols>
    <col min="1" max="1" width="36.28515625" style="300" customWidth="1"/>
    <col min="2" max="2" width="22.42578125" style="300" bestFit="1" customWidth="1"/>
    <col min="3" max="3" width="9" style="300" bestFit="1" customWidth="1"/>
    <col min="4" max="4" width="9.7109375" style="300" bestFit="1" customWidth="1"/>
    <col min="5" max="8" width="9" style="300" bestFit="1" customWidth="1"/>
    <col min="9" max="9" width="9.7109375" style="300" bestFit="1" customWidth="1"/>
    <col min="10" max="10" width="9" style="300" bestFit="1" customWidth="1"/>
    <col min="11" max="11" width="9" style="300" customWidth="1"/>
    <col min="12" max="13" width="9" style="300" bestFit="1" customWidth="1"/>
    <col min="14" max="14" width="9.7109375" style="300" bestFit="1" customWidth="1"/>
    <col min="15" max="15" width="9" style="300" bestFit="1" customWidth="1"/>
    <col min="16" max="16" width="9.7109375" style="300" bestFit="1" customWidth="1"/>
    <col min="17" max="17" width="9" style="300" bestFit="1" customWidth="1"/>
    <col min="18" max="18" width="12" bestFit="1" customWidth="1"/>
  </cols>
  <sheetData>
    <row r="1" spans="1:17" x14ac:dyDescent="0.25">
      <c r="A1" s="404" t="s">
        <v>161</v>
      </c>
    </row>
    <row r="2" spans="1:17" ht="15.75" x14ac:dyDescent="0.25">
      <c r="A2" s="417" t="s">
        <v>66</v>
      </c>
      <c r="B2" s="418"/>
      <c r="C2" s="418"/>
      <c r="D2" s="418"/>
      <c r="E2" s="418"/>
      <c r="F2" s="418"/>
      <c r="G2" s="418"/>
      <c r="H2" s="418"/>
      <c r="I2" s="418"/>
      <c r="J2" s="418"/>
      <c r="K2" s="418"/>
      <c r="L2" s="418"/>
      <c r="M2" s="418"/>
      <c r="N2" s="418"/>
      <c r="O2" s="418"/>
      <c r="P2" s="418"/>
      <c r="Q2" s="418"/>
    </row>
    <row r="3" spans="1:17" x14ac:dyDescent="0.25">
      <c r="A3" s="419" t="s">
        <v>114</v>
      </c>
      <c r="B3" s="466"/>
      <c r="C3" s="466"/>
      <c r="D3" s="466"/>
      <c r="E3" s="466"/>
      <c r="F3" s="466"/>
      <c r="G3" s="466"/>
      <c r="H3" s="466"/>
      <c r="I3" s="466"/>
      <c r="J3" s="466"/>
      <c r="K3" s="553" t="s">
        <v>197</v>
      </c>
      <c r="L3" s="466"/>
      <c r="M3" s="466"/>
      <c r="N3" s="466"/>
      <c r="O3" s="466"/>
      <c r="P3" s="466"/>
      <c r="Q3" s="466"/>
    </row>
    <row r="4" spans="1:17" x14ac:dyDescent="0.25">
      <c r="A4" s="460" t="s">
        <v>10</v>
      </c>
      <c r="B4" s="420">
        <v>1984</v>
      </c>
      <c r="C4" s="453">
        <v>1985</v>
      </c>
      <c r="D4" s="453">
        <v>1986</v>
      </c>
      <c r="E4" s="453">
        <v>1987</v>
      </c>
      <c r="F4" s="420">
        <v>1988</v>
      </c>
      <c r="G4" s="420">
        <v>1989</v>
      </c>
      <c r="H4" s="453">
        <v>1990</v>
      </c>
      <c r="I4" s="453">
        <v>1991</v>
      </c>
      <c r="J4" s="453">
        <v>1992</v>
      </c>
      <c r="K4" s="554">
        <v>1995</v>
      </c>
      <c r="L4" s="420">
        <v>1996</v>
      </c>
      <c r="M4" s="420">
        <v>1997</v>
      </c>
      <c r="N4" s="453">
        <v>1998</v>
      </c>
      <c r="O4" s="453">
        <v>1999</v>
      </c>
      <c r="P4" s="420">
        <v>2000</v>
      </c>
      <c r="Q4" s="420">
        <v>2001</v>
      </c>
    </row>
    <row r="5" spans="1:17" x14ac:dyDescent="0.25">
      <c r="A5" s="465" t="s">
        <v>67</v>
      </c>
      <c r="B5" s="421">
        <v>40794</v>
      </c>
      <c r="C5" s="421">
        <v>40784</v>
      </c>
      <c r="D5" s="421">
        <v>40784</v>
      </c>
      <c r="E5" s="421">
        <v>40782</v>
      </c>
      <c r="F5" s="421">
        <v>40786</v>
      </c>
      <c r="G5" s="421">
        <v>40791</v>
      </c>
      <c r="H5" s="421">
        <v>40784</v>
      </c>
      <c r="I5" s="421">
        <v>40784</v>
      </c>
      <c r="J5" s="421">
        <v>40781</v>
      </c>
      <c r="K5" s="555">
        <v>40756</v>
      </c>
      <c r="L5" s="421">
        <v>40787</v>
      </c>
      <c r="M5" s="421">
        <v>40787</v>
      </c>
      <c r="N5" s="421">
        <v>40782</v>
      </c>
      <c r="O5" s="421">
        <v>40785</v>
      </c>
      <c r="P5" s="421">
        <v>40786</v>
      </c>
      <c r="Q5" s="421">
        <v>40787</v>
      </c>
    </row>
    <row r="6" spans="1:17" x14ac:dyDescent="0.25">
      <c r="A6" s="465" t="s">
        <v>68</v>
      </c>
      <c r="B6" s="422">
        <f>'Daily Weir Counts'!C6</f>
        <v>9764</v>
      </c>
      <c r="C6" s="422">
        <f>'Daily Weir Counts'!D6</f>
        <v>7073</v>
      </c>
      <c r="D6" s="422">
        <f>'Daily Weir Counts'!E6</f>
        <v>5857</v>
      </c>
      <c r="E6" s="422">
        <f>'Daily Weir Counts'!F6</f>
        <v>9353</v>
      </c>
      <c r="F6" s="422">
        <f>'Daily Weir Counts'!G6</f>
        <v>969</v>
      </c>
      <c r="G6" s="422">
        <f>'Daily Weir Counts'!H6</f>
        <v>12854</v>
      </c>
      <c r="H6" s="422">
        <f>'Daily Weir Counts'!I6</f>
        <v>18095</v>
      </c>
      <c r="I6" s="422">
        <f>'Daily Weir Counts'!J6</f>
        <v>299</v>
      </c>
      <c r="J6" s="422">
        <f>'Daily Weir Counts'!K6</f>
        <v>9439</v>
      </c>
      <c r="K6" s="556">
        <f>'Daily Weir Counts'!N4</f>
        <v>7668</v>
      </c>
      <c r="L6" s="422">
        <f>'Daily Weir Counts'!O6</f>
        <v>10442</v>
      </c>
      <c r="M6" s="422">
        <f>'Daily Weir Counts'!P6</f>
        <v>4999</v>
      </c>
      <c r="N6" s="422">
        <f>'Daily Weir Counts'!Q6</f>
        <v>13358</v>
      </c>
      <c r="O6" s="422">
        <f>'Daily Weir Counts'!R6</f>
        <v>10277</v>
      </c>
      <c r="P6" s="422">
        <f>'Daily Weir Counts'!S6</f>
        <v>6763</v>
      </c>
      <c r="Q6" s="422">
        <f>'Daily Weir Counts'!T6</f>
        <v>8060</v>
      </c>
    </row>
    <row r="7" spans="1:17" x14ac:dyDescent="0.25">
      <c r="A7" s="465" t="s">
        <v>69</v>
      </c>
      <c r="B7" s="423">
        <f>AVERAGE('Weir Expansion Factors'!P34:AC34)</f>
        <v>0.94089723196812469</v>
      </c>
      <c r="C7" s="423">
        <f>AVERAGE('Weir Expansion Factors'!P24:AC24)</f>
        <v>0.80014041764044574</v>
      </c>
      <c r="D7" s="423">
        <f>AVERAGE('Weir Expansion Factors'!P24:AC24)</f>
        <v>0.80014041764044574</v>
      </c>
      <c r="E7" s="423">
        <f>AVERAGE('Weir Expansion Factors'!P22:AC22)</f>
        <v>0.78024519661578906</v>
      </c>
      <c r="F7" s="423">
        <f>AVERAGE('Weir Expansion Factors'!P26:AC26)</f>
        <v>0.82596926927977343</v>
      </c>
      <c r="G7" s="423">
        <f>AVERAGE('Weir Expansion Factors'!P31:AC31)</f>
        <v>0.91947397438741807</v>
      </c>
      <c r="H7" s="423">
        <f>AVERAGE('Weir Expansion Factors'!P24:AC24)</f>
        <v>0.80014041764044574</v>
      </c>
      <c r="I7" s="423">
        <f>AVERAGE('Weir Expansion Factors'!P24:AC24)</f>
        <v>0.80014041764044574</v>
      </c>
      <c r="J7" s="423">
        <f>AVERAGE('Weir Expansion Factors'!P21:AC21)</f>
        <v>0.77350713357745249</v>
      </c>
      <c r="K7" s="557">
        <f>AVERAGE('Weir Expansion Factors'!O13:AA13)</f>
        <v>9.003885017079323E-2</v>
      </c>
      <c r="L7" s="423">
        <f>AVERAGE('Weir Expansion Factors'!P27:AC27)</f>
        <v>0.86292072369982475</v>
      </c>
      <c r="M7" s="423">
        <f>AVERAGE('Weir Expansion Factors'!P27:AC27)</f>
        <v>0.86292072369982475</v>
      </c>
      <c r="N7" s="423">
        <f>AVERAGE('Weir Expansion Factors'!P22:AC22)</f>
        <v>0.78024519661578906</v>
      </c>
      <c r="O7" s="423">
        <f>AVERAGE('Weir Expansion Factors'!P25:AC25)</f>
        <v>0.80588532289659121</v>
      </c>
      <c r="P7" s="423">
        <f>AVERAGE('Weir Expansion Factors'!P26:AC26)</f>
        <v>0.82596926927977343</v>
      </c>
      <c r="Q7" s="423">
        <f>AVERAGE('Weir Expansion Factors'!P27:AC27)</f>
        <v>0.86292072369982475</v>
      </c>
    </row>
    <row r="8" spans="1:17" x14ac:dyDescent="0.25">
      <c r="A8" s="465" t="s">
        <v>70</v>
      </c>
      <c r="B8" s="423">
        <f>MIN('Weir Expansion Factors'!P34:AC34)</f>
        <v>0.81855871235215216</v>
      </c>
      <c r="C8" s="423">
        <f>MIN('Weir Expansion Factors'!P24:AC24)</f>
        <v>0.28545299353737347</v>
      </c>
      <c r="D8" s="423">
        <f>MIN('Weir Expansion Factors'!P24:AC24)</f>
        <v>0.28545299353737347</v>
      </c>
      <c r="E8" s="423">
        <f>MIN('Weir Expansion Factors'!P22:AC22)</f>
        <v>0.25618826972320446</v>
      </c>
      <c r="F8" s="423">
        <f>MIN('Weir Expansion Factors'!P26:AC26)</f>
        <v>0.46128520912083892</v>
      </c>
      <c r="G8" s="423">
        <f>MIN('Weir Expansion Factors'!P31:AC31)</f>
        <v>0.81551030362150956</v>
      </c>
      <c r="H8" s="423">
        <f>MIN('Weir Expansion Factors'!P24:AC24)</f>
        <v>0.28545299353737347</v>
      </c>
      <c r="I8" s="423">
        <f>MIN('Weir Expansion Factors'!P24:AC24)</f>
        <v>0.28545299353737347</v>
      </c>
      <c r="J8" s="423">
        <f>MIN('Weir Expansion Factors'!P21:AC21)</f>
        <v>0.25423728813559321</v>
      </c>
      <c r="K8" s="558">
        <f>MIN('Weir Expansion Factors'!O13:AA13)</f>
        <v>1.2781381152231973E-2</v>
      </c>
      <c r="L8" s="423">
        <f>MIN('Weir Expansion Factors'!P27:AC27)</f>
        <v>0.65989028718941589</v>
      </c>
      <c r="M8" s="423">
        <f>MIN('Weir Expansion Factors'!P27:AC27)</f>
        <v>0.65989028718941589</v>
      </c>
      <c r="N8" s="423">
        <f>MIN('Weir Expansion Factors'!P22:AC22)</f>
        <v>0.25618826972320446</v>
      </c>
      <c r="O8" s="423">
        <f>MIN('Weir Expansion Factors'!P25:AC25)</f>
        <v>0.29228142909401295</v>
      </c>
      <c r="P8" s="423">
        <f>MIN('Weir Expansion Factors'!P26:AC26)</f>
        <v>0.46128520912083892</v>
      </c>
      <c r="Q8" s="423">
        <f>MIN('Weir Expansion Factors'!P27:AC27)</f>
        <v>0.65989028718941589</v>
      </c>
    </row>
    <row r="9" spans="1:17" x14ac:dyDescent="0.25">
      <c r="A9" s="465" t="s">
        <v>71</v>
      </c>
      <c r="B9" s="423">
        <f>MAX('Weir Expansion Factors'!P34:AC34)</f>
        <v>0.9983253087711953</v>
      </c>
      <c r="C9" s="423">
        <f>MAX('Weir Expansion Factors'!P24:AC24)</f>
        <v>0.99141720745237594</v>
      </c>
      <c r="D9" s="423">
        <f>MAX('Weir Expansion Factors'!P24:AC24)</f>
        <v>0.99141720745237594</v>
      </c>
      <c r="E9" s="423">
        <f>MAX('Weir Expansion Factors'!P22:AC22)</f>
        <v>0.99099853464517484</v>
      </c>
      <c r="F9" s="423">
        <f>MAX('Weir Expansion Factors'!P26:AC26)</f>
        <v>0.99495798319327733</v>
      </c>
      <c r="G9" s="423">
        <f>MAX('Weir Expansion Factors'!P31:AC31)</f>
        <v>0.99644128113879005</v>
      </c>
      <c r="H9" s="423">
        <f>MAX('Weir Expansion Factors'!P24:AC24)</f>
        <v>0.99141720745237594</v>
      </c>
      <c r="I9" s="423">
        <f>MAX('Weir Expansion Factors'!P24:AC24)</f>
        <v>0.99141720745237594</v>
      </c>
      <c r="J9" s="423">
        <f>MAX('Weir Expansion Factors'!P21:AC21)</f>
        <v>0.99016118903077244</v>
      </c>
      <c r="K9" s="558">
        <f>MAX('Weir Expansion Factors'!O13:AA13)</f>
        <v>0.2097517730496454</v>
      </c>
      <c r="L9" s="423">
        <f>MAX('Weir Expansion Factors'!P27:AC27)</f>
        <v>0.99495798319327733</v>
      </c>
      <c r="M9" s="423">
        <f>MAX('Weir Expansion Factors'!P27:AC27)</f>
        <v>0.99495798319327733</v>
      </c>
      <c r="N9" s="423">
        <f>MAX('Weir Expansion Factors'!P22:AC22)</f>
        <v>0.99099853464517484</v>
      </c>
      <c r="O9" s="423">
        <f>MAX('Weir Expansion Factors'!P25:AC25)</f>
        <v>0.99141720745237594</v>
      </c>
      <c r="P9" s="423">
        <f>MAX('Weir Expansion Factors'!P26:AC26)</f>
        <v>0.99495798319327733</v>
      </c>
      <c r="Q9" s="423">
        <f>MAX('Weir Expansion Factors'!P27:AC27)</f>
        <v>0.99495798319327733</v>
      </c>
    </row>
    <row r="10" spans="1:17" x14ac:dyDescent="0.25">
      <c r="A10" s="465" t="s">
        <v>72</v>
      </c>
      <c r="B10" s="424">
        <f>'Weir Expansion Factors'!AR34</f>
        <v>1.0663893599960101</v>
      </c>
      <c r="C10" s="424">
        <f>'Weir Expansion Factors'!AR24</f>
        <v>1.3722606249230291</v>
      </c>
      <c r="D10" s="424">
        <f>'Weir Expansion Factors'!AR24</f>
        <v>1.3722606249230291</v>
      </c>
      <c r="E10" s="424">
        <f>'Weir Expansion Factors'!AR22</f>
        <v>1.4285640493588458</v>
      </c>
      <c r="F10" s="424">
        <f>'Weir Expansion Factors'!AR26</f>
        <v>1.257931569157128</v>
      </c>
      <c r="G10" s="424">
        <f>'Weir Expansion Factors'!AR31</f>
        <v>1.0918281607814966</v>
      </c>
      <c r="H10" s="424">
        <f>'Weir Expansion Factors'!AR24</f>
        <v>1.3722606249230291</v>
      </c>
      <c r="I10" s="424">
        <f>'Weir Expansion Factors'!AR24</f>
        <v>1.3722606249230291</v>
      </c>
      <c r="J10" s="424">
        <f>'Weir Expansion Factors'!AR21</f>
        <v>1.4468848314022538</v>
      </c>
      <c r="K10" s="556">
        <f>'Weir Expansion Factors'!AO13</f>
        <v>1.1052056569282676</v>
      </c>
      <c r="L10" s="424">
        <f>'Weir Expansion Factors'!AR27</f>
        <v>1.1766021580392227</v>
      </c>
      <c r="M10" s="424">
        <f>'Weir Expansion Factors'!AR27</f>
        <v>1.1766021580392227</v>
      </c>
      <c r="N10" s="424">
        <f>'Weir Expansion Factors'!AR22</f>
        <v>1.4285640493588458</v>
      </c>
      <c r="O10" s="424">
        <f>'Weir Expansion Factors'!AR25</f>
        <v>1.3590077325208685</v>
      </c>
      <c r="P10" s="424">
        <f>'Weir Expansion Factors'!AR26</f>
        <v>1.257931569157128</v>
      </c>
      <c r="Q10" s="424">
        <f>'Weir Expansion Factors'!AR27</f>
        <v>1.1766021580392227</v>
      </c>
    </row>
    <row r="11" spans="1:17" x14ac:dyDescent="0.25">
      <c r="A11" s="468" t="s">
        <v>167</v>
      </c>
      <c r="B11" s="424">
        <f>'Weir Expansion Factors'!AS34</f>
        <v>6.6028967809695402E-2</v>
      </c>
      <c r="C11" s="424">
        <f>'Weir Expansion Factors'!AS24</f>
        <v>0.63175568091875756</v>
      </c>
      <c r="D11" s="424">
        <f>'Weir Expansion Factors'!AS24</f>
        <v>0.63175568091875756</v>
      </c>
      <c r="E11" s="424">
        <f>'Weir Expansion Factors'!AS22</f>
        <v>0.73090691255838958</v>
      </c>
      <c r="F11" s="424">
        <f>'Weir Expansion Factors'!AS26</f>
        <v>0.30096662700071286</v>
      </c>
      <c r="G11" s="424">
        <f>'Weir Expansion Factors'!AS31</f>
        <v>7.1531893960224205E-2</v>
      </c>
      <c r="H11" s="424">
        <f>'Weir Expansion Factors'!AS24</f>
        <v>0.63175568091875756</v>
      </c>
      <c r="I11" s="424">
        <f>'Weir Expansion Factors'!AS24</f>
        <v>0.63175568091875756</v>
      </c>
      <c r="J11" s="424">
        <f>'Weir Expansion Factors'!AS21</f>
        <v>0.74255528834973417</v>
      </c>
      <c r="K11" s="556">
        <f>'Weir Expansion Factors'!AP13</f>
        <v>8.8847004522874015E-2</v>
      </c>
      <c r="L11" s="424">
        <f>'Weir Expansion Factors'!AS27</f>
        <v>0.15753790807421195</v>
      </c>
      <c r="M11" s="424">
        <f>'Weir Expansion Factors'!AS27</f>
        <v>0.15753790807421195</v>
      </c>
      <c r="N11" s="424">
        <f>'Weir Expansion Factors'!AS22</f>
        <v>0.73090691255838958</v>
      </c>
      <c r="O11" s="424">
        <f>'Weir Expansion Factors'!AS25</f>
        <v>0.61271353946253493</v>
      </c>
      <c r="P11" s="424">
        <f>'Weir Expansion Factors'!AS26</f>
        <v>0.30096662700071286</v>
      </c>
      <c r="Q11" s="424">
        <f>'Weir Expansion Factors'!AS27</f>
        <v>0.15753790807421195</v>
      </c>
    </row>
    <row r="12" spans="1:17" x14ac:dyDescent="0.25">
      <c r="A12" s="575" t="s">
        <v>170</v>
      </c>
      <c r="B12" s="576">
        <f>B11/B10</f>
        <v>6.1918254520039892E-2</v>
      </c>
      <c r="C12" s="577">
        <f t="shared" ref="C12:Q12" si="0">C11/C10</f>
        <v>0.46037587135038077</v>
      </c>
      <c r="D12" s="577">
        <f t="shared" si="0"/>
        <v>0.46037587135038077</v>
      </c>
      <c r="E12" s="577">
        <f t="shared" si="0"/>
        <v>0.51163748162809231</v>
      </c>
      <c r="F12" s="576">
        <f t="shared" si="0"/>
        <v>0.23925516648125331</v>
      </c>
      <c r="G12" s="576">
        <f t="shared" si="0"/>
        <v>6.5515707077040311E-2</v>
      </c>
      <c r="H12" s="577">
        <f t="shared" si="0"/>
        <v>0.46037587135038077</v>
      </c>
      <c r="I12" s="577">
        <f t="shared" si="0"/>
        <v>0.46037587135038077</v>
      </c>
      <c r="J12" s="577">
        <f t="shared" si="0"/>
        <v>0.51320967103517423</v>
      </c>
      <c r="K12" s="578">
        <f>K11/K10</f>
        <v>8.0389567286335881E-2</v>
      </c>
      <c r="L12" s="576">
        <f t="shared" si="0"/>
        <v>0.13389224811277317</v>
      </c>
      <c r="M12" s="576">
        <f t="shared" si="0"/>
        <v>0.13389224811277317</v>
      </c>
      <c r="N12" s="577">
        <f t="shared" si="0"/>
        <v>0.51163748162809231</v>
      </c>
      <c r="O12" s="577">
        <f t="shared" si="0"/>
        <v>0.45085360796733087</v>
      </c>
      <c r="P12" s="576">
        <f t="shared" si="0"/>
        <v>0.23925516648125331</v>
      </c>
      <c r="Q12" s="576">
        <f t="shared" si="0"/>
        <v>0.13389224811277317</v>
      </c>
    </row>
    <row r="13" spans="1:17" x14ac:dyDescent="0.25">
      <c r="A13" s="465" t="s">
        <v>80</v>
      </c>
      <c r="B13" s="571">
        <f>'Weir Expansion Factors'!AW34</f>
        <v>1.1097953554543152</v>
      </c>
      <c r="C13" s="571">
        <f>'Weir Expansion Factors'!AW24</f>
        <v>0.92103556934151265</v>
      </c>
      <c r="D13" s="571">
        <f>'Weir Expansion Factors'!AW24</f>
        <v>0.92103556934151265</v>
      </c>
      <c r="E13" s="571">
        <f>'Weir Expansion Factors'!AW22</f>
        <v>0.89909593190517045</v>
      </c>
      <c r="F13" s="571">
        <f>'Weir Expansion Factors'!AW26</f>
        <v>1.0686923620127633</v>
      </c>
      <c r="G13" s="571">
        <f>'Weir Expansion Factors'!AW31</f>
        <v>1.1133964910176484</v>
      </c>
      <c r="H13" s="571">
        <f>'Weir Expansion Factors'!AW24</f>
        <v>0.92103556934151265</v>
      </c>
      <c r="I13" s="571">
        <f>'Weir Expansion Factors'!AW24</f>
        <v>0.92103556934151265</v>
      </c>
      <c r="J13" s="571">
        <f>'Weir Expansion Factors'!AW21</f>
        <v>0.88354344115795491</v>
      </c>
      <c r="K13" s="559">
        <f>'Weir Expansion Factors'!AT13</f>
        <v>1.0136990779799193</v>
      </c>
      <c r="L13" s="571">
        <f>'Weir Expansion Factors'!AW27</f>
        <v>1.1471985228376396</v>
      </c>
      <c r="M13" s="571">
        <f>'Weir Expansion Factors'!AW27</f>
        <v>1.1471985228376396</v>
      </c>
      <c r="N13" s="571">
        <f>'Weir Expansion Factors'!AW22</f>
        <v>0.89909593190517045</v>
      </c>
      <c r="O13" s="571">
        <f>'Weir Expansion Factors'!AW25</f>
        <v>0.91837153734250487</v>
      </c>
      <c r="P13" s="571">
        <f>'Weir Expansion Factors'!AW26</f>
        <v>1.0686923620127633</v>
      </c>
      <c r="Q13" s="571">
        <f>'Weir Expansion Factors'!AW27</f>
        <v>1.1471985228376396</v>
      </c>
    </row>
    <row r="14" spans="1:17" x14ac:dyDescent="0.25">
      <c r="A14" s="468" t="s">
        <v>81</v>
      </c>
      <c r="B14" s="572">
        <f>'Weir Expansion Factors'!AX34</f>
        <v>-216.59828312303489</v>
      </c>
      <c r="C14" s="572">
        <f>'Weir Expansion Factors'!AX24</f>
        <v>1642.560327111828</v>
      </c>
      <c r="D14" s="572">
        <f>'Weir Expansion Factors'!AX24</f>
        <v>1642.560327111828</v>
      </c>
      <c r="E14" s="572">
        <f>'Weir Expansion Factors'!AX22</f>
        <v>1848.1717505158181</v>
      </c>
      <c r="F14" s="572">
        <f>'Weir Expansion Factors'!AX26</f>
        <v>783.09579382236552</v>
      </c>
      <c r="G14" s="572">
        <f>'Weir Expansion Factors'!AX31</f>
        <v>-113.44899587257078</v>
      </c>
      <c r="H14" s="572">
        <f>'Weir Expansion Factors'!AX24</f>
        <v>1642.560327111828</v>
      </c>
      <c r="I14" s="572">
        <f>'Weir Expansion Factors'!AX24</f>
        <v>1642.560327111828</v>
      </c>
      <c r="J14" s="572">
        <f>'Weir Expansion Factors'!AX21</f>
        <v>1959.3420981332638</v>
      </c>
      <c r="K14" s="560">
        <f>'Weir Expansion Factors'!AU13</f>
        <v>428.41814520578009</v>
      </c>
      <c r="L14" s="572">
        <f>'Weir Expansion Factors'!AX27</f>
        <v>102.92449437767573</v>
      </c>
      <c r="M14" s="572">
        <f>'Weir Expansion Factors'!AX27</f>
        <v>102.92449437767573</v>
      </c>
      <c r="N14" s="572">
        <f>'Weir Expansion Factors'!AX22</f>
        <v>1848.1717505158181</v>
      </c>
      <c r="O14" s="572">
        <f>'Weir Expansion Factors'!AX25</f>
        <v>1622.1499771935833</v>
      </c>
      <c r="P14" s="572">
        <f>'Weir Expansion Factors'!AX26</f>
        <v>783.09579382236552</v>
      </c>
      <c r="Q14" s="572">
        <f>'Weir Expansion Factors'!AX27</f>
        <v>102.92449437767573</v>
      </c>
    </row>
    <row r="15" spans="1:17" x14ac:dyDescent="0.25">
      <c r="A15" s="473" t="s">
        <v>73</v>
      </c>
      <c r="B15" s="459">
        <f>B6*B13+B14</f>
        <v>10619.443567532897</v>
      </c>
      <c r="C15" s="459">
        <f t="shared" ref="C15:P15" si="1">C6*C13+C14</f>
        <v>8157.0449090643469</v>
      </c>
      <c r="D15" s="459">
        <f t="shared" si="1"/>
        <v>7037.0656567450678</v>
      </c>
      <c r="E15" s="459">
        <f t="shared" si="1"/>
        <v>10257.416001624877</v>
      </c>
      <c r="F15" s="459">
        <f t="shared" si="1"/>
        <v>1818.6586926127331</v>
      </c>
      <c r="G15" s="459">
        <f t="shared" si="1"/>
        <v>14198.149499668281</v>
      </c>
      <c r="H15" s="459">
        <f t="shared" si="1"/>
        <v>18308.698954346499</v>
      </c>
      <c r="I15" s="459">
        <f t="shared" si="1"/>
        <v>1917.9499623449403</v>
      </c>
      <c r="J15" s="459">
        <f t="shared" si="1"/>
        <v>10299.108639223201</v>
      </c>
      <c r="K15" s="561">
        <f>K6*K13+K14</f>
        <v>8201.4626751558026</v>
      </c>
      <c r="L15" s="459">
        <f t="shared" si="1"/>
        <v>12081.971469848308</v>
      </c>
      <c r="M15" s="459">
        <f t="shared" si="1"/>
        <v>5837.7699100430364</v>
      </c>
      <c r="N15" s="459">
        <f t="shared" si="1"/>
        <v>13858.295208905085</v>
      </c>
      <c r="O15" s="459">
        <f t="shared" si="1"/>
        <v>11060.254266462505</v>
      </c>
      <c r="P15" s="459">
        <f t="shared" si="1"/>
        <v>8010.6622381146835</v>
      </c>
      <c r="Q15" s="459">
        <f>Q6*Q13+Q14</f>
        <v>9349.3445884490502</v>
      </c>
    </row>
    <row r="16" spans="1:17" s="525" customFormat="1" x14ac:dyDescent="0.25">
      <c r="A16" s="579" t="s">
        <v>191</v>
      </c>
      <c r="B16" s="574">
        <f>B6*B10</f>
        <v>10412.225711001043</v>
      </c>
      <c r="C16" s="574">
        <f t="shared" ref="C16:Q16" si="2">C6*C10</f>
        <v>9705.9994000805855</v>
      </c>
      <c r="D16" s="574">
        <f t="shared" si="2"/>
        <v>8037.3304801741815</v>
      </c>
      <c r="E16" s="574">
        <f t="shared" si="2"/>
        <v>13361.359553653285</v>
      </c>
      <c r="F16" s="574">
        <f t="shared" si="2"/>
        <v>1218.935690513257</v>
      </c>
      <c r="G16" s="574">
        <f t="shared" si="2"/>
        <v>14034.359178685358</v>
      </c>
      <c r="H16" s="574">
        <f t="shared" si="2"/>
        <v>24831.056007982213</v>
      </c>
      <c r="I16" s="574">
        <f t="shared" si="2"/>
        <v>410.3059268519857</v>
      </c>
      <c r="J16" s="574">
        <f t="shared" si="2"/>
        <v>13657.145923605873</v>
      </c>
      <c r="K16" s="574">
        <f>K6*K10</f>
        <v>8474.7169773259557</v>
      </c>
      <c r="L16" s="574">
        <f t="shared" si="2"/>
        <v>12286.079734245564</v>
      </c>
      <c r="M16" s="574">
        <f t="shared" si="2"/>
        <v>5881.8341880380749</v>
      </c>
      <c r="N16" s="574">
        <f>N6*N10</f>
        <v>19082.758571335464</v>
      </c>
      <c r="O16" s="574">
        <f t="shared" si="2"/>
        <v>13966.522467116965</v>
      </c>
      <c r="P16" s="574">
        <f t="shared" si="2"/>
        <v>8507.3912022096574</v>
      </c>
      <c r="Q16" s="574">
        <f t="shared" si="2"/>
        <v>9483.413393796136</v>
      </c>
    </row>
    <row r="17" spans="1:17" x14ac:dyDescent="0.25">
      <c r="A17" s="476" t="s">
        <v>143</v>
      </c>
      <c r="B17" s="464">
        <f>'Weir Expansion Factors'!BB34</f>
        <v>144698.42838238168</v>
      </c>
      <c r="C17" s="464">
        <f>'Weir Expansion Factors'!BB24</f>
        <v>2350810.1461790786</v>
      </c>
      <c r="D17" s="464">
        <f>'Weir Expansion Factors'!BB24</f>
        <v>2350810.1461790786</v>
      </c>
      <c r="E17" s="464">
        <f>'Weir Expansion Factors'!BB22</f>
        <v>2504330.8014578051</v>
      </c>
      <c r="F17" s="464">
        <f>'Weir Expansion Factors'!BB26</f>
        <v>1447682.7340332593</v>
      </c>
      <c r="G17" s="464">
        <f>'Weir Expansion Factors'!BB31</f>
        <v>167706.62937652791</v>
      </c>
      <c r="H17" s="464">
        <f>'Weir Expansion Factors'!BB24</f>
        <v>2350810.1461790786</v>
      </c>
      <c r="I17" s="464">
        <f>'Weir Expansion Factors'!BB24</f>
        <v>2350810.1461790786</v>
      </c>
      <c r="J17" s="464">
        <f>'Weir Expansion Factors'!BB21</f>
        <v>2641542.6000874131</v>
      </c>
      <c r="K17" s="560">
        <f>'Weir Expansion Factors'!AY13</f>
        <v>228488.65437326545</v>
      </c>
      <c r="L17" s="464">
        <f>'Weir Expansion Factors'!BB27</f>
        <v>522228.71591716592</v>
      </c>
      <c r="M17" s="464">
        <f>'Weir Expansion Factors'!BB27</f>
        <v>522228.71591716592</v>
      </c>
      <c r="N17" s="464">
        <f>'Weir Expansion Factors'!BB22</f>
        <v>2504330.8014578051</v>
      </c>
      <c r="O17" s="464">
        <f>'Weir Expansion Factors'!BB25</f>
        <v>2322239.263529086</v>
      </c>
      <c r="P17" s="464">
        <f>'Weir Expansion Factors'!BB26</f>
        <v>1447682.7340332593</v>
      </c>
      <c r="Q17" s="464">
        <f>'Weir Expansion Factors'!BB27</f>
        <v>522228.71591716592</v>
      </c>
    </row>
    <row r="18" spans="1:17" x14ac:dyDescent="0.25">
      <c r="A18" s="467" t="s">
        <v>49</v>
      </c>
      <c r="B18" s="478">
        <f>'Weir Expansion Factors'!AZ34</f>
        <v>14</v>
      </c>
      <c r="C18" s="478">
        <f>'Weir Expansion Factors'!AZ24</f>
        <v>14</v>
      </c>
      <c r="D18" s="464">
        <f>'Weir Expansion Factors'!AZ24</f>
        <v>14</v>
      </c>
      <c r="E18" s="478">
        <f>'Weir Expansion Factors'!AZ22</f>
        <v>14</v>
      </c>
      <c r="F18" s="478">
        <f>'Weir Expansion Factors'!AZ26</f>
        <v>14</v>
      </c>
      <c r="G18" s="478">
        <f>'Weir Expansion Factors'!AZ31</f>
        <v>14</v>
      </c>
      <c r="H18" s="478">
        <f>'Weir Expansion Factors'!AZ24</f>
        <v>14</v>
      </c>
      <c r="I18" s="464">
        <f>'Weir Expansion Factors'!AZ24</f>
        <v>14</v>
      </c>
      <c r="J18" s="478">
        <f>'Weir Expansion Factors'!AZ21</f>
        <v>14</v>
      </c>
      <c r="K18" s="560">
        <f>'Weir Expansion Factors'!AW13</f>
        <v>13</v>
      </c>
      <c r="L18" s="478">
        <f>'Weir Expansion Factors'!AZ27</f>
        <v>14</v>
      </c>
      <c r="M18" s="478">
        <f>'Weir Expansion Factors'!AZ27</f>
        <v>14</v>
      </c>
      <c r="N18" s="464">
        <f>'Weir Expansion Factors'!AZ22</f>
        <v>14</v>
      </c>
      <c r="O18" s="478">
        <f>'Weir Expansion Factors'!AZ25</f>
        <v>14</v>
      </c>
      <c r="P18" s="464">
        <f>'Weir Expansion Factors'!AZ26</f>
        <v>14</v>
      </c>
      <c r="Q18" s="478">
        <f>'Weir Expansion Factors'!AZ27</f>
        <v>14</v>
      </c>
    </row>
    <row r="19" spans="1:17" x14ac:dyDescent="0.25">
      <c r="A19" s="476"/>
      <c r="B19" s="425">
        <f>'Weir Expansion Factors'!AY34</f>
        <v>5432.4285714285716</v>
      </c>
      <c r="C19" s="425">
        <f>'Weir Expansion Factors'!AY24</f>
        <v>4527.2142857142853</v>
      </c>
      <c r="D19" s="464">
        <f>'Weir Expansion Factors'!AY24</f>
        <v>4527.2142857142853</v>
      </c>
      <c r="E19" s="425">
        <f>'Weir Expansion Factors'!AY22</f>
        <v>4409</v>
      </c>
      <c r="F19" s="425">
        <f>'Weir Expansion Factors'!AY26</f>
        <v>4705.9285714285716</v>
      </c>
      <c r="G19" s="425">
        <f>'Weir Expansion Factors'!AY31</f>
        <v>5322.2142857142853</v>
      </c>
      <c r="H19" s="425">
        <f>'Weir Expansion Factors'!AY24</f>
        <v>4527.2142857142853</v>
      </c>
      <c r="I19" s="464">
        <f>'Weir Expansion Factors'!AY24</f>
        <v>4527.2142857142853</v>
      </c>
      <c r="J19" s="425">
        <f>'Weir Expansion Factors'!AY21</f>
        <v>4360.7857142857147</v>
      </c>
      <c r="K19" s="556">
        <f>'Weir Expansion Factors'!AV13</f>
        <v>5129.8461538461543</v>
      </c>
      <c r="L19" s="425">
        <f>'Weir Expansion Factors'!AY27</f>
        <v>4976.7857142857147</v>
      </c>
      <c r="M19" s="425">
        <f>'Weir Expansion Factors'!AY27</f>
        <v>4976.7857142857147</v>
      </c>
      <c r="N19" s="464">
        <f>'Weir Expansion Factors'!AY22</f>
        <v>4409</v>
      </c>
      <c r="O19" s="425">
        <f>'Weir Expansion Factors'!AY25</f>
        <v>4562.5714285714284</v>
      </c>
      <c r="P19" s="464">
        <f>'Weir Expansion Factors'!AY26</f>
        <v>4705.9285714285716</v>
      </c>
      <c r="Q19" s="425">
        <f>'Weir Expansion Factors'!AY27</f>
        <v>4976.7857142857147</v>
      </c>
    </row>
    <row r="20" spans="1:17" x14ac:dyDescent="0.25">
      <c r="A20" s="461"/>
      <c r="B20" s="425">
        <f>'Weir Expansion Factors'!BA34</f>
        <v>54628575.428571403</v>
      </c>
      <c r="C20" s="478">
        <f>'Weir Expansion Factors'!BA24</f>
        <v>48107270.357142866</v>
      </c>
      <c r="D20" s="464">
        <f>'Weir Expansion Factors'!BA24</f>
        <v>48107270.357142866</v>
      </c>
      <c r="E20" s="478">
        <f>'Weir Expansion Factors'!BA22</f>
        <v>48204776</v>
      </c>
      <c r="F20" s="478">
        <f>'Weir Expansion Factors'!BA26</f>
        <v>45221160.928571403</v>
      </c>
      <c r="G20" s="478">
        <f>'Weir Expansion Factors'!BA31</f>
        <v>54053046.357142866</v>
      </c>
      <c r="H20" s="478">
        <f>'Weir Expansion Factors'!BA24</f>
        <v>48107270.357142866</v>
      </c>
      <c r="I20" s="464">
        <f>'Weir Expansion Factors'!BA24</f>
        <v>48107270.357142866</v>
      </c>
      <c r="J20" s="478">
        <f>'Weir Expansion Factors'!BA21</f>
        <v>47807556.357142866</v>
      </c>
      <c r="K20" s="560">
        <f>'Weir Expansion Factors'!AX13</f>
        <v>58740769.692307711</v>
      </c>
      <c r="L20" s="478">
        <f>'Weir Expansion Factors'!BA27</f>
        <v>47682078.357142866</v>
      </c>
      <c r="M20" s="478">
        <f>'Weir Expansion Factors'!BA27</f>
        <v>47682078.357142866</v>
      </c>
      <c r="N20" s="464">
        <f>'Weir Expansion Factors'!BA22</f>
        <v>48204776</v>
      </c>
      <c r="O20" s="478">
        <f>'Weir Expansion Factors'!BA25</f>
        <v>48793283.428571403</v>
      </c>
      <c r="P20" s="464">
        <f>'Weir Expansion Factors'!BA26</f>
        <v>45221160.928571403</v>
      </c>
      <c r="Q20" s="478">
        <f>'Weir Expansion Factors'!BA27</f>
        <v>47682078.357142866</v>
      </c>
    </row>
    <row r="21" spans="1:17" x14ac:dyDescent="0.25">
      <c r="A21" s="476" t="s">
        <v>142</v>
      </c>
      <c r="B21" s="463">
        <f>1+(1/B18)+(((B6-B19)^2)/B20)</f>
        <v>1.414884553826445</v>
      </c>
      <c r="C21" s="463">
        <f t="shared" ref="C21:Q21" si="3">1+(1/C18)+(((C6-C19)^2)/C20)</f>
        <v>1.206148850815592</v>
      </c>
      <c r="D21" s="463">
        <f t="shared" si="3"/>
        <v>1.1081866338334945</v>
      </c>
      <c r="E21" s="463">
        <f t="shared" si="3"/>
        <v>1.5784973315862785</v>
      </c>
      <c r="F21" s="463">
        <f t="shared" si="3"/>
        <v>1.3802361044774658</v>
      </c>
      <c r="G21" s="463">
        <f t="shared" si="3"/>
        <v>2.120912363167204</v>
      </c>
      <c r="H21" s="463">
        <f t="shared" si="3"/>
        <v>4.8979771954130742</v>
      </c>
      <c r="I21" s="463">
        <f t="shared" si="3"/>
        <v>1.4430521516732133</v>
      </c>
      <c r="J21" s="463">
        <f t="shared" si="3"/>
        <v>1.6108466529339998</v>
      </c>
      <c r="K21" s="562">
        <f t="shared" ref="K21" si="4">1+(1/K18)+(((K6-K19)^2)/K20)</f>
        <v>1.18659520039866</v>
      </c>
      <c r="L21" s="463">
        <f t="shared" si="3"/>
        <v>1.697839336602383</v>
      </c>
      <c r="M21" s="463">
        <f t="shared" si="3"/>
        <v>1.0714389206940984</v>
      </c>
      <c r="N21" s="463">
        <f t="shared" si="3"/>
        <v>2.7327701986565458</v>
      </c>
      <c r="O21" s="463">
        <f t="shared" si="3"/>
        <v>1.7406742463125431</v>
      </c>
      <c r="P21" s="463">
        <f t="shared" si="3"/>
        <v>1.1650029683559033</v>
      </c>
      <c r="Q21" s="463">
        <f t="shared" si="3"/>
        <v>1.2707950977873916</v>
      </c>
    </row>
    <row r="22" spans="1:17" x14ac:dyDescent="0.25">
      <c r="A22" s="468" t="s">
        <v>147</v>
      </c>
      <c r="B22" s="478">
        <f>SQRT(B21*B17)</f>
        <v>452.47272987572842</v>
      </c>
      <c r="C22" s="478">
        <f>SQRT(C21*C17)</f>
        <v>1683.8726069093022</v>
      </c>
      <c r="D22" s="478">
        <f t="shared" ref="D22:Q22" si="5">SQRT(D21*D17)</f>
        <v>1614.0434884710567</v>
      </c>
      <c r="E22" s="478">
        <f t="shared" si="5"/>
        <v>1988.2352696576106</v>
      </c>
      <c r="F22" s="478">
        <f>SQRT(F21*F17)</f>
        <v>1413.5572069574521</v>
      </c>
      <c r="G22" s="478">
        <f t="shared" si="5"/>
        <v>596.39841015027719</v>
      </c>
      <c r="H22" s="478">
        <f t="shared" si="5"/>
        <v>3393.2601560639</v>
      </c>
      <c r="I22" s="478">
        <f t="shared" si="5"/>
        <v>1841.831056209809</v>
      </c>
      <c r="J22" s="478">
        <f t="shared" si="5"/>
        <v>2062.7942349961577</v>
      </c>
      <c r="K22" s="563">
        <f t="shared" ref="K22" si="6">SQRT(K21*K17)</f>
        <v>520.69524736151095</v>
      </c>
      <c r="L22" s="478">
        <f t="shared" si="5"/>
        <v>941.6264952663106</v>
      </c>
      <c r="M22" s="478">
        <f t="shared" si="5"/>
        <v>748.02150486316452</v>
      </c>
      <c r="N22" s="478">
        <f t="shared" si="5"/>
        <v>2616.0582145284061</v>
      </c>
      <c r="O22" s="478">
        <f t="shared" si="5"/>
        <v>2010.5377588597751</v>
      </c>
      <c r="P22" s="478">
        <f t="shared" si="5"/>
        <v>1298.6742017867057</v>
      </c>
      <c r="Q22" s="478">
        <f t="shared" si="5"/>
        <v>814.64451886165591</v>
      </c>
    </row>
    <row r="23" spans="1:17" x14ac:dyDescent="0.25">
      <c r="A23" s="470" t="s">
        <v>144</v>
      </c>
      <c r="B23" s="472">
        <f>B15-TINV(0.05,B18-2)*B22</f>
        <v>9633.5901786051054</v>
      </c>
      <c r="C23" s="472">
        <f t="shared" ref="C23:D23" si="7">C15-TINV(0.05,C18-2)*C22</f>
        <v>4488.2016696051578</v>
      </c>
      <c r="D23" s="472">
        <f t="shared" si="7"/>
        <v>3520.36699642348</v>
      </c>
      <c r="E23" s="472">
        <f t="shared" ref="E23:Q23" si="8">E15-TINV(0.05,E18-2)*E22</f>
        <v>5925.4234876979936</v>
      </c>
      <c r="F23" s="472">
        <f>F15-TINV(0.05,F18-2)*F22</f>
        <v>-1261.2178853747371</v>
      </c>
      <c r="G23" s="472">
        <f t="shared" si="8"/>
        <v>12898.708992039719</v>
      </c>
      <c r="H23" s="472">
        <f t="shared" si="8"/>
        <v>10915.420191915851</v>
      </c>
      <c r="I23" s="472">
        <f t="shared" si="8"/>
        <v>-2095.0551730045336</v>
      </c>
      <c r="J23" s="472">
        <f t="shared" si="8"/>
        <v>5804.6660950499772</v>
      </c>
      <c r="K23" s="564">
        <f t="shared" ref="K23" si="9">K15-TINV(0.05,K18-2)*K22</f>
        <v>7055.4201627828725</v>
      </c>
      <c r="L23" s="472">
        <f t="shared" si="8"/>
        <v>10030.343581207482</v>
      </c>
      <c r="M23" s="472">
        <f t="shared" si="8"/>
        <v>4207.9710583801862</v>
      </c>
      <c r="N23" s="472">
        <f t="shared" si="8"/>
        <v>8158.394007934251</v>
      </c>
      <c r="O23" s="472">
        <f t="shared" si="8"/>
        <v>6679.6688029284305</v>
      </c>
      <c r="P23" s="472">
        <f t="shared" si="8"/>
        <v>5181.0942257039624</v>
      </c>
      <c r="Q23" s="472">
        <f t="shared" si="8"/>
        <v>7574.386659135188</v>
      </c>
    </row>
    <row r="24" spans="1:17" x14ac:dyDescent="0.25">
      <c r="A24" s="475" t="s">
        <v>145</v>
      </c>
      <c r="B24" s="472">
        <f>B15+TINV(0.05,B18-2)*B22</f>
        <v>11605.296956460688</v>
      </c>
      <c r="C24" s="472">
        <f>C15+TINV(0.05,C18-2)*C22</f>
        <v>11825.888148523536</v>
      </c>
      <c r="D24" s="472">
        <f t="shared" ref="D24" si="10">D15+TINV(0.05,D18-2)*D22</f>
        <v>10553.764317066656</v>
      </c>
      <c r="E24" s="472">
        <f t="shared" ref="E24:Q24" si="11">E15+TINV(0.05,E18-2)*E22</f>
        <v>14589.408515551761</v>
      </c>
      <c r="F24" s="472">
        <f t="shared" si="11"/>
        <v>4898.5352706002031</v>
      </c>
      <c r="G24" s="472">
        <f t="shared" si="11"/>
        <v>15497.590007296843</v>
      </c>
      <c r="H24" s="472">
        <f t="shared" si="11"/>
        <v>25701.977716777146</v>
      </c>
      <c r="I24" s="472">
        <f t="shared" si="11"/>
        <v>5930.9550976944147</v>
      </c>
      <c r="J24" s="472">
        <f t="shared" si="11"/>
        <v>14793.551183396425</v>
      </c>
      <c r="K24" s="564">
        <f t="shared" ref="K24" si="12">K15+TINV(0.05,K18-2)*K22</f>
        <v>9347.5051875287336</v>
      </c>
      <c r="L24" s="472">
        <f t="shared" si="11"/>
        <v>14133.599358489133</v>
      </c>
      <c r="M24" s="472">
        <f t="shared" si="11"/>
        <v>7467.5687617058866</v>
      </c>
      <c r="N24" s="472">
        <f t="shared" si="11"/>
        <v>19558.19640987592</v>
      </c>
      <c r="O24" s="472">
        <f t="shared" si="11"/>
        <v>15440.83972999658</v>
      </c>
      <c r="P24" s="472">
        <f t="shared" si="11"/>
        <v>10840.230250525405</v>
      </c>
      <c r="Q24" s="472">
        <f t="shared" si="11"/>
        <v>11124.302517762913</v>
      </c>
    </row>
    <row r="25" spans="1:17" x14ac:dyDescent="0.25">
      <c r="A25" s="474" t="s">
        <v>146</v>
      </c>
      <c r="B25" s="426">
        <f>TINV(0.05,B18-2)*B22</f>
        <v>985.85338892779134</v>
      </c>
      <c r="C25" s="426">
        <f>TINV(0.05,C18-2)*C22</f>
        <v>3668.8432394591896</v>
      </c>
      <c r="D25" s="426">
        <f t="shared" ref="D25" si="13">TINV(0.05,D18-2)*D22</f>
        <v>3516.6986603215878</v>
      </c>
      <c r="E25" s="426">
        <f t="shared" ref="E25:Q25" si="14">TINV(0.05,E18-2)*E22</f>
        <v>4331.9925139268835</v>
      </c>
      <c r="F25" s="426">
        <f t="shared" si="14"/>
        <v>3079.8765779874702</v>
      </c>
      <c r="G25" s="426">
        <f t="shared" si="14"/>
        <v>1299.4405076285618</v>
      </c>
      <c r="H25" s="426">
        <f t="shared" si="14"/>
        <v>7393.2787624306475</v>
      </c>
      <c r="I25" s="426">
        <f t="shared" si="14"/>
        <v>4013.0051353494741</v>
      </c>
      <c r="J25" s="426">
        <f t="shared" si="14"/>
        <v>4494.4425441732237</v>
      </c>
      <c r="K25" s="565">
        <f t="shared" ref="K25" si="15">TINV(0.05,K18-2)*K22</f>
        <v>1146.0425123729303</v>
      </c>
      <c r="L25" s="426">
        <f t="shared" si="14"/>
        <v>2051.6278886408254</v>
      </c>
      <c r="M25" s="426">
        <f t="shared" si="14"/>
        <v>1629.79885166285</v>
      </c>
      <c r="N25" s="426">
        <f t="shared" si="14"/>
        <v>5699.901200970834</v>
      </c>
      <c r="O25" s="426">
        <f t="shared" si="14"/>
        <v>4380.5854635340747</v>
      </c>
      <c r="P25" s="426">
        <f t="shared" si="14"/>
        <v>2829.5680124107216</v>
      </c>
      <c r="Q25" s="426">
        <f t="shared" si="14"/>
        <v>1774.9579293138625</v>
      </c>
    </row>
    <row r="26" spans="1:17" s="525" customFormat="1" x14ac:dyDescent="0.25">
      <c r="A26" s="568" t="s">
        <v>190</v>
      </c>
      <c r="B26" s="648">
        <f>'Weir Expansion Factors'!BE34</f>
        <v>6.5446277927890331E-2</v>
      </c>
      <c r="C26" s="648">
        <f>'Weir Expansion Factors'!BE24</f>
        <v>0.26379212324081497</v>
      </c>
      <c r="D26" s="648">
        <f>'Weir Expansion Factors'!BE24</f>
        <v>0.26379212324081497</v>
      </c>
      <c r="E26" s="648">
        <f>'Weir Expansion Factors'!BE22</f>
        <v>0.27226943666346037</v>
      </c>
      <c r="F26" s="648">
        <f>'Weir Expansion Factors'!BE26</f>
        <v>0.20700924558307968</v>
      </c>
      <c r="G26" s="648">
        <f>'Weir Expansion Factors'!BE31</f>
        <v>7.045765106554594E-2</v>
      </c>
      <c r="H26" s="648">
        <f>'Weir Expansion Factors'!BE24</f>
        <v>0.26379212324081497</v>
      </c>
      <c r="I26" s="648">
        <f>'Weir Expansion Factors'!BE24</f>
        <v>0.26379212324081497</v>
      </c>
      <c r="J26" s="648">
        <f>'Weir Expansion Factors'!BE21</f>
        <v>0.27962877151243604</v>
      </c>
      <c r="K26" s="649">
        <f>'Weir Expansion Factors'!BE13</f>
        <v>8.4925220256171746E-2</v>
      </c>
      <c r="L26" s="648">
        <f>'Weir Expansion Factors'!BE27</f>
        <v>0.12433214311477039</v>
      </c>
      <c r="M26" s="648">
        <f>'Weir Expansion Factors'!BE27</f>
        <v>0.12433214311477039</v>
      </c>
      <c r="N26" s="648">
        <f>'Weir Expansion Factors'!BE22</f>
        <v>0.27226943666346037</v>
      </c>
      <c r="O26" s="648">
        <f>'Weir Expansion Factors'!BE25</f>
        <v>0.26218420653428165</v>
      </c>
      <c r="P26" s="648">
        <f>'Weir Expansion Factors'!BE26</f>
        <v>0.20700924558307968</v>
      </c>
      <c r="Q26" s="648">
        <f>'Weir Expansion Factors'!BE27</f>
        <v>0.12433214311477039</v>
      </c>
    </row>
    <row r="27" spans="1:17" x14ac:dyDescent="0.25">
      <c r="A27" s="300" t="s">
        <v>196</v>
      </c>
      <c r="B27" s="650">
        <f>B22/B15</f>
        <v>4.2607950877867569E-2</v>
      </c>
      <c r="C27" s="653">
        <f t="shared" ref="C27:Q27" si="16">C22/C15</f>
        <v>0.20643169501716654</v>
      </c>
      <c r="D27" s="653">
        <f t="shared" si="16"/>
        <v>0.22936314185501264</v>
      </c>
      <c r="E27" s="653">
        <f t="shared" si="16"/>
        <v>0.19383393140559516</v>
      </c>
      <c r="F27" s="653">
        <f>F22/F15</f>
        <v>0.77725260528499629</v>
      </c>
      <c r="G27" s="650">
        <f t="shared" si="16"/>
        <v>4.2005362048357864E-2</v>
      </c>
      <c r="H27" s="653">
        <f t="shared" si="16"/>
        <v>0.18533595229923958</v>
      </c>
      <c r="I27" s="653">
        <f>I22/I15</f>
        <v>0.96031236078647941</v>
      </c>
      <c r="J27" s="653">
        <f t="shared" si="16"/>
        <v>0.20028861790429095</v>
      </c>
      <c r="K27" s="650">
        <f>K22/K15</f>
        <v>6.3488095719660076E-2</v>
      </c>
      <c r="L27" s="650">
        <f t="shared" si="16"/>
        <v>7.793649385915434E-2</v>
      </c>
      <c r="M27" s="650">
        <f t="shared" si="16"/>
        <v>0.12813480428139212</v>
      </c>
      <c r="N27" s="653">
        <f t="shared" si="16"/>
        <v>0.18877200803511354</v>
      </c>
      <c r="O27" s="653">
        <f t="shared" si="16"/>
        <v>0.18178042840807332</v>
      </c>
      <c r="P27" s="653">
        <f t="shared" si="16"/>
        <v>0.16211820735714227</v>
      </c>
      <c r="Q27" s="650">
        <f t="shared" si="16"/>
        <v>8.7133863893318772E-2</v>
      </c>
    </row>
    <row r="28" spans="1:17" x14ac:dyDescent="0.25">
      <c r="A28" s="354" t="s">
        <v>189</v>
      </c>
      <c r="B28" s="652">
        <f>B26-B27</f>
        <v>2.2838327050022762E-2</v>
      </c>
      <c r="C28" s="652">
        <f t="shared" ref="C28:Q28" si="17">C26-C27</f>
        <v>5.7360428223648424E-2</v>
      </c>
      <c r="D28" s="652">
        <f t="shared" si="17"/>
        <v>3.4428981385802332E-2</v>
      </c>
      <c r="E28" s="652">
        <f t="shared" si="17"/>
        <v>7.8435505257865218E-2</v>
      </c>
      <c r="F28" s="652"/>
      <c r="G28" s="652">
        <f t="shared" si="17"/>
        <v>2.8452289017188076E-2</v>
      </c>
      <c r="H28" s="652">
        <f t="shared" si="17"/>
        <v>7.8456170941575393E-2</v>
      </c>
      <c r="I28" s="652"/>
      <c r="J28" s="652">
        <f t="shared" si="17"/>
        <v>7.9340153608145086E-2</v>
      </c>
      <c r="K28" s="652">
        <f>K26-K27</f>
        <v>2.143712453651167E-2</v>
      </c>
      <c r="L28" s="652">
        <f t="shared" si="17"/>
        <v>4.6395649255616053E-2</v>
      </c>
      <c r="M28" s="652">
        <f t="shared" si="17"/>
        <v>-3.8026611666217291E-3</v>
      </c>
      <c r="N28" s="652">
        <f t="shared" si="17"/>
        <v>8.3497428628346831E-2</v>
      </c>
      <c r="O28" s="652">
        <f t="shared" si="17"/>
        <v>8.0403778126208331E-2</v>
      </c>
      <c r="P28" s="652">
        <f t="shared" si="17"/>
        <v>4.4891038225937402E-2</v>
      </c>
      <c r="Q28" s="652">
        <f t="shared" si="17"/>
        <v>3.7198279221451622E-2</v>
      </c>
    </row>
    <row r="29" spans="1:17" x14ac:dyDescent="0.25">
      <c r="A29" s="325" t="s">
        <v>168</v>
      </c>
    </row>
    <row r="30" spans="1:17" x14ac:dyDescent="0.25">
      <c r="A30" s="354" t="s">
        <v>169</v>
      </c>
      <c r="H30" s="651">
        <f>MIN(B28:Q28)</f>
        <v>-3.8026611666217291E-3</v>
      </c>
    </row>
    <row r="31" spans="1:17" x14ac:dyDescent="0.25">
      <c r="A31" s="354" t="s">
        <v>198</v>
      </c>
      <c r="H31" s="651">
        <f>MAX(B28:Q28)</f>
        <v>8.3497428628346831E-2</v>
      </c>
    </row>
    <row r="32" spans="1:17" x14ac:dyDescent="0.25">
      <c r="A32" s="573" t="s">
        <v>192</v>
      </c>
      <c r="H32" s="566"/>
      <c r="I32" s="567"/>
    </row>
    <row r="33" spans="8:9" x14ac:dyDescent="0.25">
      <c r="H33" s="566"/>
      <c r="I33" s="567"/>
    </row>
    <row r="34" spans="8:9" x14ac:dyDescent="0.25">
      <c r="H34" s="566"/>
      <c r="I34" s="567"/>
    </row>
    <row r="35" spans="8:9" x14ac:dyDescent="0.25">
      <c r="H35" s="566"/>
      <c r="I35" s="567"/>
    </row>
    <row r="36" spans="8:9" x14ac:dyDescent="0.25">
      <c r="H36" s="566"/>
      <c r="I36" s="567"/>
    </row>
    <row r="37" spans="8:9" x14ac:dyDescent="0.25">
      <c r="H37" s="566"/>
      <c r="I37" s="567"/>
    </row>
    <row r="38" spans="8:9" x14ac:dyDescent="0.25">
      <c r="H38" s="566"/>
      <c r="I38" s="567"/>
    </row>
    <row r="39" spans="8:9" x14ac:dyDescent="0.25">
      <c r="H39" s="566"/>
      <c r="I39" s="567"/>
    </row>
    <row r="40" spans="8:9" x14ac:dyDescent="0.25">
      <c r="H40" s="566"/>
      <c r="I40" s="567"/>
    </row>
    <row r="41" spans="8:9" x14ac:dyDescent="0.25">
      <c r="H41" s="566"/>
      <c r="I41" s="567"/>
    </row>
    <row r="42" spans="8:9" x14ac:dyDescent="0.25">
      <c r="H42" s="566"/>
      <c r="I42" s="567"/>
    </row>
    <row r="43" spans="8:9" x14ac:dyDescent="0.25">
      <c r="H43" s="566"/>
      <c r="I43" s="567"/>
    </row>
    <row r="44" spans="8:9" x14ac:dyDescent="0.25">
      <c r="H44" s="566"/>
      <c r="I44" s="567"/>
    </row>
  </sheetData>
  <pageMargins left="0.7" right="0.7" top="0.75" bottom="0.75" header="0.3" footer="0.3"/>
  <pageSetup orientation="portrait" r:id="rId1"/>
  <drawing r:id="rId2"/>
  <legacyDrawing r:id="rId3"/>
  <oleObjects>
    <mc:AlternateContent xmlns:mc="http://schemas.openxmlformats.org/markup-compatibility/2006">
      <mc:Choice Requires="x14">
        <oleObject progId="Equation.3" shapeId="7170" r:id="rId4">
          <objectPr defaultSize="0" autoPict="0" r:id="rId5">
            <anchor moveWithCells="1" sizeWithCells="1">
              <from>
                <xdr:col>0</xdr:col>
                <xdr:colOff>47625</xdr:colOff>
                <xdr:row>19</xdr:row>
                <xdr:rowOff>19050</xdr:rowOff>
              </from>
              <to>
                <xdr:col>0</xdr:col>
                <xdr:colOff>361950</xdr:colOff>
                <xdr:row>20</xdr:row>
                <xdr:rowOff>38100</xdr:rowOff>
              </to>
            </anchor>
          </objectPr>
        </oleObject>
      </mc:Choice>
      <mc:Fallback>
        <oleObject progId="Equation.3" shapeId="7170" r:id="rId4"/>
      </mc:Fallback>
    </mc:AlternateContent>
    <mc:AlternateContent xmlns:mc="http://schemas.openxmlformats.org/markup-compatibility/2006">
      <mc:Choice Requires="x14">
        <oleObject progId="Equation.3" shapeId="7171" r:id="rId6">
          <objectPr defaultSize="0" autoPict="0" r:id="rId7">
            <anchor moveWithCells="1" sizeWithCells="1">
              <from>
                <xdr:col>21</xdr:col>
                <xdr:colOff>219075</xdr:colOff>
                <xdr:row>16</xdr:row>
                <xdr:rowOff>114300</xdr:rowOff>
              </from>
              <to>
                <xdr:col>27</xdr:col>
                <xdr:colOff>238125</xdr:colOff>
                <xdr:row>27</xdr:row>
                <xdr:rowOff>47625</xdr:rowOff>
              </to>
            </anchor>
          </objectPr>
        </oleObject>
      </mc:Choice>
      <mc:Fallback>
        <oleObject progId="Equation.3" shapeId="7171" r:id="rId6"/>
      </mc:Fallback>
    </mc:AlternateContent>
    <mc:AlternateContent xmlns:mc="http://schemas.openxmlformats.org/markup-compatibility/2006">
      <mc:Choice Requires="x14">
        <oleObject progId="Equation.3" shapeId="7172" r:id="rId8">
          <objectPr defaultSize="0" autoPict="0" r:id="rId9">
            <anchor moveWithCells="1" sizeWithCells="1">
              <from>
                <xdr:col>0</xdr:col>
                <xdr:colOff>28575</xdr:colOff>
                <xdr:row>18</xdr:row>
                <xdr:rowOff>0</xdr:rowOff>
              </from>
              <to>
                <xdr:col>0</xdr:col>
                <xdr:colOff>209550</xdr:colOff>
                <xdr:row>19</xdr:row>
                <xdr:rowOff>0</xdr:rowOff>
              </to>
            </anchor>
          </objectPr>
        </oleObject>
      </mc:Choice>
      <mc:Fallback>
        <oleObject progId="Equation.3" shapeId="7172" r:id="rId8"/>
      </mc:Fallback>
    </mc:AlternateContent>
    <mc:AlternateContent xmlns:mc="http://schemas.openxmlformats.org/markup-compatibility/2006">
      <mc:Choice Requires="x14">
        <oleObject progId="Equation.3" shapeId="7175" r:id="rId10">
          <objectPr defaultSize="0" autoPict="0" r:id="rId11">
            <anchor moveWithCells="1">
              <from>
                <xdr:col>0</xdr:col>
                <xdr:colOff>28575</xdr:colOff>
                <xdr:row>16</xdr:row>
                <xdr:rowOff>9525</xdr:rowOff>
              </from>
              <to>
                <xdr:col>0</xdr:col>
                <xdr:colOff>323850</xdr:colOff>
                <xdr:row>17</xdr:row>
                <xdr:rowOff>47625</xdr:rowOff>
              </to>
            </anchor>
          </objectPr>
        </oleObject>
      </mc:Choice>
      <mc:Fallback>
        <oleObject progId="Equation.3" shapeId="7175" r:id="rId10"/>
      </mc:Fallback>
    </mc:AlternateContent>
    <mc:AlternateContent xmlns:mc="http://schemas.openxmlformats.org/markup-compatibility/2006">
      <mc:Choice Requires="x14">
        <oleObject progId="Equation.3" shapeId="7176" r:id="rId12">
          <objectPr defaultSize="0" autoPict="0" r:id="rId13">
            <anchor moveWithCells="1">
              <from>
                <xdr:col>0</xdr:col>
                <xdr:colOff>0</xdr:colOff>
                <xdr:row>21</xdr:row>
                <xdr:rowOff>0</xdr:rowOff>
              </from>
              <to>
                <xdr:col>0</xdr:col>
                <xdr:colOff>352425</xdr:colOff>
                <xdr:row>22</xdr:row>
                <xdr:rowOff>66675</xdr:rowOff>
              </to>
            </anchor>
          </objectPr>
        </oleObject>
      </mc:Choice>
      <mc:Fallback>
        <oleObject progId="Equation.3" shapeId="7176" r:id="rId1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AF36"/>
  <sheetViews>
    <sheetView tabSelected="1" zoomScale="80" zoomScaleNormal="80" workbookViewId="0">
      <selection activeCell="M5" sqref="M5"/>
    </sheetView>
  </sheetViews>
  <sheetFormatPr defaultColWidth="9.140625" defaultRowHeight="15" x14ac:dyDescent="0.25"/>
  <cols>
    <col min="1" max="1" width="9.140625" style="480"/>
    <col min="2" max="2" width="20.85546875" style="480" bestFit="1" customWidth="1"/>
    <col min="3" max="3" width="20.42578125" style="480" bestFit="1" customWidth="1"/>
    <col min="4" max="5" width="20.7109375" style="480" bestFit="1" customWidth="1"/>
    <col min="6" max="6" width="9.140625" style="480"/>
    <col min="7" max="7" width="12.140625" style="480" customWidth="1"/>
    <col min="8" max="12" width="9.140625" style="480"/>
    <col min="13" max="13" width="9.42578125" style="480" bestFit="1" customWidth="1"/>
    <col min="14" max="14" width="2.85546875" style="480" customWidth="1"/>
    <col min="15" max="15" width="3.42578125" style="480" bestFit="1" customWidth="1"/>
    <col min="16" max="16" width="5.85546875" style="480" customWidth="1"/>
    <col min="17" max="17" width="3.42578125" style="480" bestFit="1" customWidth="1"/>
    <col min="18" max="18" width="2.85546875" style="525" customWidth="1"/>
    <col min="19" max="20" width="9.140625" style="480"/>
    <col min="21" max="21" width="8.5703125" style="480" customWidth="1"/>
    <col min="22" max="22" width="10.5703125" style="480" customWidth="1"/>
    <col min="23" max="16384" width="9.140625" style="480"/>
  </cols>
  <sheetData>
    <row r="1" spans="1:32" x14ac:dyDescent="0.25">
      <c r="B1" s="133" t="s">
        <v>24</v>
      </c>
      <c r="C1" s="133" t="s">
        <v>25</v>
      </c>
      <c r="D1" s="133" t="s">
        <v>26</v>
      </c>
      <c r="E1" s="133" t="s">
        <v>27</v>
      </c>
      <c r="F1" s="133" t="s">
        <v>185</v>
      </c>
      <c r="H1" s="133" t="s">
        <v>24</v>
      </c>
      <c r="I1" s="133" t="s">
        <v>25</v>
      </c>
      <c r="J1" s="133" t="s">
        <v>26</v>
      </c>
      <c r="K1" s="133" t="s">
        <v>27</v>
      </c>
      <c r="L1" s="216"/>
      <c r="S1" s="511" t="s">
        <v>184</v>
      </c>
      <c r="T1" s="511" t="s">
        <v>183</v>
      </c>
      <c r="U1" s="511" t="s">
        <v>182</v>
      </c>
      <c r="V1" s="511" t="s">
        <v>181</v>
      </c>
      <c r="W1" s="511" t="s">
        <v>180</v>
      </c>
    </row>
    <row r="2" spans="1:32" x14ac:dyDescent="0.25">
      <c r="A2" s="516">
        <v>1983</v>
      </c>
      <c r="B2" s="513">
        <f>'Escapement Age'!B6</f>
        <v>224.75157629255992</v>
      </c>
      <c r="C2" s="513">
        <f>'Escapement Age'!C6</f>
        <v>3424.1563682219421</v>
      </c>
      <c r="D2" s="513">
        <f>'Escapement Age'!D6</f>
        <v>6610.3404791929388</v>
      </c>
      <c r="E2" s="513">
        <f>'Escapement Age'!E6</f>
        <v>224.75157629255992</v>
      </c>
      <c r="F2" s="513">
        <f>'Escapement Age'!W6+'Catch Age'!H91</f>
        <v>793</v>
      </c>
      <c r="G2" s="514" t="s">
        <v>179</v>
      </c>
      <c r="H2" s="509">
        <f t="shared" ref="H2:H32" si="0">B2/$F2</f>
        <v>0.28341939002844885</v>
      </c>
      <c r="I2" s="509">
        <f t="shared" ref="I2:I32" si="1">C2/$F2</f>
        <v>4.3179777657275435</v>
      </c>
      <c r="J2" s="509">
        <f t="shared" ref="J2:J32" si="2">D2/$F2</f>
        <v>8.3358644126014365</v>
      </c>
      <c r="K2" s="509">
        <f t="shared" ref="K2:K32" si="3">E2/$F2</f>
        <v>0.28341939002844885</v>
      </c>
      <c r="L2" s="508"/>
      <c r="M2" s="531">
        <v>0</v>
      </c>
      <c r="N2" s="530" t="s">
        <v>178</v>
      </c>
      <c r="O2" s="529">
        <v>0</v>
      </c>
      <c r="P2" s="530" t="s">
        <v>178</v>
      </c>
      <c r="Q2" s="529">
        <v>0</v>
      </c>
      <c r="R2" s="528" t="s">
        <v>178</v>
      </c>
      <c r="S2" s="480">
        <v>1</v>
      </c>
      <c r="T2" s="505">
        <f>'Summary Data'!J12</f>
        <v>10484</v>
      </c>
      <c r="W2" s="507" t="str">
        <f>'Summary Data'!L12</f>
        <v>ND</v>
      </c>
      <c r="Z2" s="480">
        <v>0</v>
      </c>
      <c r="AA2" s="480" t="s">
        <v>178</v>
      </c>
      <c r="AB2" s="480">
        <v>0</v>
      </c>
      <c r="AC2" s="480" t="s">
        <v>178</v>
      </c>
      <c r="AD2" s="480">
        <v>0</v>
      </c>
      <c r="AE2" s="480" t="s">
        <v>178</v>
      </c>
      <c r="AF2" s="539">
        <f>Q2-AD2</f>
        <v>0</v>
      </c>
    </row>
    <row r="3" spans="1:32" x14ac:dyDescent="0.25">
      <c r="A3" s="516">
        <v>1984</v>
      </c>
      <c r="B3" s="513">
        <f>'Escapement Age'!B7</f>
        <v>0</v>
      </c>
      <c r="C3" s="513">
        <f>'Escapement Age'!C7</f>
        <v>4567.0548153180698</v>
      </c>
      <c r="D3" s="513">
        <f>'Escapement Age'!D7</f>
        <v>5941.3357475870325</v>
      </c>
      <c r="E3" s="513">
        <f>'Escapement Age'!E7</f>
        <v>111.05300462779499</v>
      </c>
      <c r="F3" s="513">
        <f>'Escapement Age'!W7+'Catch Age'!H92</f>
        <v>765</v>
      </c>
      <c r="G3" s="514" t="s">
        <v>179</v>
      </c>
      <c r="H3" s="509">
        <f t="shared" si="0"/>
        <v>0</v>
      </c>
      <c r="I3" s="509">
        <f t="shared" si="1"/>
        <v>5.9700062945334249</v>
      </c>
      <c r="J3" s="509">
        <f t="shared" si="2"/>
        <v>7.7664519576301076</v>
      </c>
      <c r="K3" s="509">
        <f t="shared" si="3"/>
        <v>0.14516732631084311</v>
      </c>
      <c r="L3" s="508"/>
      <c r="M3" s="527">
        <v>0</v>
      </c>
      <c r="N3" s="517" t="s">
        <v>178</v>
      </c>
      <c r="O3" s="526">
        <v>0</v>
      </c>
      <c r="P3" s="517" t="s">
        <v>178</v>
      </c>
      <c r="Q3" s="526">
        <v>0</v>
      </c>
      <c r="R3" s="520" t="s">
        <v>178</v>
      </c>
      <c r="S3" s="480">
        <v>2</v>
      </c>
      <c r="T3" s="505">
        <f>'Summary Data'!J13</f>
        <v>10619.443567532897</v>
      </c>
      <c r="W3" s="507" t="str">
        <f>'Summary Data'!L13</f>
        <v>ND</v>
      </c>
      <c r="Z3" s="480">
        <v>0</v>
      </c>
      <c r="AA3" s="480" t="s">
        <v>178</v>
      </c>
      <c r="AB3" s="480">
        <v>0</v>
      </c>
      <c r="AC3" s="480" t="s">
        <v>178</v>
      </c>
      <c r="AD3" s="480">
        <v>0</v>
      </c>
      <c r="AE3" s="480" t="s">
        <v>178</v>
      </c>
      <c r="AF3" s="539">
        <f>Q3-AD3</f>
        <v>0</v>
      </c>
    </row>
    <row r="4" spans="1:32" x14ac:dyDescent="0.25">
      <c r="A4" s="516">
        <v>1985</v>
      </c>
      <c r="B4" s="513">
        <f>'Escapement Age'!B8</f>
        <v>617.95794765638993</v>
      </c>
      <c r="C4" s="513">
        <f>'Escapement Age'!C8</f>
        <v>1936.2682359900218</v>
      </c>
      <c r="D4" s="513">
        <f>'Escapement Age'!D8</f>
        <v>5541.0229306522961</v>
      </c>
      <c r="E4" s="513">
        <f>'Escapement Age'!E8</f>
        <v>61.795794765638995</v>
      </c>
      <c r="F4" s="513">
        <f>'Escapement Age'!F8+'Catch Age'!H93</f>
        <v>8157.044909064346</v>
      </c>
      <c r="G4" s="514" t="s">
        <v>179</v>
      </c>
      <c r="H4" s="509">
        <f t="shared" si="0"/>
        <v>7.5757575757575774E-2</v>
      </c>
      <c r="I4" s="509">
        <f t="shared" si="1"/>
        <v>0.2373737373737374</v>
      </c>
      <c r="J4" s="509">
        <f t="shared" si="2"/>
        <v>0.67929292929292939</v>
      </c>
      <c r="K4" s="509">
        <f t="shared" si="3"/>
        <v>7.5757575757575768E-3</v>
      </c>
      <c r="L4" s="508"/>
      <c r="M4" s="527">
        <v>0</v>
      </c>
      <c r="N4" s="517" t="s">
        <v>178</v>
      </c>
      <c r="O4" s="526">
        <v>0</v>
      </c>
      <c r="P4" s="517" t="s">
        <v>178</v>
      </c>
      <c r="Q4" s="526">
        <v>0</v>
      </c>
      <c r="R4" s="520" t="s">
        <v>178</v>
      </c>
      <c r="S4" s="480">
        <v>3</v>
      </c>
      <c r="T4" s="505">
        <f>'Summary Data'!J14</f>
        <v>8157.0449090643469</v>
      </c>
      <c r="W4" s="507" t="str">
        <f>'Summary Data'!L14</f>
        <v>ND</v>
      </c>
      <c r="Z4" s="480">
        <v>0</v>
      </c>
      <c r="AA4" s="480" t="s">
        <v>178</v>
      </c>
      <c r="AB4" s="480">
        <v>0</v>
      </c>
      <c r="AC4" s="480" t="s">
        <v>178</v>
      </c>
      <c r="AD4" s="480">
        <v>0</v>
      </c>
      <c r="AE4" s="480" t="s">
        <v>178</v>
      </c>
      <c r="AF4" s="539">
        <f>Q4-AD4</f>
        <v>0</v>
      </c>
    </row>
    <row r="5" spans="1:32" x14ac:dyDescent="0.25">
      <c r="A5" s="235">
        <v>1986</v>
      </c>
      <c r="B5" s="506">
        <f>'Escapement Age'!B9+'Catch Age'!D92</f>
        <v>24.210088268618353</v>
      </c>
      <c r="C5" s="506">
        <f>'Escapement Age'!C9+'Catch Age'!E92</f>
        <v>5963.3368871362891</v>
      </c>
      <c r="D5" s="506">
        <f>'Escapement Age'!D9+'Catch Age'!F92</f>
        <v>5875.8781221060381</v>
      </c>
      <c r="E5" s="506">
        <f>'Escapement Age'!E9+'Catch Age'!G92</f>
        <v>519.64055923412207</v>
      </c>
      <c r="F5" s="506">
        <f t="shared" ref="F5:F32" si="4">SUM(B5:E5)</f>
        <v>12383.065656745068</v>
      </c>
      <c r="H5" s="508">
        <f>B5/$F5</f>
        <v>1.9550964954652482E-3</v>
      </c>
      <c r="I5" s="508">
        <f t="shared" si="1"/>
        <v>0.48157193480501764</v>
      </c>
      <c r="J5" s="508">
        <f t="shared" si="2"/>
        <v>0.47450916315746428</v>
      </c>
      <c r="K5" s="508">
        <f t="shared" si="3"/>
        <v>4.1963805542052778E-2</v>
      </c>
      <c r="L5" s="508"/>
      <c r="M5" s="522">
        <f>(H5+I5)*$M$36</f>
        <v>48.35270313004829</v>
      </c>
      <c r="N5" s="540" t="s">
        <v>178</v>
      </c>
      <c r="O5" s="538">
        <f>(J5)*$M$36</f>
        <v>47.450916315746426</v>
      </c>
      <c r="P5" s="540" t="s">
        <v>178</v>
      </c>
      <c r="Q5" s="538">
        <f>(K5)*$M$36</f>
        <v>4.1963805542052777</v>
      </c>
      <c r="R5" s="541" t="s">
        <v>178</v>
      </c>
      <c r="S5" s="480">
        <v>4</v>
      </c>
      <c r="T5" s="505">
        <f>'Summary Data'!J15</f>
        <v>7037.0656567450678</v>
      </c>
      <c r="U5" s="505">
        <f>'Catch Age'!I92</f>
        <v>5346.0000000000009</v>
      </c>
      <c r="V5" s="510">
        <f>U5/F5</f>
        <v>0.43171861865143463</v>
      </c>
      <c r="W5" s="507">
        <f>'Summary Data'!L15</f>
        <v>12383.065656745068</v>
      </c>
      <c r="X5" s="506">
        <f>SUM(T5:U5)</f>
        <v>12383.065656745068</v>
      </c>
      <c r="Y5" s="505"/>
      <c r="Z5" s="480">
        <v>48</v>
      </c>
      <c r="AA5" s="480" t="s">
        <v>178</v>
      </c>
      <c r="AB5" s="480">
        <v>47</v>
      </c>
      <c r="AC5" s="480" t="s">
        <v>178</v>
      </c>
      <c r="AD5" s="480">
        <v>4</v>
      </c>
      <c r="AE5" s="480" t="s">
        <v>178</v>
      </c>
      <c r="AF5" s="539">
        <f t="shared" ref="AF5:AF32" si="5">Q5-AD5</f>
        <v>0.19638055420527767</v>
      </c>
    </row>
    <row r="6" spans="1:32" x14ac:dyDescent="0.25">
      <c r="A6" s="235">
        <v>1987</v>
      </c>
      <c r="B6" s="506">
        <f>'Escapement Age'!B10+'Catch Age'!D93</f>
        <v>0</v>
      </c>
      <c r="C6" s="506">
        <f>'Escapement Age'!C10+'Catch Age'!E93</f>
        <v>892.11014577577635</v>
      </c>
      <c r="D6" s="506">
        <f>'Escapement Age'!D10+'Catch Age'!F93</f>
        <v>18270.675954171413</v>
      </c>
      <c r="E6" s="506">
        <f>'Escapement Age'!E10+'Catch Age'!G93</f>
        <v>378.62990167768982</v>
      </c>
      <c r="F6" s="506">
        <f t="shared" si="4"/>
        <v>19541.416001624879</v>
      </c>
      <c r="H6" s="508">
        <f t="shared" si="0"/>
        <v>0</v>
      </c>
      <c r="I6" s="508">
        <f t="shared" si="1"/>
        <v>4.5652277486012117E-2</v>
      </c>
      <c r="J6" s="508">
        <f t="shared" si="2"/>
        <v>0.93497195662034915</v>
      </c>
      <c r="K6" s="508">
        <f t="shared" si="3"/>
        <v>1.9375765893638749E-2</v>
      </c>
      <c r="L6" s="508"/>
      <c r="M6" s="522">
        <f>(H6+I6)*$M$36</f>
        <v>4.5652277486012114</v>
      </c>
      <c r="N6" s="540" t="s">
        <v>178</v>
      </c>
      <c r="O6" s="538">
        <f t="shared" ref="O6:O30" si="6">(J6)*$M$36</f>
        <v>93.497195662034912</v>
      </c>
      <c r="P6" s="540" t="s">
        <v>178</v>
      </c>
      <c r="Q6" s="538">
        <f t="shared" ref="Q6:Q30" si="7">(K6)*$M$36</f>
        <v>1.937576589363875</v>
      </c>
      <c r="R6" s="541" t="s">
        <v>178</v>
      </c>
      <c r="S6" s="480">
        <v>5</v>
      </c>
      <c r="T6" s="505">
        <f>'Summary Data'!J16</f>
        <v>10257.416001624877</v>
      </c>
      <c r="U6" s="505">
        <f>'Catch Age'!I93</f>
        <v>9284</v>
      </c>
      <c r="V6" s="510">
        <f>U6/F6</f>
        <v>0.47509351416642637</v>
      </c>
      <c r="W6" s="507">
        <f>'Summary Data'!L16</f>
        <v>19541.416001624879</v>
      </c>
      <c r="X6" s="506">
        <f>SUM(T6:U6)</f>
        <v>19541.416001624879</v>
      </c>
      <c r="Y6" s="505"/>
      <c r="Z6" s="506">
        <v>5</v>
      </c>
      <c r="AA6" s="480" t="s">
        <v>178</v>
      </c>
      <c r="AB6" s="480">
        <v>93</v>
      </c>
      <c r="AC6" s="480" t="s">
        <v>178</v>
      </c>
      <c r="AD6" s="480">
        <v>2</v>
      </c>
      <c r="AE6" s="480" t="s">
        <v>178</v>
      </c>
      <c r="AF6" s="539">
        <f t="shared" si="5"/>
        <v>-6.2423410636124999E-2</v>
      </c>
    </row>
    <row r="7" spans="1:32" x14ac:dyDescent="0.25">
      <c r="A7" s="237">
        <v>1988</v>
      </c>
      <c r="B7" s="506">
        <f>'Escapement Age'!B11+'Catch Age'!D94</f>
        <v>2.7597248749813859</v>
      </c>
      <c r="C7" s="506">
        <f>'Escapement Age'!C11+'Catch Age'!E94</f>
        <v>1820.0868167450485</v>
      </c>
      <c r="D7" s="506">
        <f>'Escapement Age'!D11+'Catch Age'!F94</f>
        <v>2559.6954524929265</v>
      </c>
      <c r="E7" s="506">
        <f>'Escapement Age'!E11+'Catch Age'!G94</f>
        <v>73.116698499776632</v>
      </c>
      <c r="F7" s="506">
        <f t="shared" si="4"/>
        <v>4455.6586926127329</v>
      </c>
      <c r="H7" s="508">
        <f t="shared" si="0"/>
        <v>6.1937528553452183E-4</v>
      </c>
      <c r="I7" s="508">
        <f t="shared" si="1"/>
        <v>0.40848883236111971</v>
      </c>
      <c r="J7" s="508">
        <f t="shared" si="2"/>
        <v>0.57448194062457658</v>
      </c>
      <c r="K7" s="508">
        <f t="shared" si="3"/>
        <v>1.6409851728769215E-2</v>
      </c>
      <c r="L7" s="508"/>
      <c r="M7" s="522">
        <f>(H7+I7)*$M$36</f>
        <v>40.910820764665424</v>
      </c>
      <c r="N7" s="540" t="s">
        <v>178</v>
      </c>
      <c r="O7" s="538">
        <f t="shared" si="6"/>
        <v>57.448194062457659</v>
      </c>
      <c r="P7" s="540" t="s">
        <v>178</v>
      </c>
      <c r="Q7" s="538">
        <f t="shared" si="7"/>
        <v>1.6409851728769214</v>
      </c>
      <c r="R7" s="541" t="s">
        <v>178</v>
      </c>
      <c r="S7" s="480">
        <v>6</v>
      </c>
      <c r="T7" s="505">
        <f>'Summary Data'!J17</f>
        <v>1818.6586926127331</v>
      </c>
      <c r="U7" s="505">
        <f>'Catch Age'!I94</f>
        <v>2637</v>
      </c>
      <c r="V7" s="510">
        <f>U7/F7</f>
        <v>0.59183168683275011</v>
      </c>
      <c r="W7" s="507">
        <f>'Summary Data'!L17</f>
        <v>4455.6586926127329</v>
      </c>
      <c r="X7" s="506">
        <f>SUM(T7:U7)</f>
        <v>4455.6586926127329</v>
      </c>
      <c r="Y7" s="505"/>
      <c r="Z7" s="506">
        <v>41</v>
      </c>
      <c r="AA7" s="480" t="s">
        <v>178</v>
      </c>
      <c r="AB7" s="480">
        <v>57</v>
      </c>
      <c r="AC7" s="480" t="s">
        <v>178</v>
      </c>
      <c r="AD7" s="480">
        <v>2</v>
      </c>
      <c r="AE7" s="480" t="s">
        <v>178</v>
      </c>
      <c r="AF7" s="539">
        <f t="shared" si="5"/>
        <v>-0.35901482712307864</v>
      </c>
    </row>
    <row r="8" spans="1:32" x14ac:dyDescent="0.25">
      <c r="A8" s="147">
        <v>1989</v>
      </c>
      <c r="B8" s="506">
        <f>'Escapement Age'!B12+'Catch Age'!D95</f>
        <v>12.58701196779103</v>
      </c>
      <c r="C8" s="506">
        <f>'Escapement Age'!C12+'Catch Age'!E95</f>
        <v>5105.3858874943126</v>
      </c>
      <c r="D8" s="506">
        <f>'Escapement Age'!D12+'Catch Age'!F95</f>
        <v>14983.131295900497</v>
      </c>
      <c r="E8" s="506">
        <f>'Escapement Age'!E12+'Catch Age'!G95</f>
        <v>1522.0453043056796</v>
      </c>
      <c r="F8" s="506">
        <f t="shared" si="4"/>
        <v>21623.149499668281</v>
      </c>
      <c r="H8" s="508">
        <f t="shared" si="0"/>
        <v>5.8210816920930631E-4</v>
      </c>
      <c r="I8" s="508">
        <f t="shared" si="1"/>
        <v>0.23610741291746765</v>
      </c>
      <c r="J8" s="508">
        <f t="shared" si="2"/>
        <v>0.69292085762670008</v>
      </c>
      <c r="K8" s="508">
        <f t="shared" si="3"/>
        <v>7.0389621286622892E-2</v>
      </c>
      <c r="L8" s="508"/>
      <c r="M8" s="522">
        <f>(H8+I8)*$M$36</f>
        <v>23.668952108667696</v>
      </c>
      <c r="N8" s="540" t="s">
        <v>178</v>
      </c>
      <c r="O8" s="538">
        <f t="shared" si="6"/>
        <v>69.292085762670013</v>
      </c>
      <c r="P8" s="540" t="s">
        <v>178</v>
      </c>
      <c r="Q8" s="538">
        <f t="shared" si="7"/>
        <v>7.0389621286622894</v>
      </c>
      <c r="R8" s="541" t="s">
        <v>178</v>
      </c>
      <c r="S8" s="480">
        <v>7</v>
      </c>
      <c r="T8" s="505">
        <f>'Summary Data'!J18</f>
        <v>14198.149499668281</v>
      </c>
      <c r="U8" s="505">
        <f>'Catch Age'!I95</f>
        <v>7425</v>
      </c>
      <c r="V8" s="510">
        <f>U8/F8</f>
        <v>0.34338198513190255</v>
      </c>
      <c r="W8" s="507">
        <f>'Summary Data'!L18</f>
        <v>21623.149499668281</v>
      </c>
      <c r="X8" s="506">
        <f>SUM(T8:U8)</f>
        <v>21623.149499668281</v>
      </c>
      <c r="Y8" s="505"/>
      <c r="Z8" s="506">
        <v>24</v>
      </c>
      <c r="AA8" s="480" t="s">
        <v>178</v>
      </c>
      <c r="AB8" s="480">
        <v>69</v>
      </c>
      <c r="AC8" s="480" t="s">
        <v>178</v>
      </c>
      <c r="AD8" s="480">
        <v>7</v>
      </c>
      <c r="AE8" s="480" t="s">
        <v>178</v>
      </c>
      <c r="AF8" s="539">
        <f t="shared" si="5"/>
        <v>3.896212866228943E-2</v>
      </c>
    </row>
    <row r="9" spans="1:32" x14ac:dyDescent="0.25">
      <c r="A9" s="147">
        <v>1990</v>
      </c>
      <c r="B9" s="506">
        <f>'Escapement Age'!B13+'Catch Age'!D96</f>
        <v>88.495322550546987</v>
      </c>
      <c r="C9" s="506">
        <f>'Escapement Age'!C13+'Catch Age'!E96</f>
        <v>9510.025836992796</v>
      </c>
      <c r="D9" s="506">
        <f>'Escapement Age'!D13+'Catch Age'!F96</f>
        <v>12057.542013753889</v>
      </c>
      <c r="E9" s="506">
        <f>'Escapement Age'!E13+'Catch Age'!G96</f>
        <v>717.63578104926535</v>
      </c>
      <c r="F9" s="506">
        <f t="shared" si="4"/>
        <v>22373.698954346499</v>
      </c>
      <c r="H9" s="508">
        <f t="shared" si="0"/>
        <v>3.9553282061728628E-3</v>
      </c>
      <c r="I9" s="508">
        <f t="shared" si="1"/>
        <v>0.42505380341435678</v>
      </c>
      <c r="J9" s="508">
        <f t="shared" si="2"/>
        <v>0.53891589577375143</v>
      </c>
      <c r="K9" s="508">
        <f t="shared" si="3"/>
        <v>3.2074972605718892E-2</v>
      </c>
      <c r="L9" s="508"/>
      <c r="M9" s="522">
        <f>(H9+I9)*$M$36</f>
        <v>42.900913162052959</v>
      </c>
      <c r="N9" s="540" t="s">
        <v>178</v>
      </c>
      <c r="O9" s="538">
        <f t="shared" si="6"/>
        <v>53.891589577375143</v>
      </c>
      <c r="P9" s="540" t="s">
        <v>178</v>
      </c>
      <c r="Q9" s="538">
        <f t="shared" si="7"/>
        <v>3.207497260571889</v>
      </c>
      <c r="R9" s="541" t="s">
        <v>178</v>
      </c>
      <c r="S9" s="480">
        <v>8</v>
      </c>
      <c r="T9" s="505">
        <f>'Summary Data'!J19</f>
        <v>18308.698954346499</v>
      </c>
      <c r="U9" s="505">
        <f>'Catch Age'!I96</f>
        <v>4064.9999999999995</v>
      </c>
      <c r="V9" s="510">
        <f>U9/F9</f>
        <v>0.18168654223401443</v>
      </c>
      <c r="W9" s="507">
        <f>'Summary Data'!L19</f>
        <v>22373.698954346499</v>
      </c>
      <c r="X9" s="506">
        <f>SUM(T9:U9)</f>
        <v>22373.698954346499</v>
      </c>
      <c r="Y9" s="505"/>
      <c r="Z9" s="506">
        <v>43</v>
      </c>
      <c r="AA9" s="480" t="s">
        <v>178</v>
      </c>
      <c r="AB9" s="480">
        <v>54</v>
      </c>
      <c r="AC9" s="480" t="s">
        <v>178</v>
      </c>
      <c r="AD9" s="480">
        <v>3</v>
      </c>
      <c r="AE9" s="480" t="s">
        <v>178</v>
      </c>
      <c r="AF9" s="539">
        <f t="shared" si="5"/>
        <v>0.207497260571889</v>
      </c>
    </row>
    <row r="10" spans="1:32" x14ac:dyDescent="0.25">
      <c r="A10" s="515">
        <v>1991</v>
      </c>
      <c r="B10" s="512">
        <f>'Escapement Age'!B14</f>
        <v>12.454220534707405</v>
      </c>
      <c r="C10" s="512">
        <f>'Escapement Age'!C14</f>
        <v>460.80615978417399</v>
      </c>
      <c r="D10" s="512">
        <f>'Escapement Age'!D14</f>
        <v>1382.4184793525219</v>
      </c>
      <c r="E10" s="512">
        <f>'Escapement Age'!E14</f>
        <v>62.271102673537015</v>
      </c>
      <c r="F10" s="513">
        <f t="shared" si="4"/>
        <v>1917.9499623449401</v>
      </c>
      <c r="G10" s="514" t="s">
        <v>179</v>
      </c>
      <c r="H10" s="509">
        <f t="shared" si="0"/>
        <v>6.4935064935064939E-3</v>
      </c>
      <c r="I10" s="509">
        <f t="shared" si="1"/>
        <v>0.24025974025974028</v>
      </c>
      <c r="J10" s="509">
        <f t="shared" si="2"/>
        <v>0.72077922077922085</v>
      </c>
      <c r="K10" s="509">
        <f t="shared" si="3"/>
        <v>3.2467532467532464E-2</v>
      </c>
      <c r="L10" s="508"/>
      <c r="M10" s="537">
        <v>0</v>
      </c>
      <c r="N10" s="534" t="s">
        <v>178</v>
      </c>
      <c r="O10" s="523">
        <v>0</v>
      </c>
      <c r="P10" s="534" t="s">
        <v>178</v>
      </c>
      <c r="Q10" s="533">
        <v>0</v>
      </c>
      <c r="R10" s="532" t="s">
        <v>178</v>
      </c>
      <c r="S10" s="480">
        <v>9</v>
      </c>
      <c r="T10" s="505">
        <f>'Summary Data'!J20</f>
        <v>1917.9499623449403</v>
      </c>
      <c r="U10" s="505"/>
      <c r="V10" s="510"/>
      <c r="W10" s="507">
        <f>'Summary Data'!L20</f>
        <v>3368.5441574009296</v>
      </c>
      <c r="X10" s="506"/>
      <c r="Y10" s="505"/>
      <c r="Z10" s="506">
        <v>0</v>
      </c>
      <c r="AA10" s="480" t="s">
        <v>178</v>
      </c>
      <c r="AB10" s="480">
        <v>0</v>
      </c>
      <c r="AC10" s="480" t="s">
        <v>178</v>
      </c>
      <c r="AD10" s="480">
        <v>0</v>
      </c>
      <c r="AE10" s="480" t="s">
        <v>178</v>
      </c>
      <c r="AF10" s="539">
        <f t="shared" si="5"/>
        <v>0</v>
      </c>
    </row>
    <row r="11" spans="1:32" x14ac:dyDescent="0.25">
      <c r="A11" s="147">
        <v>1992</v>
      </c>
      <c r="B11" s="506">
        <f>'Escapement Age'!B15+'Catch Age'!D98</f>
        <v>0</v>
      </c>
      <c r="C11" s="506">
        <f>'Escapement Age'!C15+'Catch Age'!E98</f>
        <v>8110.3926343450294</v>
      </c>
      <c r="D11" s="506">
        <f>'Escapement Age'!D15+'Catch Age'!F98</f>
        <v>11593.936039577544</v>
      </c>
      <c r="E11" s="506">
        <f>'Escapement Age'!E15+'Catch Age'!G98</f>
        <v>620.77996530062865</v>
      </c>
      <c r="F11" s="506">
        <f t="shared" si="4"/>
        <v>20325.108639223203</v>
      </c>
      <c r="H11" s="508">
        <f t="shared" si="0"/>
        <v>0</v>
      </c>
      <c r="I11" s="508">
        <f t="shared" si="1"/>
        <v>0.399033175089341</v>
      </c>
      <c r="J11" s="508">
        <f t="shared" si="2"/>
        <v>0.57042430844397429</v>
      </c>
      <c r="K11" s="508">
        <f t="shared" si="3"/>
        <v>3.0542516466684627E-2</v>
      </c>
      <c r="L11" s="508"/>
      <c r="M11" s="522">
        <f>(H11+I11)*$M$36</f>
        <v>39.903317508934101</v>
      </c>
      <c r="N11" s="540" t="s">
        <v>178</v>
      </c>
      <c r="O11" s="538">
        <f t="shared" si="6"/>
        <v>57.04243084439743</v>
      </c>
      <c r="P11" s="540" t="s">
        <v>178</v>
      </c>
      <c r="Q11" s="538">
        <f t="shared" si="7"/>
        <v>3.0542516466684626</v>
      </c>
      <c r="R11" s="541" t="s">
        <v>178</v>
      </c>
      <c r="S11" s="480">
        <v>10</v>
      </c>
      <c r="T11" s="505">
        <f>'Summary Data'!J21</f>
        <v>10299.108639223201</v>
      </c>
      <c r="U11" s="505">
        <f>'Catch Age'!I98</f>
        <v>10026</v>
      </c>
      <c r="V11" s="510">
        <f>U11/F11</f>
        <v>0.49328149620080847</v>
      </c>
      <c r="W11" s="507">
        <f>'Summary Data'!L21</f>
        <v>20325.108639223203</v>
      </c>
      <c r="X11" s="506">
        <f t="shared" ref="X11:X30" si="8">SUM(T11:U11)</f>
        <v>20325.108639223203</v>
      </c>
      <c r="Y11" s="505"/>
      <c r="Z11" s="506">
        <v>40</v>
      </c>
      <c r="AA11" s="480" t="s">
        <v>178</v>
      </c>
      <c r="AB11" s="480">
        <v>57</v>
      </c>
      <c r="AC11" s="480" t="s">
        <v>178</v>
      </c>
      <c r="AD11" s="480">
        <v>3</v>
      </c>
      <c r="AE11" s="480" t="s">
        <v>178</v>
      </c>
      <c r="AF11" s="539">
        <f t="shared" si="5"/>
        <v>5.4251646668462605E-2</v>
      </c>
    </row>
    <row r="12" spans="1:32" x14ac:dyDescent="0.25">
      <c r="A12" s="515">
        <v>1993</v>
      </c>
      <c r="B12" s="512">
        <f>'Catch Age'!D99</f>
        <v>0</v>
      </c>
      <c r="C12" s="512">
        <f>'Catch Age'!E99</f>
        <v>2353.4170455167882</v>
      </c>
      <c r="D12" s="512">
        <f>'Catch Age'!F99</f>
        <v>15039.695568822917</v>
      </c>
      <c r="E12" s="512">
        <f>'Catch Age'!G99</f>
        <v>1007.8873856602946</v>
      </c>
      <c r="F12" s="512">
        <f t="shared" si="4"/>
        <v>18401</v>
      </c>
      <c r="G12" s="514" t="s">
        <v>186</v>
      </c>
      <c r="H12" s="508">
        <f t="shared" si="0"/>
        <v>0</v>
      </c>
      <c r="I12" s="508">
        <f t="shared" si="1"/>
        <v>0.12789614942213945</v>
      </c>
      <c r="J12" s="508">
        <f t="shared" si="2"/>
        <v>0.81733033904803642</v>
      </c>
      <c r="K12" s="508">
        <f t="shared" si="3"/>
        <v>5.4773511529824175E-2</v>
      </c>
      <c r="L12" s="508"/>
      <c r="M12" s="519">
        <v>0</v>
      </c>
      <c r="N12" s="517" t="s">
        <v>178</v>
      </c>
      <c r="O12" s="518">
        <v>0</v>
      </c>
      <c r="P12" s="517" t="s">
        <v>178</v>
      </c>
      <c r="Q12" s="518">
        <v>0</v>
      </c>
      <c r="R12" s="520" t="s">
        <v>178</v>
      </c>
      <c r="S12" s="480">
        <v>11</v>
      </c>
      <c r="T12" s="505" t="str">
        <f>'Summary Data'!J22</f>
        <v>ND</v>
      </c>
      <c r="U12" s="505">
        <f>'Catch Age'!I99</f>
        <v>18401</v>
      </c>
      <c r="V12" s="510"/>
      <c r="W12" s="507" t="str">
        <f>'Summary Data'!L22</f>
        <v>ND</v>
      </c>
      <c r="X12" s="506">
        <f t="shared" si="8"/>
        <v>18401</v>
      </c>
      <c r="Y12" s="505"/>
      <c r="Z12" s="506">
        <v>0</v>
      </c>
      <c r="AA12" s="480" t="s">
        <v>178</v>
      </c>
      <c r="AB12" s="480">
        <v>0</v>
      </c>
      <c r="AC12" s="480" t="s">
        <v>178</v>
      </c>
      <c r="AD12" s="480">
        <v>0</v>
      </c>
      <c r="AE12" s="480" t="s">
        <v>178</v>
      </c>
      <c r="AF12" s="539">
        <f t="shared" si="5"/>
        <v>0</v>
      </c>
    </row>
    <row r="13" spans="1:32" x14ac:dyDescent="0.25">
      <c r="A13" s="515">
        <v>1994</v>
      </c>
      <c r="B13" s="512">
        <f>'Catch Age'!D100</f>
        <v>0</v>
      </c>
      <c r="C13" s="512">
        <f>'Catch Age'!E100</f>
        <v>78.103106411103767</v>
      </c>
      <c r="D13" s="512">
        <f>'Catch Age'!F100</f>
        <v>1418.8730998017186</v>
      </c>
      <c r="E13" s="512">
        <f>'Catch Age'!G100</f>
        <v>18.023793787177791</v>
      </c>
      <c r="F13" s="512">
        <f t="shared" si="4"/>
        <v>1515</v>
      </c>
      <c r="G13" s="514" t="s">
        <v>186</v>
      </c>
      <c r="H13" s="508">
        <f t="shared" si="0"/>
        <v>0</v>
      </c>
      <c r="I13" s="508">
        <f t="shared" si="1"/>
        <v>5.1553205551883675E-2</v>
      </c>
      <c r="J13" s="508">
        <f t="shared" si="2"/>
        <v>0.93654990085922019</v>
      </c>
      <c r="K13" s="508">
        <f t="shared" si="3"/>
        <v>1.1896893588896231E-2</v>
      </c>
      <c r="L13" s="508"/>
      <c r="M13" s="519">
        <v>0</v>
      </c>
      <c r="N13" s="517" t="s">
        <v>178</v>
      </c>
      <c r="O13" s="518">
        <v>0</v>
      </c>
      <c r="P13" s="517" t="s">
        <v>178</v>
      </c>
      <c r="Q13" s="518">
        <v>0</v>
      </c>
      <c r="R13" s="520" t="s">
        <v>178</v>
      </c>
      <c r="S13" s="480">
        <v>12</v>
      </c>
      <c r="T13" s="505" t="str">
        <f>'Summary Data'!J23</f>
        <v>ND</v>
      </c>
      <c r="U13" s="505">
        <f>'Catch Age'!I100</f>
        <v>1515</v>
      </c>
      <c r="V13" s="510"/>
      <c r="W13" s="507" t="str">
        <f>'Summary Data'!L23</f>
        <v>ND</v>
      </c>
      <c r="X13" s="506">
        <f t="shared" si="8"/>
        <v>1515</v>
      </c>
      <c r="Y13" s="505"/>
      <c r="Z13" s="506">
        <v>0</v>
      </c>
      <c r="AA13" s="480" t="s">
        <v>178</v>
      </c>
      <c r="AB13" s="480">
        <v>0</v>
      </c>
      <c r="AC13" s="480" t="s">
        <v>178</v>
      </c>
      <c r="AD13" s="480">
        <v>0</v>
      </c>
      <c r="AE13" s="480" t="s">
        <v>178</v>
      </c>
      <c r="AF13" s="539">
        <f t="shared" si="5"/>
        <v>0</v>
      </c>
    </row>
    <row r="14" spans="1:32" x14ac:dyDescent="0.25">
      <c r="A14" s="147">
        <v>1995</v>
      </c>
      <c r="B14" s="506">
        <f>'Escapement Age'!B18+'Catch Age'!D101</f>
        <v>38.564871513271804</v>
      </c>
      <c r="C14" s="506">
        <f>'Escapement Age'!C18+'Catch Age'!E101</f>
        <v>6926.7996730504874</v>
      </c>
      <c r="D14" s="506">
        <f>'Escapement Age'!D18+'Catch Age'!F101</f>
        <v>7619.6191032736278</v>
      </c>
      <c r="E14" s="506">
        <f>'Escapement Age'!E18+'Catch Age'!G101</f>
        <v>1733.4790273184158</v>
      </c>
      <c r="F14" s="506">
        <f t="shared" si="4"/>
        <v>16318.462675155803</v>
      </c>
      <c r="H14" s="508">
        <f t="shared" si="0"/>
        <v>2.3632662145304443E-3</v>
      </c>
      <c r="I14" s="508">
        <f t="shared" si="1"/>
        <v>0.42447623963967263</v>
      </c>
      <c r="J14" s="508">
        <f t="shared" si="2"/>
        <v>0.46693240993063573</v>
      </c>
      <c r="K14" s="508">
        <f t="shared" si="3"/>
        <v>0.10622808421516122</v>
      </c>
      <c r="L14" s="508"/>
      <c r="M14" s="522">
        <f t="shared" ref="M14:M30" si="9">(H14+I14)*$M$36</f>
        <v>42.683950585420305</v>
      </c>
      <c r="N14" s="540" t="s">
        <v>178</v>
      </c>
      <c r="O14" s="538">
        <f t="shared" si="6"/>
        <v>46.693240993063576</v>
      </c>
      <c r="P14" s="540" t="s">
        <v>178</v>
      </c>
      <c r="Q14" s="538">
        <f t="shared" si="7"/>
        <v>10.622808421516122</v>
      </c>
      <c r="R14" s="541" t="s">
        <v>178</v>
      </c>
      <c r="S14" s="480">
        <v>13</v>
      </c>
      <c r="T14" s="505">
        <f>'Summary Data'!J24</f>
        <v>8201.4626751558026</v>
      </c>
      <c r="U14" s="505">
        <f>'Catch Age'!I101</f>
        <v>8117</v>
      </c>
      <c r="V14" s="510">
        <f t="shared" ref="V14:V30" si="10">U14/F14</f>
        <v>0.49741205170985886</v>
      </c>
      <c r="W14" s="507">
        <f>'Summary Data'!L24</f>
        <v>16318.462675155803</v>
      </c>
      <c r="X14" s="506">
        <f t="shared" si="8"/>
        <v>16318.462675155803</v>
      </c>
      <c r="Y14" s="505"/>
      <c r="Z14" s="506">
        <v>43</v>
      </c>
      <c r="AA14" s="480" t="s">
        <v>178</v>
      </c>
      <c r="AB14" s="480">
        <v>47</v>
      </c>
      <c r="AC14" s="480" t="s">
        <v>178</v>
      </c>
      <c r="AD14" s="480">
        <v>11</v>
      </c>
      <c r="AE14" s="480" t="s">
        <v>178</v>
      </c>
      <c r="AF14" s="539">
        <f t="shared" si="5"/>
        <v>-0.37719157848387752</v>
      </c>
    </row>
    <row r="15" spans="1:32" x14ac:dyDescent="0.25">
      <c r="A15" s="147">
        <v>1996</v>
      </c>
      <c r="B15" s="506">
        <f>'Escapement Age'!B19+'Catch Age'!D102</f>
        <v>208.3098529284191</v>
      </c>
      <c r="C15" s="506">
        <f>'Escapement Age'!C19+'Catch Age'!E102</f>
        <v>2314.9037388621618</v>
      </c>
      <c r="D15" s="506">
        <f>'Escapement Age'!D19+'Catch Age'!F102</f>
        <v>16478.926892764885</v>
      </c>
      <c r="E15" s="506">
        <f>'Escapement Age'!E19+'Catch Age'!G102</f>
        <v>20.830985292841909</v>
      </c>
      <c r="F15" s="506">
        <f t="shared" si="4"/>
        <v>19022.971469848308</v>
      </c>
      <c r="H15" s="508">
        <f t="shared" si="0"/>
        <v>1.0950437120646125E-2</v>
      </c>
      <c r="I15" s="508">
        <f t="shared" si="1"/>
        <v>0.12168991277368621</v>
      </c>
      <c r="J15" s="508">
        <f t="shared" si="2"/>
        <v>0.86626460639360303</v>
      </c>
      <c r="K15" s="508">
        <f t="shared" si="3"/>
        <v>1.0950437120646125E-3</v>
      </c>
      <c r="L15" s="508"/>
      <c r="M15" s="522">
        <f t="shared" si="9"/>
        <v>13.264034989433233</v>
      </c>
      <c r="N15" s="540" t="s">
        <v>178</v>
      </c>
      <c r="O15" s="538">
        <f t="shared" si="6"/>
        <v>86.626460639360303</v>
      </c>
      <c r="P15" s="540" t="s">
        <v>178</v>
      </c>
      <c r="Q15" s="538">
        <f t="shared" si="7"/>
        <v>0.10950437120646125</v>
      </c>
      <c r="R15" s="541" t="s">
        <v>178</v>
      </c>
      <c r="S15" s="480">
        <v>14</v>
      </c>
      <c r="T15" s="505">
        <f>'Summary Data'!J25</f>
        <v>12081.971469848308</v>
      </c>
      <c r="U15" s="505">
        <f>'Catch Age'!I102</f>
        <v>6941</v>
      </c>
      <c r="V15" s="510">
        <f t="shared" si="10"/>
        <v>0.3648746470025247</v>
      </c>
      <c r="W15" s="507">
        <f>'Summary Data'!L25</f>
        <v>19022.971469848308</v>
      </c>
      <c r="X15" s="506">
        <f t="shared" si="8"/>
        <v>19022.971469848308</v>
      </c>
      <c r="Y15" s="505"/>
      <c r="Z15" s="506">
        <v>13</v>
      </c>
      <c r="AA15" s="480" t="s">
        <v>178</v>
      </c>
      <c r="AB15" s="480">
        <v>87</v>
      </c>
      <c r="AC15" s="480" t="s">
        <v>178</v>
      </c>
      <c r="AD15" s="480">
        <v>0</v>
      </c>
      <c r="AE15" s="480" t="s">
        <v>178</v>
      </c>
      <c r="AF15" s="539">
        <f t="shared" si="5"/>
        <v>0.10950437120646125</v>
      </c>
    </row>
    <row r="16" spans="1:32" x14ac:dyDescent="0.25">
      <c r="A16" s="147">
        <v>1997</v>
      </c>
      <c r="B16" s="506">
        <f>'Escapement Age'!B20+'Catch Age'!D103</f>
        <v>103.19290245025569</v>
      </c>
      <c r="C16" s="506">
        <f>'Escapement Age'!C20+'Catch Age'!E103</f>
        <v>4390.7590405928149</v>
      </c>
      <c r="D16" s="506">
        <f>'Escapement Age'!D20+'Catch Age'!F103</f>
        <v>4390.7879142863749</v>
      </c>
      <c r="E16" s="506">
        <f>'Escapement Age'!E20+'Catch Age'!G103</f>
        <v>87.030052713591232</v>
      </c>
      <c r="F16" s="506">
        <f t="shared" si="4"/>
        <v>8971.7699100430364</v>
      </c>
      <c r="H16" s="508">
        <f t="shared" si="0"/>
        <v>1.1501955966875735E-2</v>
      </c>
      <c r="I16" s="508">
        <f t="shared" si="1"/>
        <v>0.48939719638571882</v>
      </c>
      <c r="J16" s="508">
        <f t="shared" si="2"/>
        <v>0.48940041466860501</v>
      </c>
      <c r="K16" s="508">
        <f t="shared" si="3"/>
        <v>9.7004329788004749E-3</v>
      </c>
      <c r="L16" s="508"/>
      <c r="M16" s="522">
        <f t="shared" si="9"/>
        <v>50.089915235259454</v>
      </c>
      <c r="N16" s="540" t="s">
        <v>178</v>
      </c>
      <c r="O16" s="538">
        <f t="shared" si="6"/>
        <v>48.940041466860499</v>
      </c>
      <c r="P16" s="540" t="s">
        <v>178</v>
      </c>
      <c r="Q16" s="538">
        <f t="shared" si="7"/>
        <v>0.97004329788004751</v>
      </c>
      <c r="R16" s="541" t="s">
        <v>178</v>
      </c>
      <c r="S16" s="480">
        <v>15</v>
      </c>
      <c r="T16" s="505">
        <f>'Summary Data'!J26</f>
        <v>5837.7699100430364</v>
      </c>
      <c r="U16" s="505">
        <f>'Catch Age'!I103</f>
        <v>3134.0000000000005</v>
      </c>
      <c r="V16" s="510">
        <f t="shared" si="10"/>
        <v>0.34931791958817265</v>
      </c>
      <c r="W16" s="507">
        <f>'Summary Data'!L26</f>
        <v>8971.7699100430364</v>
      </c>
      <c r="X16" s="506">
        <f t="shared" si="8"/>
        <v>8971.7699100430364</v>
      </c>
      <c r="Y16" s="505"/>
      <c r="Z16" s="506">
        <v>50</v>
      </c>
      <c r="AA16" s="480" t="s">
        <v>178</v>
      </c>
      <c r="AB16" s="480">
        <v>49</v>
      </c>
      <c r="AC16" s="480" t="s">
        <v>178</v>
      </c>
      <c r="AD16" s="480">
        <v>1</v>
      </c>
      <c r="AE16" s="480" t="s">
        <v>178</v>
      </c>
      <c r="AF16" s="539">
        <f t="shared" si="5"/>
        <v>-2.9956702119952494E-2</v>
      </c>
    </row>
    <row r="17" spans="1:32" x14ac:dyDescent="0.25">
      <c r="A17" s="147">
        <v>1998</v>
      </c>
      <c r="B17" s="506">
        <f>'Escapement Age'!B21+'Catch Age'!D104</f>
        <v>446.54506784249719</v>
      </c>
      <c r="C17" s="506">
        <f>'Escapement Age'!C21+'Catch Age'!E104</f>
        <v>7452.3798060621129</v>
      </c>
      <c r="D17" s="506">
        <f>'Escapement Age'!D21+'Catch Age'!F104</f>
        <v>7279.7779118497856</v>
      </c>
      <c r="E17" s="506">
        <f>'Escapement Age'!E21+'Catch Age'!G104</f>
        <v>75.592423150689271</v>
      </c>
      <c r="F17" s="506">
        <f t="shared" si="4"/>
        <v>15254.295208905083</v>
      </c>
      <c r="H17" s="508">
        <f t="shared" si="0"/>
        <v>2.9273398851086554E-2</v>
      </c>
      <c r="I17" s="508">
        <f t="shared" si="1"/>
        <v>0.48854304338568172</v>
      </c>
      <c r="J17" s="508">
        <f t="shared" si="2"/>
        <v>0.4772280732839122</v>
      </c>
      <c r="K17" s="508">
        <f t="shared" si="3"/>
        <v>4.9554844793196521E-3</v>
      </c>
      <c r="L17" s="508"/>
      <c r="M17" s="522">
        <f t="shared" si="9"/>
        <v>51.781644223676828</v>
      </c>
      <c r="N17" s="540" t="s">
        <v>178</v>
      </c>
      <c r="O17" s="538">
        <f t="shared" si="6"/>
        <v>47.72280732839122</v>
      </c>
      <c r="P17" s="540" t="s">
        <v>178</v>
      </c>
      <c r="Q17" s="538">
        <f t="shared" si="7"/>
        <v>0.49554844793196523</v>
      </c>
      <c r="R17" s="541" t="s">
        <v>178</v>
      </c>
      <c r="S17" s="480">
        <v>16</v>
      </c>
      <c r="T17" s="505">
        <f>'Summary Data'!J27</f>
        <v>13858.295208905085</v>
      </c>
      <c r="U17" s="505">
        <f>'Catch Age'!I104</f>
        <v>1396</v>
      </c>
      <c r="V17" s="510">
        <f t="shared" si="10"/>
        <v>9.1515208069727766E-2</v>
      </c>
      <c r="W17" s="507">
        <f>'Summary Data'!L27</f>
        <v>15254.295208905085</v>
      </c>
      <c r="X17" s="506">
        <f t="shared" si="8"/>
        <v>15254.295208905085</v>
      </c>
      <c r="Y17" s="505"/>
      <c r="Z17" s="506">
        <v>52</v>
      </c>
      <c r="AA17" s="480" t="s">
        <v>178</v>
      </c>
      <c r="AB17" s="480">
        <v>48</v>
      </c>
      <c r="AC17" s="480" t="s">
        <v>178</v>
      </c>
      <c r="AD17" s="480">
        <v>0</v>
      </c>
      <c r="AE17" s="480" t="s">
        <v>178</v>
      </c>
      <c r="AF17" s="539">
        <f t="shared" si="5"/>
        <v>0.49554844793196523</v>
      </c>
    </row>
    <row r="18" spans="1:32" x14ac:dyDescent="0.25">
      <c r="A18" s="147">
        <v>1999</v>
      </c>
      <c r="B18" s="506">
        <f>'Escapement Age'!B22+'Catch Age'!D105</f>
        <v>335.15922019583348</v>
      </c>
      <c r="C18" s="506">
        <f>'Escapement Age'!C22+'Catch Age'!E105</f>
        <v>4557.5983790005557</v>
      </c>
      <c r="D18" s="506">
        <f>'Escapement Age'!D22+'Catch Age'!F105</f>
        <v>7580.7838057586232</v>
      </c>
      <c r="E18" s="506">
        <f>'Escapement Age'!E22+'Catch Age'!G105</f>
        <v>133.71286150749285</v>
      </c>
      <c r="F18" s="506">
        <f t="shared" si="4"/>
        <v>12607.254266462505</v>
      </c>
      <c r="H18" s="508">
        <f t="shared" si="0"/>
        <v>2.6584632395922677E-2</v>
      </c>
      <c r="I18" s="508">
        <f t="shared" si="1"/>
        <v>0.36150602523537279</v>
      </c>
      <c r="J18" s="508">
        <f t="shared" si="2"/>
        <v>0.60130331676777793</v>
      </c>
      <c r="K18" s="508">
        <f t="shared" si="3"/>
        <v>1.0606025600926633E-2</v>
      </c>
      <c r="L18" s="508"/>
      <c r="M18" s="522">
        <f t="shared" si="9"/>
        <v>38.809065763129546</v>
      </c>
      <c r="N18" s="540" t="s">
        <v>178</v>
      </c>
      <c r="O18" s="538">
        <f t="shared" si="6"/>
        <v>60.130331676777793</v>
      </c>
      <c r="P18" s="540" t="s">
        <v>178</v>
      </c>
      <c r="Q18" s="538">
        <f t="shared" si="7"/>
        <v>1.0606025600926632</v>
      </c>
      <c r="R18" s="541" t="s">
        <v>178</v>
      </c>
      <c r="S18" s="480">
        <v>17</v>
      </c>
      <c r="T18" s="505">
        <f>'Summary Data'!J28</f>
        <v>11060.254266462505</v>
      </c>
      <c r="U18" s="505">
        <f>'Catch Age'!I105</f>
        <v>1547</v>
      </c>
      <c r="V18" s="510">
        <f t="shared" si="10"/>
        <v>0.12270713093455168</v>
      </c>
      <c r="W18" s="507">
        <f>'Summary Data'!L28</f>
        <v>12607.254266462505</v>
      </c>
      <c r="X18" s="506">
        <f t="shared" si="8"/>
        <v>12607.254266462505</v>
      </c>
      <c r="Y18" s="505"/>
      <c r="Z18" s="506">
        <v>39</v>
      </c>
      <c r="AA18" s="480" t="s">
        <v>178</v>
      </c>
      <c r="AB18" s="480">
        <v>60</v>
      </c>
      <c r="AC18" s="480" t="s">
        <v>178</v>
      </c>
      <c r="AD18" s="480">
        <v>1</v>
      </c>
      <c r="AE18" s="480" t="s">
        <v>178</v>
      </c>
      <c r="AF18" s="539">
        <f t="shared" si="5"/>
        <v>6.0602560092663182E-2</v>
      </c>
    </row>
    <row r="19" spans="1:32" x14ac:dyDescent="0.25">
      <c r="A19" s="148">
        <v>2000</v>
      </c>
      <c r="B19" s="506">
        <f>'Escapement Age'!B23+'Catch Age'!D106</f>
        <v>387.61268894103307</v>
      </c>
      <c r="C19" s="506">
        <f>'Escapement Age'!C23+'Catch Age'!E106</f>
        <v>7982.0341892190272</v>
      </c>
      <c r="D19" s="506">
        <f>'Escapement Age'!D23+'Catch Age'!F106</f>
        <v>9465.8648312487476</v>
      </c>
      <c r="E19" s="506">
        <f>'Escapement Age'!E23+'Catch Age'!G106</f>
        <v>16.150528705876379</v>
      </c>
      <c r="F19" s="506">
        <f t="shared" si="4"/>
        <v>17851.662238114681</v>
      </c>
      <c r="H19" s="508">
        <f t="shared" si="0"/>
        <v>2.1712974611039298E-2</v>
      </c>
      <c r="I19" s="508">
        <f t="shared" si="1"/>
        <v>0.44713114570231821</v>
      </c>
      <c r="J19" s="508">
        <f t="shared" si="2"/>
        <v>0.53025117241118269</v>
      </c>
      <c r="K19" s="508">
        <f t="shared" si="3"/>
        <v>9.0470727545997095E-4</v>
      </c>
      <c r="L19" s="508"/>
      <c r="M19" s="522">
        <f t="shared" si="9"/>
        <v>46.884412031335756</v>
      </c>
      <c r="N19" s="540" t="s">
        <v>178</v>
      </c>
      <c r="O19" s="538">
        <f t="shared" si="6"/>
        <v>53.025117241118267</v>
      </c>
      <c r="P19" s="540" t="s">
        <v>178</v>
      </c>
      <c r="Q19" s="538">
        <f t="shared" si="7"/>
        <v>9.0470727545997096E-2</v>
      </c>
      <c r="R19" s="541" t="s">
        <v>178</v>
      </c>
      <c r="S19" s="480">
        <v>18</v>
      </c>
      <c r="T19" s="505">
        <f>'Summary Data'!J29</f>
        <v>8010.6622381146835</v>
      </c>
      <c r="U19" s="505">
        <f>'Catch Age'!I106</f>
        <v>9841</v>
      </c>
      <c r="V19" s="510">
        <f t="shared" si="10"/>
        <v>0.55126519137185459</v>
      </c>
      <c r="W19" s="507">
        <f>'Summary Data'!L29</f>
        <v>17851.662238114684</v>
      </c>
      <c r="X19" s="506">
        <f t="shared" si="8"/>
        <v>17851.662238114684</v>
      </c>
      <c r="Y19" s="505"/>
      <c r="Z19" s="506">
        <v>47</v>
      </c>
      <c r="AA19" s="480" t="s">
        <v>178</v>
      </c>
      <c r="AB19" s="480">
        <v>53</v>
      </c>
      <c r="AC19" s="480" t="s">
        <v>178</v>
      </c>
      <c r="AD19" s="480">
        <v>0</v>
      </c>
      <c r="AE19" s="480" t="s">
        <v>178</v>
      </c>
      <c r="AF19" s="539">
        <f t="shared" si="5"/>
        <v>9.0470727545997096E-2</v>
      </c>
    </row>
    <row r="20" spans="1:32" x14ac:dyDescent="0.25">
      <c r="A20" s="148">
        <v>2001</v>
      </c>
      <c r="B20" s="506">
        <f>'Escapement Age'!B24+'Catch Age'!D107</f>
        <v>780.80209686613546</v>
      </c>
      <c r="C20" s="506">
        <f>'Escapement Age'!C24+'Catch Age'!E107</f>
        <v>8349.4248974633683</v>
      </c>
      <c r="D20" s="506">
        <f>'Escapement Age'!D24+'Catch Age'!F107</f>
        <v>13474.601775029498</v>
      </c>
      <c r="E20" s="506">
        <f>'Escapement Age'!E24+'Catch Age'!G107</f>
        <v>58.515819090048041</v>
      </c>
      <c r="F20" s="506">
        <f t="shared" si="4"/>
        <v>22663.34458844905</v>
      </c>
      <c r="H20" s="508">
        <f t="shared" si="0"/>
        <v>3.4452200725222662E-2</v>
      </c>
      <c r="I20" s="508">
        <f t="shared" si="1"/>
        <v>0.36841097592095323</v>
      </c>
      <c r="J20" s="508">
        <f t="shared" si="2"/>
        <v>0.59455486468211627</v>
      </c>
      <c r="K20" s="508">
        <f t="shared" si="3"/>
        <v>2.5819586717077988E-3</v>
      </c>
      <c r="L20" s="508"/>
      <c r="M20" s="522">
        <f t="shared" si="9"/>
        <v>40.286317664617584</v>
      </c>
      <c r="N20" s="540" t="s">
        <v>178</v>
      </c>
      <c r="O20" s="538">
        <f t="shared" si="6"/>
        <v>59.455486468211625</v>
      </c>
      <c r="P20" s="540" t="s">
        <v>178</v>
      </c>
      <c r="Q20" s="538">
        <f t="shared" si="7"/>
        <v>0.25819586717077986</v>
      </c>
      <c r="R20" s="541" t="s">
        <v>178</v>
      </c>
      <c r="S20" s="480">
        <v>19</v>
      </c>
      <c r="T20" s="505">
        <f>'Summary Data'!J30</f>
        <v>9349.3445884490502</v>
      </c>
      <c r="U20" s="505">
        <f>'Catch Age'!I107</f>
        <v>13314</v>
      </c>
      <c r="V20" s="510">
        <f t="shared" si="10"/>
        <v>0.58746845365382738</v>
      </c>
      <c r="W20" s="507">
        <f>'Summary Data'!L30</f>
        <v>22663.34458844905</v>
      </c>
      <c r="X20" s="506">
        <f t="shared" si="8"/>
        <v>22663.34458844905</v>
      </c>
      <c r="Y20" s="505"/>
      <c r="Z20" s="506">
        <v>40</v>
      </c>
      <c r="AA20" s="480" t="s">
        <v>178</v>
      </c>
      <c r="AB20" s="480">
        <v>59</v>
      </c>
      <c r="AC20" s="480" t="s">
        <v>178</v>
      </c>
      <c r="AD20" s="480">
        <v>0</v>
      </c>
      <c r="AE20" s="480" t="s">
        <v>178</v>
      </c>
      <c r="AF20" s="539">
        <f t="shared" si="5"/>
        <v>0.25819586717077986</v>
      </c>
    </row>
    <row r="21" spans="1:32" x14ac:dyDescent="0.25">
      <c r="A21" s="147">
        <v>2002</v>
      </c>
      <c r="B21" s="506">
        <f>'Escapement Age'!B25+'Catch Age'!D108</f>
        <v>68.527027027027032</v>
      </c>
      <c r="C21" s="506">
        <f>'Escapement Age'!C25+'Catch Age'!E108</f>
        <v>6967.3208101832352</v>
      </c>
      <c r="D21" s="506">
        <f>'Escapement Age'!D25+'Catch Age'!F108</f>
        <v>4847.557197303573</v>
      </c>
      <c r="E21" s="506">
        <f>'Escapement Age'!E25+'Catch Age'!G108</f>
        <v>28.594965486164782</v>
      </c>
      <c r="F21" s="506">
        <f t="shared" si="4"/>
        <v>11912</v>
      </c>
      <c r="H21" s="508">
        <f t="shared" si="0"/>
        <v>5.752772584538871E-3</v>
      </c>
      <c r="I21" s="508">
        <f t="shared" si="1"/>
        <v>0.58489932926319976</v>
      </c>
      <c r="J21" s="508">
        <f t="shared" si="2"/>
        <v>0.40694738056611596</v>
      </c>
      <c r="K21" s="508">
        <f t="shared" si="3"/>
        <v>2.4005175861454651E-3</v>
      </c>
      <c r="L21" s="508"/>
      <c r="M21" s="522">
        <f t="shared" si="9"/>
        <v>59.065210184773861</v>
      </c>
      <c r="N21" s="540" t="s">
        <v>178</v>
      </c>
      <c r="O21" s="538">
        <f t="shared" si="6"/>
        <v>40.694738056611598</v>
      </c>
      <c r="P21" s="540" t="s">
        <v>178</v>
      </c>
      <c r="Q21" s="538">
        <f t="shared" si="7"/>
        <v>0.2400517586145465</v>
      </c>
      <c r="R21" s="541" t="s">
        <v>178</v>
      </c>
      <c r="S21" s="480">
        <v>20</v>
      </c>
      <c r="T21" s="505">
        <f>'Summary Data'!J31</f>
        <v>5071</v>
      </c>
      <c r="U21" s="505">
        <f>'Catch Age'!I108</f>
        <v>6841</v>
      </c>
      <c r="V21" s="510">
        <f t="shared" si="10"/>
        <v>0.57429482874412352</v>
      </c>
      <c r="W21" s="507">
        <f>'Summary Data'!L31</f>
        <v>11912</v>
      </c>
      <c r="X21" s="506">
        <f t="shared" si="8"/>
        <v>11912</v>
      </c>
      <c r="Y21" s="505"/>
      <c r="Z21" s="506">
        <v>59</v>
      </c>
      <c r="AA21" s="480" t="s">
        <v>178</v>
      </c>
      <c r="AB21" s="480">
        <v>41</v>
      </c>
      <c r="AC21" s="480" t="s">
        <v>178</v>
      </c>
      <c r="AD21" s="480">
        <v>0</v>
      </c>
      <c r="AE21" s="480" t="s">
        <v>178</v>
      </c>
      <c r="AF21" s="539">
        <f t="shared" si="5"/>
        <v>0.2400517586145465</v>
      </c>
    </row>
    <row r="22" spans="1:32" x14ac:dyDescent="0.25">
      <c r="A22" s="148">
        <v>2003</v>
      </c>
      <c r="B22" s="506">
        <f>'Escapement Age'!B26+'Catch Age'!D109</f>
        <v>56.412868632707777</v>
      </c>
      <c r="C22" s="506">
        <f>'Escapement Age'!C26+'Catch Age'!E109</f>
        <v>3423.3056706642101</v>
      </c>
      <c r="D22" s="506">
        <f>'Escapement Age'!D26+'Catch Age'!F109</f>
        <v>18107.013364188337</v>
      </c>
      <c r="E22" s="506">
        <f>'Escapement Age'!E26+'Catch Age'!G109</f>
        <v>6.2680965147453085</v>
      </c>
      <c r="F22" s="506">
        <f t="shared" si="4"/>
        <v>21593</v>
      </c>
      <c r="H22" s="508">
        <f t="shared" si="0"/>
        <v>2.6125535420139759E-3</v>
      </c>
      <c r="I22" s="508">
        <f t="shared" si="1"/>
        <v>0.15853775161692263</v>
      </c>
      <c r="J22" s="508">
        <f t="shared" si="2"/>
        <v>0.83855941111417298</v>
      </c>
      <c r="K22" s="508">
        <f t="shared" si="3"/>
        <v>2.9028372689044173E-4</v>
      </c>
      <c r="L22" s="508"/>
      <c r="M22" s="522">
        <f t="shared" si="9"/>
        <v>16.115030515893661</v>
      </c>
      <c r="N22" s="540" t="s">
        <v>178</v>
      </c>
      <c r="O22" s="538">
        <f t="shared" si="6"/>
        <v>83.855941111417295</v>
      </c>
      <c r="P22" s="540" t="s">
        <v>178</v>
      </c>
      <c r="Q22" s="538">
        <f t="shared" si="7"/>
        <v>2.9028372689044173E-2</v>
      </c>
      <c r="R22" s="541" t="s">
        <v>178</v>
      </c>
      <c r="S22" s="480">
        <v>21</v>
      </c>
      <c r="T22" s="505">
        <f>'Summary Data'!J32</f>
        <v>7014</v>
      </c>
      <c r="U22" s="505">
        <f>'Catch Age'!I109</f>
        <v>14579</v>
      </c>
      <c r="V22" s="510">
        <f t="shared" si="10"/>
        <v>0.67517250960959574</v>
      </c>
      <c r="W22" s="507">
        <f>'Summary Data'!L32</f>
        <v>21593</v>
      </c>
      <c r="X22" s="506">
        <f t="shared" si="8"/>
        <v>21593</v>
      </c>
      <c r="Y22" s="505"/>
      <c r="Z22" s="506">
        <v>16</v>
      </c>
      <c r="AA22" s="480" t="s">
        <v>178</v>
      </c>
      <c r="AB22" s="480">
        <v>84</v>
      </c>
      <c r="AC22" s="480" t="s">
        <v>178</v>
      </c>
      <c r="AD22" s="480">
        <v>0</v>
      </c>
      <c r="AE22" s="480" t="s">
        <v>178</v>
      </c>
      <c r="AF22" s="539">
        <f t="shared" si="5"/>
        <v>2.9028372689044173E-2</v>
      </c>
    </row>
    <row r="23" spans="1:32" x14ac:dyDescent="0.25">
      <c r="A23" s="147">
        <v>2004</v>
      </c>
      <c r="B23" s="506">
        <f>'Escapement Age'!B27+'Catch Age'!D110</f>
        <v>12.217357310398748</v>
      </c>
      <c r="C23" s="506">
        <f>'Escapement Age'!C27+'Catch Age'!E110</f>
        <v>5398.9593896666247</v>
      </c>
      <c r="D23" s="506">
        <f>'Escapement Age'!D27+'Catch Age'!F110</f>
        <v>14307.453618961663</v>
      </c>
      <c r="E23" s="506">
        <f>'Escapement Age'!E27+'Catch Age'!G110</f>
        <v>76.369634061313491</v>
      </c>
      <c r="F23" s="506">
        <f t="shared" si="4"/>
        <v>19795</v>
      </c>
      <c r="H23" s="508">
        <f t="shared" si="0"/>
        <v>6.1719410509718351E-4</v>
      </c>
      <c r="I23" s="508">
        <f t="shared" si="1"/>
        <v>0.2727435912940957</v>
      </c>
      <c r="J23" s="508">
        <f t="shared" si="2"/>
        <v>0.72278118812637848</v>
      </c>
      <c r="K23" s="508">
        <f t="shared" si="3"/>
        <v>3.8580264744285673E-3</v>
      </c>
      <c r="L23" s="508"/>
      <c r="M23" s="522">
        <f t="shared" si="9"/>
        <v>27.336078539919288</v>
      </c>
      <c r="N23" s="540" t="s">
        <v>178</v>
      </c>
      <c r="O23" s="538">
        <f t="shared" si="6"/>
        <v>72.278118812637842</v>
      </c>
      <c r="P23" s="540" t="s">
        <v>178</v>
      </c>
      <c r="Q23" s="538">
        <f t="shared" si="7"/>
        <v>0.38580264744285675</v>
      </c>
      <c r="R23" s="541" t="s">
        <v>178</v>
      </c>
      <c r="S23" s="480">
        <v>22</v>
      </c>
      <c r="T23" s="505">
        <f>'Summary Data'!J33</f>
        <v>7813</v>
      </c>
      <c r="U23" s="505">
        <f>'Catch Age'!I110</f>
        <v>11981.999999999998</v>
      </c>
      <c r="V23" s="510">
        <f t="shared" si="10"/>
        <v>0.60530436979035096</v>
      </c>
      <c r="W23" s="507">
        <f>'Summary Data'!L33</f>
        <v>19795</v>
      </c>
      <c r="X23" s="506">
        <f t="shared" si="8"/>
        <v>19795</v>
      </c>
      <c r="Y23" s="505"/>
      <c r="Z23" s="506">
        <v>27</v>
      </c>
      <c r="AA23" s="480" t="s">
        <v>178</v>
      </c>
      <c r="AB23" s="480">
        <v>72</v>
      </c>
      <c r="AC23" s="480" t="s">
        <v>178</v>
      </c>
      <c r="AD23" s="480">
        <v>0</v>
      </c>
      <c r="AE23" s="480" t="s">
        <v>178</v>
      </c>
      <c r="AF23" s="539">
        <f t="shared" si="5"/>
        <v>0.38580264744285675</v>
      </c>
    </row>
    <row r="24" spans="1:32" x14ac:dyDescent="0.25">
      <c r="A24" s="147">
        <v>2005</v>
      </c>
      <c r="B24" s="506">
        <f>'Escapement Age'!B28+'Catch Age'!D111</f>
        <v>1231.9968000000001</v>
      </c>
      <c r="C24" s="506">
        <f>'Escapement Age'!C28+'Catch Age'!E111</f>
        <v>3561.0348403194075</v>
      </c>
      <c r="D24" s="506">
        <f>'Escapement Age'!D28+'Catch Age'!F111</f>
        <v>11192.84015488948</v>
      </c>
      <c r="E24" s="506">
        <f>'Escapement Age'!E28+'Catch Age'!G111</f>
        <v>274.12820479111213</v>
      </c>
      <c r="F24" s="506">
        <f t="shared" si="4"/>
        <v>16260</v>
      </c>
      <c r="H24" s="508">
        <f t="shared" si="0"/>
        <v>7.5768560885608863E-2</v>
      </c>
      <c r="I24" s="508">
        <f t="shared" si="1"/>
        <v>0.21900583273797095</v>
      </c>
      <c r="J24" s="508">
        <f t="shared" si="2"/>
        <v>0.68836655319123496</v>
      </c>
      <c r="K24" s="508">
        <f t="shared" si="3"/>
        <v>1.6859053185185248E-2</v>
      </c>
      <c r="L24" s="508"/>
      <c r="M24" s="522">
        <f t="shared" si="9"/>
        <v>29.477439362357984</v>
      </c>
      <c r="N24" s="540" t="s">
        <v>178</v>
      </c>
      <c r="O24" s="538">
        <f t="shared" si="6"/>
        <v>68.836655319123494</v>
      </c>
      <c r="P24" s="540" t="s">
        <v>178</v>
      </c>
      <c r="Q24" s="538">
        <f t="shared" si="7"/>
        <v>1.6859053185185249</v>
      </c>
      <c r="R24" s="541" t="s">
        <v>178</v>
      </c>
      <c r="S24" s="480">
        <v>23</v>
      </c>
      <c r="T24" s="505">
        <f>'Summary Data'!J34</f>
        <v>7549</v>
      </c>
      <c r="U24" s="505">
        <f>'Catch Age'!I111</f>
        <v>8711</v>
      </c>
      <c r="V24" s="510">
        <f t="shared" si="10"/>
        <v>0.5357318573185732</v>
      </c>
      <c r="W24" s="507">
        <f>'Summary Data'!L34</f>
        <v>16260</v>
      </c>
      <c r="X24" s="506">
        <f t="shared" si="8"/>
        <v>16260</v>
      </c>
      <c r="Y24" s="505"/>
      <c r="Z24" s="506">
        <v>29</v>
      </c>
      <c r="AA24" s="480" t="s">
        <v>178</v>
      </c>
      <c r="AB24" s="480">
        <v>69</v>
      </c>
      <c r="AC24" s="480" t="s">
        <v>178</v>
      </c>
      <c r="AD24" s="480">
        <v>2</v>
      </c>
      <c r="AE24" s="480" t="s">
        <v>178</v>
      </c>
      <c r="AF24" s="539">
        <f t="shared" si="5"/>
        <v>-0.31409468148147512</v>
      </c>
    </row>
    <row r="25" spans="1:32" x14ac:dyDescent="0.25">
      <c r="A25" s="147">
        <v>2006</v>
      </c>
      <c r="B25" s="506">
        <f>'Escapement Age'!B29+'Catch Age'!D112</f>
        <v>38.684210526315788</v>
      </c>
      <c r="C25" s="506">
        <f>'Escapement Age'!C29+'Catch Age'!E112</f>
        <v>5043.5502680791542</v>
      </c>
      <c r="D25" s="506">
        <f>'Escapement Age'!D29+'Catch Age'!F112</f>
        <v>7119.931069985495</v>
      </c>
      <c r="E25" s="506">
        <f>'Escapement Age'!E29+'Catch Age'!G112</f>
        <v>147.83445140903439</v>
      </c>
      <c r="F25" s="506">
        <f t="shared" si="4"/>
        <v>12350</v>
      </c>
      <c r="H25" s="508">
        <f t="shared" si="0"/>
        <v>3.1323247389729381E-3</v>
      </c>
      <c r="I25" s="508">
        <f t="shared" si="1"/>
        <v>0.40838463709142947</v>
      </c>
      <c r="J25" s="508">
        <f t="shared" si="2"/>
        <v>0.57651263724578905</v>
      </c>
      <c r="K25" s="508">
        <f t="shared" si="3"/>
        <v>1.1970400923808452E-2</v>
      </c>
      <c r="L25" s="508"/>
      <c r="M25" s="522">
        <f t="shared" si="9"/>
        <v>41.151696183040244</v>
      </c>
      <c r="N25" s="540" t="s">
        <v>178</v>
      </c>
      <c r="O25" s="538">
        <f t="shared" si="6"/>
        <v>57.651263724578904</v>
      </c>
      <c r="P25" s="540" t="s">
        <v>178</v>
      </c>
      <c r="Q25" s="538">
        <f t="shared" si="7"/>
        <v>1.1970400923808453</v>
      </c>
      <c r="R25" s="541" t="s">
        <v>178</v>
      </c>
      <c r="S25" s="480">
        <v>24</v>
      </c>
      <c r="T25" s="505">
        <f>'Summary Data'!J35</f>
        <v>4165</v>
      </c>
      <c r="U25" s="505">
        <f>'Catch Age'!I112</f>
        <v>8185</v>
      </c>
      <c r="V25" s="510">
        <f t="shared" si="10"/>
        <v>0.66275303643724692</v>
      </c>
      <c r="W25" s="507">
        <f>'Summary Data'!L35</f>
        <v>12350</v>
      </c>
      <c r="X25" s="506">
        <f t="shared" si="8"/>
        <v>12350</v>
      </c>
      <c r="Y25" s="505"/>
      <c r="Z25" s="506">
        <v>41</v>
      </c>
      <c r="AA25" s="480" t="s">
        <v>178</v>
      </c>
      <c r="AB25" s="480">
        <v>58</v>
      </c>
      <c r="AC25" s="480" t="s">
        <v>178</v>
      </c>
      <c r="AD25" s="480">
        <v>1</v>
      </c>
      <c r="AE25" s="480" t="s">
        <v>178</v>
      </c>
      <c r="AF25" s="539">
        <f t="shared" si="5"/>
        <v>0.1970400923808453</v>
      </c>
    </row>
    <row r="26" spans="1:32" x14ac:dyDescent="0.25">
      <c r="A26" s="147">
        <v>2007</v>
      </c>
      <c r="B26" s="506">
        <f>'Escapement Age'!B30+'Catch Age'!D113</f>
        <v>0</v>
      </c>
      <c r="C26" s="506">
        <f>'Escapement Age'!C30+'Catch Age'!E113</f>
        <v>1424.4058529494687</v>
      </c>
      <c r="D26" s="506">
        <f>'Escapement Age'!D30+'Catch Age'!F113</f>
        <v>4707.9266798313929</v>
      </c>
      <c r="E26" s="506">
        <f>'Escapement Age'!E30+'Catch Age'!G113</f>
        <v>237.66746721913839</v>
      </c>
      <c r="F26" s="506">
        <f t="shared" si="4"/>
        <v>6370</v>
      </c>
      <c r="H26" s="508">
        <f t="shared" si="0"/>
        <v>0</v>
      </c>
      <c r="I26" s="508">
        <f t="shared" si="1"/>
        <v>0.22361159386961832</v>
      </c>
      <c r="J26" s="508">
        <f t="shared" si="2"/>
        <v>0.73907797171607426</v>
      </c>
      <c r="K26" s="508">
        <f t="shared" si="3"/>
        <v>3.7310434414307439E-2</v>
      </c>
      <c r="L26" s="508"/>
      <c r="M26" s="522">
        <f t="shared" si="9"/>
        <v>22.36115938696183</v>
      </c>
      <c r="N26" s="540" t="s">
        <v>178</v>
      </c>
      <c r="O26" s="538">
        <f t="shared" si="6"/>
        <v>73.907797171607427</v>
      </c>
      <c r="P26" s="540" t="s">
        <v>178</v>
      </c>
      <c r="Q26" s="538">
        <f t="shared" si="7"/>
        <v>3.7310434414307441</v>
      </c>
      <c r="R26" s="541" t="s">
        <v>178</v>
      </c>
      <c r="S26" s="480">
        <v>25</v>
      </c>
      <c r="T26" s="505">
        <f>'Summary Data'!J36</f>
        <v>3099</v>
      </c>
      <c r="U26" s="505">
        <f>'Catch Age'!I113</f>
        <v>3271</v>
      </c>
      <c r="V26" s="510">
        <f t="shared" si="10"/>
        <v>0.51350078492935636</v>
      </c>
      <c r="W26" s="507">
        <f>'Summary Data'!L36</f>
        <v>6370</v>
      </c>
      <c r="X26" s="506">
        <f t="shared" si="8"/>
        <v>6370</v>
      </c>
      <c r="Y26" s="505"/>
      <c r="Z26" s="506">
        <v>22</v>
      </c>
      <c r="AA26" s="480" t="s">
        <v>178</v>
      </c>
      <c r="AB26" s="480">
        <v>74</v>
      </c>
      <c r="AC26" s="480" t="s">
        <v>178</v>
      </c>
      <c r="AD26" s="480">
        <v>4</v>
      </c>
      <c r="AE26" s="480" t="s">
        <v>178</v>
      </c>
      <c r="AF26" s="539">
        <f t="shared" si="5"/>
        <v>-0.26895655856925593</v>
      </c>
    </row>
    <row r="27" spans="1:32" x14ac:dyDescent="0.25">
      <c r="A27" s="147">
        <v>2008</v>
      </c>
      <c r="B27" s="506">
        <f>'Escapement Age'!B31+'Catch Age'!D114</f>
        <v>18.175257731958762</v>
      </c>
      <c r="C27" s="506">
        <f>'Escapement Age'!C31+'Catch Age'!E114</f>
        <v>1677.0174096249943</v>
      </c>
      <c r="D27" s="506">
        <f>'Escapement Age'!D31+'Catch Age'!F114</f>
        <v>5793.7489133990612</v>
      </c>
      <c r="E27" s="506">
        <f>'Escapement Age'!E31+'Catch Age'!G114</f>
        <v>6.0584192439862541</v>
      </c>
      <c r="F27" s="506">
        <f t="shared" si="4"/>
        <v>7495.0000000000009</v>
      </c>
      <c r="H27" s="508">
        <f t="shared" si="0"/>
        <v>2.4249843538303884E-3</v>
      </c>
      <c r="I27" s="508">
        <f t="shared" si="1"/>
        <v>0.22375148894262764</v>
      </c>
      <c r="J27" s="508">
        <f t="shared" si="2"/>
        <v>0.77301519858559842</v>
      </c>
      <c r="K27" s="508">
        <f t="shared" si="3"/>
        <v>8.0832811794346281E-4</v>
      </c>
      <c r="L27" s="508"/>
      <c r="M27" s="522">
        <f t="shared" si="9"/>
        <v>22.617647329645806</v>
      </c>
      <c r="N27" s="540" t="s">
        <v>178</v>
      </c>
      <c r="O27" s="538">
        <f t="shared" si="6"/>
        <v>77.301519858559843</v>
      </c>
      <c r="P27" s="540" t="s">
        <v>178</v>
      </c>
      <c r="Q27" s="538">
        <f t="shared" si="7"/>
        <v>8.0832811794346288E-2</v>
      </c>
      <c r="R27" s="541" t="s">
        <v>178</v>
      </c>
      <c r="S27" s="480">
        <v>26</v>
      </c>
      <c r="T27" s="505">
        <f>'Summary Data'!J37</f>
        <v>1763</v>
      </c>
      <c r="U27" s="505">
        <f>'Catch Age'!I114</f>
        <v>5732</v>
      </c>
      <c r="V27" s="510">
        <f t="shared" si="10"/>
        <v>0.76477651767845223</v>
      </c>
      <c r="W27" s="507">
        <f>'Summary Data'!L37</f>
        <v>7495</v>
      </c>
      <c r="X27" s="506">
        <f t="shared" si="8"/>
        <v>7495</v>
      </c>
      <c r="Y27" s="505"/>
      <c r="Z27" s="506">
        <v>23</v>
      </c>
      <c r="AA27" s="480" t="s">
        <v>178</v>
      </c>
      <c r="AB27" s="480">
        <v>77</v>
      </c>
      <c r="AC27" s="480" t="s">
        <v>178</v>
      </c>
      <c r="AD27" s="480">
        <v>0</v>
      </c>
      <c r="AE27" s="480" t="s">
        <v>178</v>
      </c>
      <c r="AF27" s="539">
        <f t="shared" si="5"/>
        <v>8.0832811794346288E-2</v>
      </c>
    </row>
    <row r="28" spans="1:32" x14ac:dyDescent="0.25">
      <c r="A28" s="147">
        <v>2009</v>
      </c>
      <c r="B28" s="506">
        <f>'Escapement Age'!B32+'Catch Age'!D115</f>
        <v>0</v>
      </c>
      <c r="C28" s="506">
        <f>'Escapement Age'!C32+'Catch Age'!E115</f>
        <v>2698.7697425851461</v>
      </c>
      <c r="D28" s="506">
        <f>'Escapement Age'!D32+'Catch Age'!F115</f>
        <v>6442.4566725091927</v>
      </c>
      <c r="E28" s="506">
        <f>'Escapement Age'!E32+'Catch Age'!G115</f>
        <v>39.773584905660378</v>
      </c>
      <c r="F28" s="506">
        <f t="shared" si="4"/>
        <v>9181</v>
      </c>
      <c r="H28" s="508">
        <f t="shared" si="0"/>
        <v>0</v>
      </c>
      <c r="I28" s="508">
        <f t="shared" si="1"/>
        <v>0.29395161121720359</v>
      </c>
      <c r="J28" s="508">
        <f t="shared" si="2"/>
        <v>0.70171622617462071</v>
      </c>
      <c r="K28" s="508">
        <f t="shared" si="3"/>
        <v>4.3321626081756215E-3</v>
      </c>
      <c r="L28" s="508"/>
      <c r="M28" s="522">
        <f t="shared" si="9"/>
        <v>29.39516112172036</v>
      </c>
      <c r="N28" s="540" t="s">
        <v>178</v>
      </c>
      <c r="O28" s="538">
        <f t="shared" si="6"/>
        <v>70.171622617462077</v>
      </c>
      <c r="P28" s="540" t="s">
        <v>178</v>
      </c>
      <c r="Q28" s="538">
        <f t="shared" si="7"/>
        <v>0.43321626081756215</v>
      </c>
      <c r="R28" s="541" t="s">
        <v>178</v>
      </c>
      <c r="S28" s="480">
        <v>27</v>
      </c>
      <c r="T28" s="505">
        <f>'Summary Data'!J38</f>
        <v>3689</v>
      </c>
      <c r="U28" s="505">
        <f>'Catch Age'!I115</f>
        <v>5491.9999999999991</v>
      </c>
      <c r="V28" s="510">
        <f t="shared" si="10"/>
        <v>0.59819191809171102</v>
      </c>
      <c r="W28" s="507">
        <f>'Summary Data'!L38</f>
        <v>9181</v>
      </c>
      <c r="X28" s="506">
        <f t="shared" si="8"/>
        <v>9181</v>
      </c>
      <c r="Y28" s="505"/>
      <c r="Z28" s="506">
        <v>29</v>
      </c>
      <c r="AA28" s="480" t="s">
        <v>178</v>
      </c>
      <c r="AB28" s="480">
        <v>70</v>
      </c>
      <c r="AC28" s="480" t="s">
        <v>178</v>
      </c>
      <c r="AD28" s="480">
        <v>0</v>
      </c>
      <c r="AE28" s="480" t="s">
        <v>178</v>
      </c>
      <c r="AF28" s="539">
        <f t="shared" si="5"/>
        <v>0.43321626081756215</v>
      </c>
    </row>
    <row r="29" spans="1:32" x14ac:dyDescent="0.25">
      <c r="A29" s="147">
        <v>2010</v>
      </c>
      <c r="B29" s="506">
        <f>'Escapement Age'!B33+'Catch Age'!D116</f>
        <v>0</v>
      </c>
      <c r="C29" s="506">
        <f>'Escapement Age'!C33+'Catch Age'!E116</f>
        <v>2991.3790919773401</v>
      </c>
      <c r="D29" s="506">
        <f>'Escapement Age'!D33+'Catch Age'!F116</f>
        <v>10211.647619841706</v>
      </c>
      <c r="E29" s="506">
        <f>'Escapement Age'!E33+'Catch Age'!G116</f>
        <v>130.97328818095613</v>
      </c>
      <c r="F29" s="506">
        <f t="shared" si="4"/>
        <v>13334.000000000002</v>
      </c>
      <c r="H29" s="508">
        <f t="shared" si="0"/>
        <v>0</v>
      </c>
      <c r="I29" s="508">
        <f t="shared" si="1"/>
        <v>0.22434221478756108</v>
      </c>
      <c r="J29" s="508">
        <f t="shared" si="2"/>
        <v>0.76583527972414167</v>
      </c>
      <c r="K29" s="508">
        <f t="shared" si="3"/>
        <v>9.8225054882972937E-3</v>
      </c>
      <c r="L29" s="508"/>
      <c r="M29" s="522">
        <f t="shared" si="9"/>
        <v>22.434221478756108</v>
      </c>
      <c r="N29" s="540" t="s">
        <v>178</v>
      </c>
      <c r="O29" s="538">
        <f t="shared" si="6"/>
        <v>76.583527972414174</v>
      </c>
      <c r="P29" s="540" t="s">
        <v>178</v>
      </c>
      <c r="Q29" s="538">
        <f t="shared" si="7"/>
        <v>0.9822505488297294</v>
      </c>
      <c r="R29" s="541" t="s">
        <v>178</v>
      </c>
      <c r="S29" s="480">
        <v>28</v>
      </c>
      <c r="T29" s="505">
        <f>'Summary Data'!J39</f>
        <v>5640</v>
      </c>
      <c r="U29" s="505">
        <f>'Catch Age'!I116</f>
        <v>7694.0000000000009</v>
      </c>
      <c r="V29" s="510">
        <f t="shared" si="10"/>
        <v>0.57702114894255285</v>
      </c>
      <c r="W29" s="507">
        <f>'Summary Data'!L39</f>
        <v>13334</v>
      </c>
      <c r="X29" s="506">
        <f t="shared" si="8"/>
        <v>13334</v>
      </c>
      <c r="Y29" s="505"/>
      <c r="Z29" s="506">
        <v>22</v>
      </c>
      <c r="AA29" s="480" t="s">
        <v>178</v>
      </c>
      <c r="AB29" s="480">
        <v>77</v>
      </c>
      <c r="AC29" s="480" t="s">
        <v>178</v>
      </c>
      <c r="AD29" s="480">
        <v>1</v>
      </c>
      <c r="AE29" s="480" t="s">
        <v>178</v>
      </c>
      <c r="AF29" s="539">
        <f t="shared" si="5"/>
        <v>-1.7749451170270603E-2</v>
      </c>
    </row>
    <row r="30" spans="1:32" x14ac:dyDescent="0.25">
      <c r="A30" s="147">
        <v>2011</v>
      </c>
      <c r="B30" s="506">
        <f>'Escapement Age'!B34+'Catch Age'!D117</f>
        <v>0</v>
      </c>
      <c r="C30" s="506">
        <f>'Escapement Age'!C34+'Catch Age'!E117</f>
        <v>2612.366398080504</v>
      </c>
      <c r="D30" s="506">
        <f>'Escapement Age'!D34+'Catch Age'!F117</f>
        <v>4648.7833530296521</v>
      </c>
      <c r="E30" s="506">
        <f>'Escapement Age'!E34+'Catch Age'!G117</f>
        <v>199.85024888984384</v>
      </c>
      <c r="F30" s="506">
        <f t="shared" si="4"/>
        <v>7461</v>
      </c>
      <c r="H30" s="508">
        <f t="shared" si="0"/>
        <v>0</v>
      </c>
      <c r="I30" s="508">
        <f t="shared" si="1"/>
        <v>0.35013622813034501</v>
      </c>
      <c r="J30" s="508">
        <f t="shared" si="2"/>
        <v>0.62307778488535748</v>
      </c>
      <c r="K30" s="508">
        <f t="shared" si="3"/>
        <v>2.6785986984297527E-2</v>
      </c>
      <c r="L30" s="508"/>
      <c r="M30" s="522">
        <f t="shared" si="9"/>
        <v>35.013622813034502</v>
      </c>
      <c r="N30" s="540" t="s">
        <v>178</v>
      </c>
      <c r="O30" s="538">
        <f t="shared" si="6"/>
        <v>62.307778488535746</v>
      </c>
      <c r="P30" s="540" t="s">
        <v>178</v>
      </c>
      <c r="Q30" s="538">
        <f t="shared" si="7"/>
        <v>2.6785986984297527</v>
      </c>
      <c r="R30" s="541" t="s">
        <v>178</v>
      </c>
      <c r="S30" s="480">
        <v>29</v>
      </c>
      <c r="T30" s="505">
        <f>'Summary Data'!J40</f>
        <v>4777</v>
      </c>
      <c r="U30" s="505">
        <f>'Catch Age'!I117</f>
        <v>2684</v>
      </c>
      <c r="V30" s="510">
        <f t="shared" si="10"/>
        <v>0.35973730062994236</v>
      </c>
      <c r="W30" s="507">
        <f>'Summary Data'!L40</f>
        <v>7461</v>
      </c>
      <c r="X30" s="506">
        <f t="shared" si="8"/>
        <v>7461</v>
      </c>
      <c r="Y30" s="505"/>
      <c r="Z30" s="506">
        <v>35</v>
      </c>
      <c r="AA30" s="480" t="s">
        <v>178</v>
      </c>
      <c r="AB30" s="480">
        <v>62</v>
      </c>
      <c r="AC30" s="480" t="s">
        <v>178</v>
      </c>
      <c r="AD30" s="480">
        <v>3</v>
      </c>
      <c r="AE30" s="480" t="s">
        <v>178</v>
      </c>
      <c r="AF30" s="539">
        <f t="shared" si="5"/>
        <v>-0.32140130157024727</v>
      </c>
    </row>
    <row r="31" spans="1:32" x14ac:dyDescent="0.25">
      <c r="A31" s="147">
        <v>2012</v>
      </c>
      <c r="B31" s="513">
        <f>'Escapement Age'!B35</f>
        <v>38.127516778523486</v>
      </c>
      <c r="C31" s="513">
        <f>'Escapement Age'!C35</f>
        <v>2278.1191275167785</v>
      </c>
      <c r="D31" s="513">
        <f>'Escapement Age'!D35</f>
        <v>3298.030201342282</v>
      </c>
      <c r="E31" s="513">
        <f>'Escapement Age'!E35</f>
        <v>66.723154362416111</v>
      </c>
      <c r="F31" s="513">
        <f t="shared" si="4"/>
        <v>5680.9999999999991</v>
      </c>
      <c r="G31" s="514" t="s">
        <v>179</v>
      </c>
      <c r="H31" s="509">
        <f t="shared" si="0"/>
        <v>6.7114093959731551E-3</v>
      </c>
      <c r="I31" s="509">
        <f t="shared" si="1"/>
        <v>0.40100671140939603</v>
      </c>
      <c r="J31" s="509">
        <f t="shared" si="2"/>
        <v>0.58053691275167796</v>
      </c>
      <c r="K31" s="509">
        <f t="shared" si="3"/>
        <v>1.1744966442953022E-2</v>
      </c>
      <c r="L31" s="508"/>
      <c r="M31" s="519">
        <v>0</v>
      </c>
      <c r="N31" s="517" t="s">
        <v>178</v>
      </c>
      <c r="O31" s="518">
        <v>0</v>
      </c>
      <c r="P31" s="517" t="s">
        <v>178</v>
      </c>
      <c r="Q31" s="518">
        <v>0</v>
      </c>
      <c r="R31" s="520" t="s">
        <v>178</v>
      </c>
      <c r="S31" s="480">
        <v>30</v>
      </c>
      <c r="T31" s="505">
        <f>'Summary Data'!J41</f>
        <v>5681</v>
      </c>
      <c r="U31" s="505"/>
      <c r="W31" s="507">
        <f>'Summary Data'!L41</f>
        <v>0</v>
      </c>
      <c r="X31" s="506"/>
      <c r="Y31" s="505"/>
      <c r="Z31" s="506">
        <v>0</v>
      </c>
      <c r="AA31" s="480" t="s">
        <v>178</v>
      </c>
      <c r="AB31" s="480">
        <v>0</v>
      </c>
      <c r="AC31" s="480" t="s">
        <v>178</v>
      </c>
      <c r="AD31" s="480">
        <v>0</v>
      </c>
      <c r="AE31" s="480" t="s">
        <v>178</v>
      </c>
      <c r="AF31" s="539">
        <f t="shared" si="5"/>
        <v>0</v>
      </c>
    </row>
    <row r="32" spans="1:32" x14ac:dyDescent="0.25">
      <c r="A32" s="147">
        <v>2013</v>
      </c>
      <c r="B32" s="513">
        <f>'Escapement Age'!B36</f>
        <v>11.136915077989601</v>
      </c>
      <c r="C32" s="513">
        <f>'Escapement Age'!C36</f>
        <v>3318.8006932409012</v>
      </c>
      <c r="D32" s="513">
        <f>'Escapement Age'!D36</f>
        <v>2995.830155979203</v>
      </c>
      <c r="E32" s="513">
        <f>'Escapement Age'!E36</f>
        <v>100.23223570190642</v>
      </c>
      <c r="F32" s="513">
        <f t="shared" si="4"/>
        <v>6426.0000000000009</v>
      </c>
      <c r="G32" s="514" t="s">
        <v>179</v>
      </c>
      <c r="H32" s="509">
        <f t="shared" si="0"/>
        <v>1.7331022530329286E-3</v>
      </c>
      <c r="I32" s="509">
        <f t="shared" si="1"/>
        <v>0.5164644714038128</v>
      </c>
      <c r="J32" s="509">
        <f t="shared" si="2"/>
        <v>0.46620450606585784</v>
      </c>
      <c r="K32" s="509">
        <f t="shared" si="3"/>
        <v>1.5597920277296359E-2</v>
      </c>
      <c r="L32" s="508"/>
      <c r="M32" s="535">
        <v>0</v>
      </c>
      <c r="N32" s="521" t="s">
        <v>178</v>
      </c>
      <c r="O32" s="536">
        <v>0</v>
      </c>
      <c r="P32" s="521" t="s">
        <v>178</v>
      </c>
      <c r="Q32" s="536">
        <v>0</v>
      </c>
      <c r="R32" s="524" t="s">
        <v>178</v>
      </c>
      <c r="S32" s="480">
        <v>31</v>
      </c>
      <c r="T32" s="505">
        <f>'Summary Data'!J42</f>
        <v>6426</v>
      </c>
      <c r="U32" s="505"/>
      <c r="W32" s="507">
        <f>'Summary Data'!L42</f>
        <v>0</v>
      </c>
      <c r="X32" s="506"/>
      <c r="Y32" s="505"/>
      <c r="Z32" s="480">
        <v>0</v>
      </c>
      <c r="AA32" s="480" t="s">
        <v>178</v>
      </c>
      <c r="AB32" s="480">
        <v>0</v>
      </c>
      <c r="AC32" s="480" t="s">
        <v>178</v>
      </c>
      <c r="AD32" s="480">
        <v>0</v>
      </c>
      <c r="AF32" s="539">
        <f t="shared" si="5"/>
        <v>0</v>
      </c>
    </row>
    <row r="33" spans="1:16" x14ac:dyDescent="0.25">
      <c r="A33" s="480" t="s">
        <v>187</v>
      </c>
    </row>
    <row r="36" spans="1:16" x14ac:dyDescent="0.25">
      <c r="M36" s="504">
        <v>100</v>
      </c>
      <c r="P36" s="480" t="s">
        <v>177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 Age Total Escapement</vt:lpstr>
      <vt:lpstr>Escapement Age</vt:lpstr>
      <vt:lpstr>Catch Age</vt:lpstr>
      <vt:lpstr>Summary Data (Calc) NOT USED</vt:lpstr>
      <vt:lpstr>Daily Weir Counts</vt:lpstr>
      <vt:lpstr>Weir Expansion Factors</vt:lpstr>
      <vt:lpstr>Summary Data</vt:lpstr>
      <vt:lpstr>Weir Expansions</vt:lpstr>
      <vt:lpstr>Total Run by Age for BUGS</vt:lpstr>
    </vt:vector>
  </TitlesOfParts>
  <Company>Fish and Game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Heinl, Steve (DFG)</dc:creator>
  <cp:lastModifiedBy>NA</cp:lastModifiedBy>
  <dcterms:created xsi:type="dcterms:W3CDTF">2011-06-30T22:01:46Z</dcterms:created>
  <dcterms:modified xsi:type="dcterms:W3CDTF">2019-12-09T22:44:26Z</dcterms:modified>
</cp:coreProperties>
</file>