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600" windowWidth="28050" windowHeight="10395" tabRatio="601" activeTab="1"/>
  </bookViews>
  <sheets>
    <sheet name="Historical" sheetId="1" r:id="rId1"/>
    <sheet name="Historical scd" sheetId="2" r:id="rId2"/>
  </sheets>
  <calcPr calcId="145621"/>
</workbook>
</file>

<file path=xl/calcChain.xml><?xml version="1.0" encoding="utf-8"?>
<calcChain xmlns="http://schemas.openxmlformats.org/spreadsheetml/2006/main">
  <c r="T42" i="2" l="1"/>
  <c r="S42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19" i="2"/>
  <c r="N67" i="2"/>
  <c r="M67" i="2"/>
  <c r="N66" i="2"/>
  <c r="M66" i="2"/>
  <c r="N65" i="2"/>
  <c r="M65" i="2"/>
  <c r="N61" i="2"/>
  <c r="M61" i="2"/>
  <c r="N59" i="2"/>
  <c r="M59" i="2"/>
  <c r="N58" i="2"/>
  <c r="M58" i="2"/>
  <c r="N50" i="2"/>
  <c r="N47" i="2"/>
  <c r="G47" i="2"/>
  <c r="H45" i="2"/>
  <c r="G48" i="2" s="1"/>
  <c r="G45" i="2"/>
  <c r="M44" i="2"/>
  <c r="H44" i="2"/>
  <c r="G44" i="2"/>
  <c r="D15" i="2" s="1"/>
  <c r="O40" i="2"/>
  <c r="N42" i="2"/>
  <c r="N40" i="2"/>
  <c r="N39" i="2"/>
  <c r="N38" i="2"/>
  <c r="N37" i="2"/>
  <c r="N35" i="2"/>
  <c r="I35" i="2"/>
  <c r="N34" i="2"/>
  <c r="I34" i="2"/>
  <c r="N33" i="2"/>
  <c r="N45" i="2" s="1"/>
  <c r="N46" i="2" s="1"/>
  <c r="I33" i="2"/>
  <c r="N32" i="2"/>
  <c r="I32" i="2"/>
  <c r="N31" i="2"/>
  <c r="I31" i="2"/>
  <c r="N30" i="2"/>
  <c r="I30" i="2"/>
  <c r="N26" i="2"/>
  <c r="I26" i="2"/>
  <c r="N25" i="2"/>
  <c r="I25" i="2"/>
  <c r="N24" i="2"/>
  <c r="I24" i="2"/>
  <c r="N22" i="2"/>
  <c r="D21" i="2"/>
  <c r="N19" i="2"/>
  <c r="N18" i="2"/>
  <c r="N17" i="2"/>
  <c r="D17" i="2"/>
  <c r="D22" i="2" s="1"/>
  <c r="C17" i="2"/>
  <c r="N16" i="2"/>
  <c r="N15" i="2"/>
  <c r="C15" i="2"/>
  <c r="N14" i="2"/>
  <c r="D14" i="2"/>
  <c r="N13" i="2"/>
  <c r="N12" i="2"/>
  <c r="N11" i="2"/>
  <c r="N10" i="2"/>
  <c r="N9" i="2"/>
  <c r="N49" i="2" l="1"/>
  <c r="N52" i="2" s="1"/>
  <c r="C14" i="2"/>
  <c r="C21" i="2" s="1"/>
  <c r="C22" i="2"/>
  <c r="O26" i="2"/>
  <c r="O33" i="2"/>
  <c r="O38" i="2"/>
  <c r="O19" i="2"/>
  <c r="O25" i="2"/>
  <c r="O32" i="2"/>
  <c r="O37" i="2"/>
  <c r="O42" i="2"/>
  <c r="S46" i="2"/>
  <c r="O18" i="2"/>
  <c r="O22" i="2"/>
  <c r="O30" i="2"/>
  <c r="O34" i="2"/>
  <c r="I37" i="2"/>
  <c r="I38" i="2" s="1"/>
  <c r="O39" i="2"/>
  <c r="O41" i="2"/>
  <c r="O24" i="2"/>
  <c r="O31" i="2"/>
  <c r="O35" i="2"/>
  <c r="H45" i="1"/>
  <c r="H44" i="1"/>
  <c r="L50" i="1"/>
  <c r="Q46" i="1" s="1"/>
  <c r="R42" i="1"/>
  <c r="Q42" i="1"/>
  <c r="M42" i="1" s="1"/>
  <c r="P42" i="1"/>
  <c r="O42" i="1"/>
  <c r="L42" i="1"/>
  <c r="L40" i="1"/>
  <c r="N73" i="2" l="1"/>
  <c r="M73" i="2"/>
  <c r="N60" i="2"/>
  <c r="M60" i="2"/>
  <c r="N69" i="2"/>
  <c r="M69" i="2"/>
  <c r="N56" i="2"/>
  <c r="M56" i="2"/>
  <c r="N70" i="2"/>
  <c r="M70" i="2"/>
  <c r="N62" i="2"/>
  <c r="M62" i="2"/>
  <c r="N72" i="2"/>
  <c r="M72" i="2"/>
  <c r="S48" i="2"/>
  <c r="S47" i="2"/>
  <c r="N71" i="2"/>
  <c r="M71" i="2"/>
  <c r="N51" i="2"/>
  <c r="I39" i="2"/>
  <c r="I40" i="2" s="1"/>
  <c r="O51" i="2" s="1"/>
  <c r="O52" i="2" s="1"/>
  <c r="N68" i="2"/>
  <c r="M68" i="2"/>
  <c r="N57" i="2"/>
  <c r="M57" i="2"/>
  <c r="N64" i="2"/>
  <c r="M64" i="2"/>
  <c r="N75" i="2"/>
  <c r="M75" i="2"/>
  <c r="N63" i="2"/>
  <c r="M63" i="2"/>
  <c r="G44" i="1"/>
  <c r="C17" i="1" l="1"/>
  <c r="D15" i="1" l="1"/>
  <c r="D17" i="1"/>
  <c r="D22" i="1" l="1"/>
  <c r="M41" i="1"/>
  <c r="G45" i="1"/>
  <c r="M40" i="1" l="1"/>
  <c r="C14" i="1"/>
  <c r="D14" i="1"/>
  <c r="L39" i="1"/>
  <c r="D21" i="1" l="1"/>
  <c r="L9" i="1"/>
  <c r="L10" i="1"/>
  <c r="K44" i="1" l="1"/>
  <c r="M25" i="1"/>
  <c r="G47" i="1" l="1"/>
  <c r="L38" i="1"/>
  <c r="M38" i="1"/>
  <c r="M39" i="1"/>
  <c r="G48" i="1" l="1"/>
  <c r="M37" i="1" l="1"/>
  <c r="L75" i="1" s="1"/>
  <c r="L37" i="1"/>
  <c r="K75" i="1" l="1"/>
  <c r="C21" i="1"/>
  <c r="M35" i="1"/>
  <c r="L35" i="1"/>
  <c r="I35" i="1"/>
  <c r="M18" i="1"/>
  <c r="Q47" i="1"/>
  <c r="I34" i="1"/>
  <c r="I33" i="1"/>
  <c r="I31" i="1"/>
  <c r="I30" i="1"/>
  <c r="I32" i="1"/>
  <c r="I24" i="1"/>
  <c r="I25" i="1"/>
  <c r="I26" i="1"/>
  <c r="L18" i="1"/>
  <c r="L19" i="1"/>
  <c r="L22" i="1"/>
  <c r="L24" i="1"/>
  <c r="L25" i="1"/>
  <c r="L26" i="1"/>
  <c r="L30" i="1"/>
  <c r="L31" i="1"/>
  <c r="L32" i="1"/>
  <c r="L33" i="1"/>
  <c r="L34" i="1"/>
  <c r="K58" i="1"/>
  <c r="L58" i="1"/>
  <c r="K59" i="1"/>
  <c r="L59" i="1"/>
  <c r="K61" i="1"/>
  <c r="L61" i="1"/>
  <c r="K65" i="1"/>
  <c r="L65" i="1"/>
  <c r="K66" i="1"/>
  <c r="L66" i="1"/>
  <c r="K67" i="1"/>
  <c r="L67" i="1"/>
  <c r="C15" i="1"/>
  <c r="C22" i="1" s="1"/>
  <c r="L11" i="1"/>
  <c r="L12" i="1"/>
  <c r="L13" i="1"/>
  <c r="L14" i="1"/>
  <c r="L15" i="1"/>
  <c r="L16" i="1"/>
  <c r="L17" i="1"/>
  <c r="L47" i="1" l="1"/>
  <c r="L45" i="1"/>
  <c r="L46" i="1" s="1"/>
  <c r="I37" i="1"/>
  <c r="I38" i="1" s="1"/>
  <c r="K73" i="1"/>
  <c r="L73" i="1"/>
  <c r="M32" i="1"/>
  <c r="M22" i="1"/>
  <c r="M30" i="1"/>
  <c r="M34" i="1"/>
  <c r="L56" i="1"/>
  <c r="K56" i="1"/>
  <c r="M19" i="1"/>
  <c r="M24" i="1"/>
  <c r="M26" i="1"/>
  <c r="M31" i="1"/>
  <c r="M33" i="1"/>
  <c r="Q48" i="1"/>
  <c r="I40" i="1" l="1"/>
  <c r="L49" i="1"/>
  <c r="L51" i="1" s="1"/>
  <c r="L52" i="1"/>
  <c r="I39" i="1"/>
  <c r="L68" i="1"/>
  <c r="K68" i="1"/>
  <c r="L72" i="1"/>
  <c r="K72" i="1"/>
  <c r="L60" i="1"/>
  <c r="K60" i="1"/>
  <c r="L70" i="1"/>
  <c r="K70" i="1"/>
  <c r="L63" i="1"/>
  <c r="K63" i="1"/>
  <c r="K69" i="1"/>
  <c r="L69" i="1"/>
  <c r="K62" i="1"/>
  <c r="L62" i="1"/>
  <c r="K71" i="1"/>
  <c r="L71" i="1"/>
  <c r="K64" i="1"/>
  <c r="L64" i="1"/>
  <c r="K57" i="1"/>
  <c r="L57" i="1"/>
  <c r="M51" i="1" l="1"/>
  <c r="M52" i="1" s="1"/>
</calcChain>
</file>

<file path=xl/sharedStrings.xml><?xml version="1.0" encoding="utf-8"?>
<sst xmlns="http://schemas.openxmlformats.org/spreadsheetml/2006/main" count="84" uniqueCount="39">
  <si>
    <t>Year</t>
  </si>
  <si>
    <t>Catch</t>
  </si>
  <si>
    <t>Compared with previous years:</t>
  </si>
  <si>
    <t>Total Run</t>
  </si>
  <si>
    <t>20-year avg</t>
  </si>
  <si>
    <t>10-year avg</t>
  </si>
  <si>
    <t>Forecast</t>
  </si>
  <si>
    <t>SSQ</t>
  </si>
  <si>
    <t>Percent of 20yr</t>
  </si>
  <si>
    <t>Percent of 10yr</t>
  </si>
  <si>
    <t>10-year</t>
  </si>
  <si>
    <t>20-year</t>
  </si>
  <si>
    <t>SQRT(MSE)=</t>
  </si>
  <si>
    <t>t 0.2=</t>
  </si>
  <si>
    <t>forecast</t>
  </si>
  <si>
    <t>lower</t>
  </si>
  <si>
    <t>upper</t>
  </si>
  <si>
    <t>MAD</t>
  </si>
  <si>
    <t>MAPE</t>
  </si>
  <si>
    <t>MPE</t>
  </si>
  <si>
    <t>MD</t>
  </si>
  <si>
    <t>Error</t>
  </si>
  <si>
    <t>This graph goes in forecast summary</t>
  </si>
  <si>
    <t>Range based on 25% error</t>
  </si>
  <si>
    <t>Lower</t>
  </si>
  <si>
    <t>Upper</t>
  </si>
  <si>
    <t>expected harvest</t>
  </si>
  <si>
    <t>diff from 10yr mean</t>
  </si>
  <si>
    <t>10yr</t>
  </si>
  <si>
    <t>Based on MAPE above)</t>
  </si>
  <si>
    <t>Figure 2- Forecasted age composition by weight for the 2010 Togiak herring return.  Forecasted average weight (grams) shown for each age category.</t>
  </si>
  <si>
    <t>MSE (10y)</t>
  </si>
  <si>
    <t>80% CI=</t>
  </si>
  <si>
    <t>TR (thousands)</t>
  </si>
  <si>
    <t>1994-2014</t>
  </si>
  <si>
    <t>2018-forecast model estimates</t>
  </si>
  <si>
    <t>1994-current</t>
  </si>
  <si>
    <t>Abs(1-fore/hind)</t>
  </si>
  <si>
    <t>MAPE scd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</si>
</sst>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#,###"/>
    <numFmt numFmtId="167" formatCode="0,"/>
    <numFmt numFmtId="168" formatCode="#,##0.0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name val="Helv"/>
    </font>
    <font>
      <sz val="9"/>
      <name val="Arial"/>
      <family val="2"/>
    </font>
    <font>
      <sz val="11"/>
      <color indexed="8"/>
      <name val="Times New Roman"/>
      <family val="1"/>
    </font>
    <font>
      <sz val="11"/>
      <color theme="1"/>
      <name val="Calibri"/>
      <family val="2"/>
    </font>
    <font>
      <sz val="12"/>
      <name val="Times New Roman"/>
      <family val="1"/>
    </font>
    <font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4" fontId="10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13" fillId="0" borderId="0"/>
  </cellStyleXfs>
  <cellXfs count="86">
    <xf numFmtId="0" fontId="0" fillId="0" borderId="0" xfId="0"/>
    <xf numFmtId="0" fontId="4" fillId="0" borderId="0" xfId="0" applyFont="1"/>
    <xf numFmtId="1" fontId="4" fillId="0" borderId="0" xfId="0" applyNumberFormat="1" applyFont="1"/>
    <xf numFmtId="1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3" fontId="4" fillId="0" borderId="0" xfId="0" applyNumberFormat="1" applyFont="1"/>
    <xf numFmtId="0" fontId="5" fillId="0" borderId="0" xfId="0" applyFont="1" applyFill="1"/>
    <xf numFmtId="1" fontId="4" fillId="0" borderId="0" xfId="3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0" fontId="4" fillId="0" borderId="0" xfId="3" applyFont="1" applyFill="1" applyAlignment="1">
      <alignment horizontal="center"/>
    </xf>
    <xf numFmtId="0" fontId="4" fillId="0" borderId="0" xfId="0" applyFont="1" applyFill="1"/>
    <xf numFmtId="0" fontId="7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3" applyFont="1" applyFill="1" applyAlignment="1">
      <alignment horizontal="center"/>
    </xf>
    <xf numFmtId="0" fontId="4" fillId="0" borderId="0" xfId="3" applyFont="1" applyFill="1"/>
    <xf numFmtId="3" fontId="4" fillId="0" borderId="0" xfId="3" applyNumberFormat="1" applyFont="1" applyFill="1" applyBorder="1" applyAlignment="1">
      <alignment horizontal="center"/>
    </xf>
    <xf numFmtId="3" fontId="4" fillId="0" borderId="0" xfId="3" quotePrefix="1" applyNumberFormat="1" applyFont="1" applyFill="1" applyBorder="1" applyAlignment="1">
      <alignment horizontal="center"/>
    </xf>
    <xf numFmtId="3" fontId="4" fillId="0" borderId="0" xfId="0" applyNumberFormat="1" applyFont="1" applyFill="1" applyAlignment="1">
      <alignment horizontal="center"/>
    </xf>
    <xf numFmtId="1" fontId="4" fillId="0" borderId="0" xfId="3" applyNumberFormat="1" applyFont="1" applyFill="1" applyBorder="1" applyAlignment="1">
      <alignment horizontal="center"/>
    </xf>
    <xf numFmtId="0" fontId="4" fillId="0" borderId="0" xfId="3" applyFont="1" applyFill="1" applyBorder="1"/>
    <xf numFmtId="0" fontId="4" fillId="0" borderId="0" xfId="3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4" fillId="0" borderId="0" xfId="3" applyNumberFormat="1" applyFont="1" applyFill="1" applyBorder="1" applyAlignment="1">
      <alignment horizontal="center"/>
    </xf>
    <xf numFmtId="1" fontId="4" fillId="0" borderId="0" xfId="3" quotePrefix="1" applyNumberFormat="1" applyFont="1" applyFill="1" applyBorder="1" applyAlignment="1">
      <alignment horizontal="center"/>
    </xf>
    <xf numFmtId="0" fontId="9" fillId="0" borderId="0" xfId="0" applyFont="1"/>
    <xf numFmtId="0" fontId="4" fillId="0" borderId="1" xfId="0" applyFont="1" applyBorder="1"/>
    <xf numFmtId="1" fontId="4" fillId="0" borderId="1" xfId="0" applyNumberFormat="1" applyFont="1" applyBorder="1"/>
    <xf numFmtId="1" fontId="9" fillId="0" borderId="0" xfId="0" applyNumberFormat="1" applyFont="1"/>
    <xf numFmtId="0" fontId="4" fillId="2" borderId="0" xfId="0" applyFont="1" applyFill="1"/>
    <xf numFmtId="0" fontId="4" fillId="0" borderId="0" xfId="0" applyFont="1" applyAlignment="1">
      <alignment horizontal="left"/>
    </xf>
    <xf numFmtId="9" fontId="4" fillId="0" borderId="0" xfId="4" applyFont="1"/>
    <xf numFmtId="165" fontId="4" fillId="0" borderId="0" xfId="1" applyNumberFormat="1" applyFont="1"/>
    <xf numFmtId="0" fontId="4" fillId="0" borderId="0" xfId="3" applyFont="1" applyAlignment="1">
      <alignment horizontal="center"/>
    </xf>
    <xf numFmtId="2" fontId="4" fillId="0" borderId="0" xfId="4" applyNumberFormat="1" applyFont="1"/>
    <xf numFmtId="3" fontId="4" fillId="3" borderId="0" xfId="3" applyNumberFormat="1" applyFont="1" applyFill="1" applyBorder="1" applyAlignment="1">
      <alignment horizontal="center"/>
    </xf>
    <xf numFmtId="3" fontId="4" fillId="0" borderId="0" xfId="0" applyNumberFormat="1" applyFont="1" applyProtection="1"/>
    <xf numFmtId="3" fontId="4" fillId="4" borderId="0" xfId="0" applyNumberFormat="1" applyFont="1" applyFill="1" applyAlignment="1">
      <alignment horizontal="center"/>
    </xf>
    <xf numFmtId="0" fontId="5" fillId="4" borderId="0" xfId="0" applyFont="1" applyFill="1"/>
    <xf numFmtId="164" fontId="4" fillId="3" borderId="0" xfId="3" applyNumberFormat="1" applyFont="1" applyFill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left"/>
    </xf>
    <xf numFmtId="3" fontId="4" fillId="0" borderId="0" xfId="0" applyNumberFormat="1" applyFont="1" applyBorder="1"/>
    <xf numFmtId="2" fontId="4" fillId="0" borderId="0" xfId="4" applyNumberFormat="1" applyFont="1" applyBorder="1"/>
    <xf numFmtId="0" fontId="4" fillId="5" borderId="4" xfId="0" applyFont="1" applyFill="1" applyBorder="1" applyAlignment="1">
      <alignment horizontal="left"/>
    </xf>
    <xf numFmtId="0" fontId="4" fillId="5" borderId="5" xfId="0" applyFont="1" applyFill="1" applyBorder="1"/>
    <xf numFmtId="3" fontId="4" fillId="5" borderId="6" xfId="0" applyNumberFormat="1" applyFont="1" applyFill="1" applyBorder="1" applyProtection="1"/>
    <xf numFmtId="0" fontId="4" fillId="5" borderId="7" xfId="0" applyFont="1" applyFill="1" applyBorder="1" applyAlignment="1">
      <alignment horizontal="left"/>
    </xf>
    <xf numFmtId="0" fontId="4" fillId="5" borderId="0" xfId="0" applyFont="1" applyFill="1" applyBorder="1"/>
    <xf numFmtId="0" fontId="4" fillId="5" borderId="8" xfId="0" applyFont="1" applyFill="1" applyBorder="1" applyAlignment="1">
      <alignment horizontal="left"/>
    </xf>
    <xf numFmtId="0" fontId="4" fillId="5" borderId="9" xfId="0" applyFont="1" applyFill="1" applyBorder="1"/>
    <xf numFmtId="0" fontId="4" fillId="6" borderId="0" xfId="0" applyFont="1" applyFill="1"/>
    <xf numFmtId="43" fontId="4" fillId="6" borderId="0" xfId="0" applyNumberFormat="1" applyFont="1" applyFill="1"/>
    <xf numFmtId="3" fontId="4" fillId="6" borderId="10" xfId="0" applyNumberFormat="1" applyFont="1" applyFill="1" applyBorder="1" applyProtection="1"/>
    <xf numFmtId="3" fontId="4" fillId="6" borderId="11" xfId="0" applyNumberFormat="1" applyFont="1" applyFill="1" applyBorder="1" applyProtection="1"/>
    <xf numFmtId="3" fontId="4" fillId="6" borderId="0" xfId="0" applyNumberFormat="1" applyFont="1" applyFill="1"/>
    <xf numFmtId="3" fontId="4" fillId="6" borderId="0" xfId="3" quotePrefix="1" applyNumberFormat="1" applyFont="1" applyFill="1" applyBorder="1" applyAlignment="1">
      <alignment horizontal="center"/>
    </xf>
    <xf numFmtId="3" fontId="11" fillId="0" borderId="0" xfId="2" applyNumberFormat="1" applyFont="1" applyFill="1" applyBorder="1"/>
    <xf numFmtId="0" fontId="5" fillId="0" borderId="0" xfId="0" applyFont="1"/>
    <xf numFmtId="0" fontId="12" fillId="0" borderId="0" xfId="0" applyFont="1" applyAlignment="1">
      <alignment horizontal="center"/>
    </xf>
    <xf numFmtId="43" fontId="4" fillId="0" borderId="0" xfId="0" applyNumberFormat="1" applyFont="1"/>
    <xf numFmtId="1" fontId="4" fillId="0" borderId="0" xfId="0" applyNumberFormat="1" applyFont="1" applyFill="1"/>
    <xf numFmtId="3" fontId="4" fillId="0" borderId="0" xfId="0" applyNumberFormat="1" applyFont="1" applyFill="1"/>
    <xf numFmtId="0" fontId="3" fillId="0" borderId="0" xfId="0" applyFont="1"/>
    <xf numFmtId="1" fontId="3" fillId="0" borderId="0" xfId="0" applyNumberFormat="1" applyFont="1" applyFill="1" applyBorder="1"/>
    <xf numFmtId="164" fontId="3" fillId="0" borderId="0" xfId="0" applyNumberFormat="1" applyFont="1" applyFill="1" applyBorder="1"/>
    <xf numFmtId="9" fontId="4" fillId="7" borderId="2" xfId="4" applyNumberFormat="1" applyFont="1" applyFill="1" applyBorder="1"/>
    <xf numFmtId="9" fontId="4" fillId="7" borderId="3" xfId="4" applyFont="1" applyFill="1" applyBorder="1"/>
    <xf numFmtId="165" fontId="5" fillId="8" borderId="12" xfId="1" applyNumberFormat="1" applyFont="1" applyFill="1" applyBorder="1"/>
    <xf numFmtId="0" fontId="3" fillId="0" borderId="0" xfId="0" applyFont="1" applyAlignment="1">
      <alignment horizontal="left"/>
    </xf>
    <xf numFmtId="166" fontId="4" fillId="0" borderId="0" xfId="0" applyNumberFormat="1" applyFont="1"/>
    <xf numFmtId="167" fontId="4" fillId="0" borderId="0" xfId="0" applyNumberFormat="1" applyFont="1"/>
    <xf numFmtId="0" fontId="3" fillId="0" borderId="1" xfId="0" applyFont="1" applyBorder="1" applyAlignment="1">
      <alignment horizontal="right"/>
    </xf>
    <xf numFmtId="167" fontId="3" fillId="0" borderId="0" xfId="0" applyNumberFormat="1" applyFont="1"/>
    <xf numFmtId="167" fontId="5" fillId="0" borderId="0" xfId="0" applyNumberFormat="1" applyFont="1"/>
    <xf numFmtId="37" fontId="3" fillId="0" borderId="0" xfId="1" applyNumberFormat="1" applyFont="1" applyFill="1" applyAlignment="1">
      <alignment horizontal="center"/>
    </xf>
    <xf numFmtId="0" fontId="5" fillId="0" borderId="0" xfId="3" applyFont="1" applyFill="1" applyAlignment="1">
      <alignment horizontal="center"/>
    </xf>
    <xf numFmtId="3" fontId="4" fillId="0" borderId="0" xfId="3" applyNumberFormat="1" applyFont="1" applyFill="1" applyBorder="1" applyAlignment="1">
      <alignment horizontal="center"/>
    </xf>
    <xf numFmtId="167" fontId="4" fillId="0" borderId="0" xfId="0" applyNumberFormat="1" applyFont="1" applyBorder="1"/>
    <xf numFmtId="3" fontId="14" fillId="0" borderId="0" xfId="6" applyNumberFormat="1" applyFont="1" applyBorder="1"/>
    <xf numFmtId="168" fontId="15" fillId="0" borderId="0" xfId="7" applyNumberFormat="1" applyFont="1" applyFill="1" applyBorder="1" applyAlignment="1">
      <alignment horizontal="right" vertical="top" wrapText="1"/>
    </xf>
    <xf numFmtId="0" fontId="5" fillId="0" borderId="0" xfId="3" applyFont="1" applyFill="1" applyAlignment="1">
      <alignment horizontal="center"/>
    </xf>
    <xf numFmtId="0" fontId="6" fillId="0" borderId="0" xfId="3" applyFont="1" applyFill="1" applyAlignment="1">
      <alignment horizontal="center"/>
    </xf>
    <xf numFmtId="3" fontId="4" fillId="0" borderId="0" xfId="3" applyNumberFormat="1" applyFont="1" applyFill="1" applyBorder="1" applyAlignment="1">
      <alignment horizontal="center"/>
    </xf>
    <xf numFmtId="0" fontId="3" fillId="0" borderId="0" xfId="3" applyFont="1" applyAlignment="1">
      <alignment horizontal="center"/>
    </xf>
  </cellXfs>
  <cellStyles count="8">
    <cellStyle name="Comma" xfId="1" builtinId="3"/>
    <cellStyle name="Comma 7" xfId="5"/>
    <cellStyle name="Comma_2007ASAForecast-Final" xfId="2"/>
    <cellStyle name="Normal" xfId="0" builtinId="0"/>
    <cellStyle name="Normal 12 8" xfId="7"/>
    <cellStyle name="Normal_2007ASAForecast-Final" xfId="6"/>
    <cellStyle name="Normal_Kvichak2001Forecast" xfId="3"/>
    <cellStyle name="Percent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5561916225442"/>
          <c:y val="4.3453325301468199E-2"/>
          <c:w val="0.79578416551434261"/>
          <c:h val="0.7552122507538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Historical!$K$3</c:f>
              <c:strCache>
                <c:ptCount val="1"/>
                <c:pt idx="0">
                  <c:v>Forecast</c:v>
                </c:pt>
              </c:strCache>
            </c:strRef>
          </c:tx>
          <c:dPt>
            <c:idx val="18"/>
            <c:bubble3D val="0"/>
          </c:dPt>
          <c:dPt>
            <c:idx val="19"/>
            <c:marker>
              <c:symbol val="diamond"/>
              <c:size val="9"/>
              <c:spPr>
                <a:solidFill>
                  <a:schemeClr val="tx2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20"/>
            <c:bubble3D val="0"/>
            <c:spPr/>
          </c:dPt>
          <c:dPt>
            <c:idx val="21"/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22"/>
            <c:bubble3D val="0"/>
            <c:spPr/>
          </c:dPt>
          <c:dPt>
            <c:idx val="23"/>
            <c:marker>
              <c:symbol val="circle"/>
              <c:size val="10"/>
              <c:spPr>
                <a:solidFill>
                  <a:srgbClr val="FF0000"/>
                </a:solidFill>
              </c:spPr>
            </c:marker>
            <c:bubble3D val="0"/>
            <c:spPr>
              <a:ln>
                <a:noFill/>
              </a:ln>
            </c:spPr>
          </c:dPt>
          <c:errBars>
            <c:errDir val="y"/>
            <c:errBarType val="both"/>
            <c:errValType val="cust"/>
            <c:noEndCap val="0"/>
            <c:plus>
              <c:numRef>
                <c:f>Historical!$M$18:$M$41</c:f>
                <c:numCache>
                  <c:formatCode>General</c:formatCode>
                  <c:ptCount val="24"/>
                  <c:pt idx="0">
                    <c:v>31228.181775109319</c:v>
                  </c:pt>
                  <c:pt idx="1">
                    <c:v>29908.205196777621</c:v>
                  </c:pt>
                  <c:pt idx="4">
                    <c:v>26235.820049525268</c:v>
                  </c:pt>
                  <c:pt idx="6">
                    <c:v>18889.790435658186</c:v>
                  </c:pt>
                  <c:pt idx="7">
                    <c:v>27474.990302104445</c:v>
                  </c:pt>
                  <c:pt idx="8">
                    <c:v>25148.187893552153</c:v>
                  </c:pt>
                  <c:pt idx="12">
                    <c:v>20155.196508286899</c:v>
                  </c:pt>
                  <c:pt idx="13">
                    <c:v>27280.215574056754</c:v>
                  </c:pt>
                  <c:pt idx="14">
                    <c:v>28243.53371822834</c:v>
                  </c:pt>
                  <c:pt idx="15">
                    <c:v>27393.572720601456</c:v>
                  </c:pt>
                  <c:pt idx="16">
                    <c:v>25564.282404376514</c:v>
                  </c:pt>
                  <c:pt idx="17">
                    <c:v>30806.136480053014</c:v>
                  </c:pt>
                  <c:pt idx="19">
                    <c:v>25972.412416228035</c:v>
                  </c:pt>
                  <c:pt idx="20">
                    <c:v>35490.502873973775</c:v>
                  </c:pt>
                  <c:pt idx="21">
                    <c:v>33046.246054621122</c:v>
                  </c:pt>
                  <c:pt idx="22">
                    <c:v>34312.241820373281</c:v>
                  </c:pt>
                  <c:pt idx="23">
                    <c:v>34048.637373713485</c:v>
                  </c:pt>
                </c:numCache>
              </c:numRef>
            </c:plus>
            <c:minus>
              <c:numRef>
                <c:f>Historical!$M$18:$M$41</c:f>
                <c:numCache>
                  <c:formatCode>General</c:formatCode>
                  <c:ptCount val="24"/>
                  <c:pt idx="0">
                    <c:v>31228.181775109319</c:v>
                  </c:pt>
                  <c:pt idx="1">
                    <c:v>29908.205196777621</c:v>
                  </c:pt>
                  <c:pt idx="4">
                    <c:v>26235.820049525268</c:v>
                  </c:pt>
                  <c:pt idx="6">
                    <c:v>18889.790435658186</c:v>
                  </c:pt>
                  <c:pt idx="7">
                    <c:v>27474.990302104445</c:v>
                  </c:pt>
                  <c:pt idx="8">
                    <c:v>25148.187893552153</c:v>
                  </c:pt>
                  <c:pt idx="12">
                    <c:v>20155.196508286899</c:v>
                  </c:pt>
                  <c:pt idx="13">
                    <c:v>27280.215574056754</c:v>
                  </c:pt>
                  <c:pt idx="14">
                    <c:v>28243.53371822834</c:v>
                  </c:pt>
                  <c:pt idx="15">
                    <c:v>27393.572720601456</c:v>
                  </c:pt>
                  <c:pt idx="16">
                    <c:v>25564.282404376514</c:v>
                  </c:pt>
                  <c:pt idx="17">
                    <c:v>30806.136480053014</c:v>
                  </c:pt>
                  <c:pt idx="19">
                    <c:v>25972.412416228035</c:v>
                  </c:pt>
                  <c:pt idx="20">
                    <c:v>35490.502873973775</c:v>
                  </c:pt>
                  <c:pt idx="21">
                    <c:v>33046.246054621122</c:v>
                  </c:pt>
                  <c:pt idx="22">
                    <c:v>34312.241820373281</c:v>
                  </c:pt>
                  <c:pt idx="23">
                    <c:v>34048.637373713485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Historical!$F$18:$F$41</c:f>
              <c:numCache>
                <c:formatCode>0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xVal>
          <c:yVal>
            <c:numRef>
              <c:f>Historical!$K$18:$K$41</c:f>
              <c:numCache>
                <c:formatCode>0,</c:formatCode>
                <c:ptCount val="24"/>
                <c:pt idx="0">
                  <c:v>148786</c:v>
                </c:pt>
                <c:pt idx="1">
                  <c:v>142497</c:v>
                </c:pt>
                <c:pt idx="2">
                  <c:v>149093</c:v>
                </c:pt>
                <c:pt idx="3">
                  <c:v>135585</c:v>
                </c:pt>
                <c:pt idx="4">
                  <c:v>125000</c:v>
                </c:pt>
                <c:pt idx="5">
                  <c:v>121000</c:v>
                </c:pt>
                <c:pt idx="6">
                  <c:v>90000</c:v>
                </c:pt>
                <c:pt idx="7">
                  <c:v>130904</c:v>
                </c:pt>
                <c:pt idx="8">
                  <c:v>119818</c:v>
                </c:pt>
                <c:pt idx="9">
                  <c:v>120196</c:v>
                </c:pt>
                <c:pt idx="10">
                  <c:v>126213</c:v>
                </c:pt>
                <c:pt idx="11">
                  <c:v>143124</c:v>
                </c:pt>
                <c:pt idx="12">
                  <c:v>96029</c:v>
                </c:pt>
                <c:pt idx="13">
                  <c:v>129976</c:v>
                </c:pt>
                <c:pt idx="14">
                  <c:v>134565.70856615651</c:v>
                </c:pt>
                <c:pt idx="15">
                  <c:v>130516.0876851319</c:v>
                </c:pt>
                <c:pt idx="16">
                  <c:v>121800.4733419753</c:v>
                </c:pt>
                <c:pt idx="17">
                  <c:v>146775.17427461944</c:v>
                </c:pt>
                <c:pt idx="18">
                  <c:v>140860</c:v>
                </c:pt>
                <c:pt idx="19">
                  <c:v>123745</c:v>
                </c:pt>
                <c:pt idx="20">
                  <c:v>169093.73714533445</c:v>
                </c:pt>
                <c:pt idx="21">
                  <c:v>157448.12813283445</c:v>
                </c:pt>
                <c:pt idx="22">
                  <c:v>163479.93771303017</c:v>
                </c:pt>
                <c:pt idx="23">
                  <c:v>162224</c:v>
                </c:pt>
              </c:numCache>
            </c:numRef>
          </c:yVal>
          <c:smooth val="1"/>
        </c:ser>
        <c:ser>
          <c:idx val="1"/>
          <c:order val="1"/>
          <c:tx>
            <c:v>Observed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Historical!$F$18:$F$40</c:f>
              <c:numCache>
                <c:formatCode>0</c:formatCod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numCache>
            </c:numRef>
          </c:xVal>
          <c:yVal>
            <c:numRef>
              <c:f>Historical!$G$18:$G$40</c:f>
              <c:numCache>
                <c:formatCode>0,</c:formatCode>
                <c:ptCount val="23"/>
                <c:pt idx="0">
                  <c:v>193847</c:v>
                </c:pt>
                <c:pt idx="1">
                  <c:v>185411.68202848587</c:v>
                </c:pt>
                <c:pt idx="4">
                  <c:v>144887</c:v>
                </c:pt>
                <c:pt idx="6">
                  <c:v>157028</c:v>
                </c:pt>
                <c:pt idx="7">
                  <c:v>101551</c:v>
                </c:pt>
                <c:pt idx="8">
                  <c:v>115155</c:v>
                </c:pt>
                <c:pt idx="12">
                  <c:v>163736.70000000001</c:v>
                </c:pt>
                <c:pt idx="13">
                  <c:v>179580</c:v>
                </c:pt>
                <c:pt idx="14">
                  <c:v>143827</c:v>
                </c:pt>
                <c:pt idx="15">
                  <c:v>136838.69999999998</c:v>
                </c:pt>
                <c:pt idx="16">
                  <c:v>142154</c:v>
                </c:pt>
                <c:pt idx="17">
                  <c:v>146913</c:v>
                </c:pt>
                <c:pt idx="19">
                  <c:v>167738</c:v>
                </c:pt>
                <c:pt idx="20">
                  <c:v>169020.3</c:v>
                </c:pt>
                <c:pt idx="21">
                  <c:v>203267</c:v>
                </c:pt>
                <c:pt idx="22">
                  <c:v>228807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5712"/>
        <c:axId val="99718272"/>
      </c:scatterChart>
      <c:valAx>
        <c:axId val="99715712"/>
        <c:scaling>
          <c:orientation val="minMax"/>
          <c:max val="2016.5"/>
          <c:min val="1992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51794684762150711"/>
              <c:y val="0.92872570194384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18272"/>
        <c:crosses val="autoZero"/>
        <c:crossBetween val="midCat"/>
        <c:majorUnit val="1"/>
      </c:valAx>
      <c:valAx>
        <c:axId val="99718272"/>
        <c:scaling>
          <c:orientation val="minMax"/>
          <c:min val="50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Togiak</a:t>
                </a:r>
                <a:r>
                  <a:rPr lang="en-US" sz="1200" baseline="0"/>
                  <a:t> Spawning Biomass (x1,000 tons)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1442594224196129E-2"/>
              <c:y val="4.8438962893444647E-2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157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6125971929565143"/>
          <c:y val="9.5575638124603443E-2"/>
          <c:w val="0.20743127179525092"/>
          <c:h val="0.2086386575562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5561916225442"/>
          <c:y val="4.3453325301468199E-2"/>
          <c:w val="0.79578416551434261"/>
          <c:h val="0.7552122507538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'Historical scd'!$M$3</c:f>
              <c:strCache>
                <c:ptCount val="1"/>
                <c:pt idx="0">
                  <c:v>Forecast</c:v>
                </c:pt>
              </c:strCache>
            </c:strRef>
          </c:tx>
          <c:dPt>
            <c:idx val="18"/>
            <c:bubble3D val="0"/>
          </c:dPt>
          <c:dPt>
            <c:idx val="19"/>
            <c:marker>
              <c:symbol val="diamond"/>
              <c:size val="9"/>
              <c:spPr>
                <a:solidFill>
                  <a:schemeClr val="tx2">
                    <a:lumMod val="60000"/>
                    <a:lumOff val="40000"/>
                  </a:schemeClr>
                </a:solidFill>
              </c:spPr>
            </c:marker>
            <c:bubble3D val="0"/>
          </c:dPt>
          <c:dPt>
            <c:idx val="20"/>
            <c:bubble3D val="0"/>
          </c:dPt>
          <c:dPt>
            <c:idx val="21"/>
            <c:bubble3D val="0"/>
            <c:spPr>
              <a:ln>
                <a:solidFill>
                  <a:srgbClr val="0070C0"/>
                </a:solidFill>
              </a:ln>
            </c:spPr>
          </c:dPt>
          <c:dPt>
            <c:idx val="22"/>
            <c:bubble3D val="0"/>
          </c:dPt>
          <c:dPt>
            <c:idx val="23"/>
            <c:marker>
              <c:symbol val="circle"/>
              <c:size val="10"/>
              <c:spPr>
                <a:solidFill>
                  <a:srgbClr val="FF0000"/>
                </a:solidFill>
              </c:spPr>
            </c:marker>
            <c:bubble3D val="0"/>
            <c:spPr>
              <a:ln>
                <a:noFill/>
              </a:ln>
            </c:spPr>
          </c:dPt>
          <c:errBars>
            <c:errDir val="y"/>
            <c:errBarType val="both"/>
            <c:errValType val="cust"/>
            <c:noEndCap val="0"/>
            <c:plus>
              <c:numRef>
                <c:f>'Historical scd'!$O$18:$O$41</c:f>
                <c:numCache>
                  <c:formatCode>General</c:formatCode>
                  <c:ptCount val="24"/>
                  <c:pt idx="0">
                    <c:v>31228.181775109319</c:v>
                  </c:pt>
                  <c:pt idx="1">
                    <c:v>29908.205196777621</c:v>
                  </c:pt>
                  <c:pt idx="4">
                    <c:v>26235.820049525268</c:v>
                  </c:pt>
                  <c:pt idx="6">
                    <c:v>18889.790435658186</c:v>
                  </c:pt>
                  <c:pt idx="7">
                    <c:v>27474.990302104445</c:v>
                  </c:pt>
                  <c:pt idx="8">
                    <c:v>25148.187893552153</c:v>
                  </c:pt>
                  <c:pt idx="12">
                    <c:v>20155.196508286899</c:v>
                  </c:pt>
                  <c:pt idx="13">
                    <c:v>27280.215574056754</c:v>
                  </c:pt>
                  <c:pt idx="14">
                    <c:v>28243.53371822834</c:v>
                  </c:pt>
                  <c:pt idx="15">
                    <c:v>27393.572720601456</c:v>
                  </c:pt>
                  <c:pt idx="16">
                    <c:v>25564.282404376514</c:v>
                  </c:pt>
                  <c:pt idx="17">
                    <c:v>30806.136480053014</c:v>
                  </c:pt>
                  <c:pt idx="19">
                    <c:v>25972.412416228035</c:v>
                  </c:pt>
                  <c:pt idx="20">
                    <c:v>35490.502873973775</c:v>
                  </c:pt>
                  <c:pt idx="21">
                    <c:v>33046.246054621122</c:v>
                  </c:pt>
                  <c:pt idx="22">
                    <c:v>34312.241820373281</c:v>
                  </c:pt>
                  <c:pt idx="23">
                    <c:v>34048.637373713485</c:v>
                  </c:pt>
                </c:numCache>
              </c:numRef>
            </c:plus>
            <c:minus>
              <c:numRef>
                <c:f>'Historical scd'!$O$18:$O$41</c:f>
                <c:numCache>
                  <c:formatCode>General</c:formatCode>
                  <c:ptCount val="24"/>
                  <c:pt idx="0">
                    <c:v>31228.181775109319</c:v>
                  </c:pt>
                  <c:pt idx="1">
                    <c:v>29908.205196777621</c:v>
                  </c:pt>
                  <c:pt idx="4">
                    <c:v>26235.820049525268</c:v>
                  </c:pt>
                  <c:pt idx="6">
                    <c:v>18889.790435658186</c:v>
                  </c:pt>
                  <c:pt idx="7">
                    <c:v>27474.990302104445</c:v>
                  </c:pt>
                  <c:pt idx="8">
                    <c:v>25148.187893552153</c:v>
                  </c:pt>
                  <c:pt idx="12">
                    <c:v>20155.196508286899</c:v>
                  </c:pt>
                  <c:pt idx="13">
                    <c:v>27280.215574056754</c:v>
                  </c:pt>
                  <c:pt idx="14">
                    <c:v>28243.53371822834</c:v>
                  </c:pt>
                  <c:pt idx="15">
                    <c:v>27393.572720601456</c:v>
                  </c:pt>
                  <c:pt idx="16">
                    <c:v>25564.282404376514</c:v>
                  </c:pt>
                  <c:pt idx="17">
                    <c:v>30806.136480053014</c:v>
                  </c:pt>
                  <c:pt idx="19">
                    <c:v>25972.412416228035</c:v>
                  </c:pt>
                  <c:pt idx="20">
                    <c:v>35490.502873973775</c:v>
                  </c:pt>
                  <c:pt idx="21">
                    <c:v>33046.246054621122</c:v>
                  </c:pt>
                  <c:pt idx="22">
                    <c:v>34312.241820373281</c:v>
                  </c:pt>
                  <c:pt idx="23">
                    <c:v>34048.637373713485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'Historical scd'!$F$18:$F$41</c:f>
              <c:numCache>
                <c:formatCode>0</c:formatCode>
                <c:ptCount val="24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</c:numCache>
            </c:numRef>
          </c:xVal>
          <c:yVal>
            <c:numRef>
              <c:f>'Historical scd'!$M$18:$M$41</c:f>
              <c:numCache>
                <c:formatCode>0,</c:formatCode>
                <c:ptCount val="24"/>
                <c:pt idx="0">
                  <c:v>148786</c:v>
                </c:pt>
                <c:pt idx="1">
                  <c:v>142497</c:v>
                </c:pt>
                <c:pt idx="2">
                  <c:v>149093</c:v>
                </c:pt>
                <c:pt idx="3">
                  <c:v>135585</c:v>
                </c:pt>
                <c:pt idx="4">
                  <c:v>125000</c:v>
                </c:pt>
                <c:pt idx="5">
                  <c:v>121000</c:v>
                </c:pt>
                <c:pt idx="6">
                  <c:v>90000</c:v>
                </c:pt>
                <c:pt idx="7">
                  <c:v>130904</c:v>
                </c:pt>
                <c:pt idx="8">
                  <c:v>119818</c:v>
                </c:pt>
                <c:pt idx="9">
                  <c:v>120196</c:v>
                </c:pt>
                <c:pt idx="10">
                  <c:v>126213</c:v>
                </c:pt>
                <c:pt idx="11">
                  <c:v>143124</c:v>
                </c:pt>
                <c:pt idx="12">
                  <c:v>96029</c:v>
                </c:pt>
                <c:pt idx="13">
                  <c:v>129976</c:v>
                </c:pt>
                <c:pt idx="14">
                  <c:v>134565.70856615651</c:v>
                </c:pt>
                <c:pt idx="15">
                  <c:v>130516.0876851319</c:v>
                </c:pt>
                <c:pt idx="16">
                  <c:v>121800.4733419753</c:v>
                </c:pt>
                <c:pt idx="17">
                  <c:v>146775.17427461944</c:v>
                </c:pt>
                <c:pt idx="18">
                  <c:v>140860</c:v>
                </c:pt>
                <c:pt idx="19">
                  <c:v>123745</c:v>
                </c:pt>
                <c:pt idx="20">
                  <c:v>169093.73714533445</c:v>
                </c:pt>
                <c:pt idx="21">
                  <c:v>157448.12813283445</c:v>
                </c:pt>
                <c:pt idx="22">
                  <c:v>163479.93771303017</c:v>
                </c:pt>
                <c:pt idx="23">
                  <c:v>162224</c:v>
                </c:pt>
              </c:numCache>
            </c:numRef>
          </c:yVal>
          <c:smooth val="1"/>
        </c:ser>
        <c:ser>
          <c:idx val="1"/>
          <c:order val="1"/>
          <c:tx>
            <c:v>Observed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'Historical scd'!$F$18:$F$40</c:f>
              <c:numCache>
                <c:formatCode>0</c:formatCode>
                <c:ptCount val="23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</c:numCache>
            </c:numRef>
          </c:xVal>
          <c:yVal>
            <c:numRef>
              <c:f>'Historical scd'!$G$18:$G$40</c:f>
              <c:numCache>
                <c:formatCode>0,</c:formatCode>
                <c:ptCount val="23"/>
                <c:pt idx="0">
                  <c:v>193847</c:v>
                </c:pt>
                <c:pt idx="1">
                  <c:v>185411.68202848587</c:v>
                </c:pt>
                <c:pt idx="4">
                  <c:v>144887</c:v>
                </c:pt>
                <c:pt idx="6">
                  <c:v>157028</c:v>
                </c:pt>
                <c:pt idx="7">
                  <c:v>101551</c:v>
                </c:pt>
                <c:pt idx="8">
                  <c:v>115155</c:v>
                </c:pt>
                <c:pt idx="12">
                  <c:v>163736.70000000001</c:v>
                </c:pt>
                <c:pt idx="13">
                  <c:v>179580</c:v>
                </c:pt>
                <c:pt idx="14">
                  <c:v>143827</c:v>
                </c:pt>
                <c:pt idx="15">
                  <c:v>136838.69999999998</c:v>
                </c:pt>
                <c:pt idx="16">
                  <c:v>142154</c:v>
                </c:pt>
                <c:pt idx="17">
                  <c:v>146913</c:v>
                </c:pt>
                <c:pt idx="19">
                  <c:v>167738</c:v>
                </c:pt>
                <c:pt idx="20">
                  <c:v>169020.3</c:v>
                </c:pt>
                <c:pt idx="21">
                  <c:v>203267</c:v>
                </c:pt>
                <c:pt idx="22">
                  <c:v>228807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49888"/>
        <c:axId val="99752192"/>
      </c:scatterChart>
      <c:valAx>
        <c:axId val="99749888"/>
        <c:scaling>
          <c:orientation val="minMax"/>
          <c:max val="2016.5"/>
          <c:min val="1992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Year</a:t>
                </a:r>
              </a:p>
            </c:rich>
          </c:tx>
          <c:layout>
            <c:manualLayout>
              <c:xMode val="edge"/>
              <c:yMode val="edge"/>
              <c:x val="0.51794684762150711"/>
              <c:y val="0.92872570194384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52192"/>
        <c:crosses val="autoZero"/>
        <c:crossBetween val="midCat"/>
        <c:majorUnit val="1"/>
      </c:valAx>
      <c:valAx>
        <c:axId val="99752192"/>
        <c:scaling>
          <c:orientation val="minMax"/>
          <c:min val="5000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 sz="1200"/>
                  <a:t>Togiak</a:t>
                </a:r>
                <a:r>
                  <a:rPr lang="en-US" sz="1200" baseline="0"/>
                  <a:t> Spawning Biomass (x1,000 tons)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1442594224196129E-2"/>
              <c:y val="4.8438962893444647E-2"/>
            </c:manualLayout>
          </c:layout>
          <c:overlay val="0"/>
          <c:spPr>
            <a:noFill/>
            <a:ln w="25400">
              <a:noFill/>
            </a:ln>
          </c:spPr>
        </c:title>
        <c:numFmt formatCode="0,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9974988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6125971929565143"/>
          <c:y val="9.5575638124603443E-2"/>
          <c:w val="0.20743127179525092"/>
          <c:h val="0.2086386575562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436880</xdr:colOff>
      <xdr:row>7</xdr:row>
      <xdr:rowOff>94457</xdr:rowOff>
    </xdr:from>
    <xdr:to>
      <xdr:col>26</xdr:col>
      <xdr:colOff>285750</xdr:colOff>
      <xdr:row>28</xdr:row>
      <xdr:rowOff>30481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0.86934</cdr:x>
      <cdr:y>0.47822</cdr:y>
    </cdr:from>
    <cdr:to>
      <cdr:x>0.94317</cdr:x>
      <cdr:y>0.53878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18263" y="1703963"/>
          <a:ext cx="451662" cy="215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162,244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436880</xdr:colOff>
      <xdr:row>7</xdr:row>
      <xdr:rowOff>94457</xdr:rowOff>
    </xdr:from>
    <xdr:to>
      <xdr:col>28</xdr:col>
      <xdr:colOff>285750</xdr:colOff>
      <xdr:row>28</xdr:row>
      <xdr:rowOff>30481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0.86934</cdr:x>
      <cdr:y>0.47822</cdr:y>
    </cdr:from>
    <cdr:to>
      <cdr:x>0.94317</cdr:x>
      <cdr:y>0.53878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18263" y="1703963"/>
          <a:ext cx="451662" cy="2157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1">
              <a:latin typeface="Times New Roman" pitchFamily="18" charset="0"/>
              <a:cs typeface="Times New Roman" pitchFamily="18" charset="0"/>
            </a:rPr>
            <a:t>162,244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8"/>
  <sheetViews>
    <sheetView zoomScaleNormal="100" workbookViewId="0">
      <selection activeCell="J1" sqref="J1:K1048576"/>
    </sheetView>
  </sheetViews>
  <sheetFormatPr defaultColWidth="8.85546875" defaultRowHeight="12.75" x14ac:dyDescent="0.2"/>
  <cols>
    <col min="1" max="6" width="8.85546875" style="1" customWidth="1"/>
    <col min="7" max="7" width="9.42578125" style="1" bestFit="1" customWidth="1"/>
    <col min="8" max="10" width="8.85546875" style="1" customWidth="1"/>
    <col min="11" max="11" width="10.85546875" style="1" customWidth="1"/>
    <col min="12" max="12" width="14.42578125" style="1" bestFit="1" customWidth="1"/>
    <col min="13" max="14" width="8.85546875" style="1" customWidth="1"/>
    <col min="15" max="15" width="12.42578125" style="1" customWidth="1"/>
    <col min="16" max="16" width="8.85546875" style="1" customWidth="1"/>
    <col min="17" max="17" width="11.28515625" style="1" bestFit="1" customWidth="1"/>
    <col min="18" max="16384" width="8.85546875" style="1"/>
  </cols>
  <sheetData>
    <row r="1" spans="1:73" x14ac:dyDescent="0.2">
      <c r="B1" s="2"/>
      <c r="C1" s="2"/>
      <c r="D1" s="2"/>
      <c r="E1" s="2"/>
      <c r="F1" s="3" t="s">
        <v>0</v>
      </c>
      <c r="G1" s="73" t="s">
        <v>33</v>
      </c>
      <c r="H1" s="4" t="s">
        <v>1</v>
      </c>
    </row>
    <row r="2" spans="1:73" x14ac:dyDescent="0.2">
      <c r="B2" s="5"/>
      <c r="C2" s="5"/>
      <c r="D2" s="2"/>
      <c r="E2" s="2"/>
      <c r="F2" s="2"/>
      <c r="G2" s="5"/>
      <c r="H2" s="5"/>
      <c r="O2" s="6"/>
      <c r="P2" s="83"/>
      <c r="Q2" s="83"/>
      <c r="R2" s="83"/>
      <c r="S2" s="83"/>
      <c r="T2" s="7"/>
      <c r="U2" s="82"/>
      <c r="V2" s="82"/>
      <c r="W2" s="82"/>
      <c r="X2" s="8"/>
      <c r="Y2" s="9"/>
      <c r="Z2" s="9"/>
      <c r="AA2" s="7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</row>
    <row r="3" spans="1:73" x14ac:dyDescent="0.2">
      <c r="A3" s="11" t="s">
        <v>2</v>
      </c>
      <c r="B3" s="2"/>
      <c r="C3" s="2"/>
      <c r="D3" s="2"/>
      <c r="E3" s="2"/>
      <c r="F3" s="2">
        <v>1978</v>
      </c>
      <c r="G3" s="72">
        <v>190292</v>
      </c>
      <c r="H3" s="5">
        <v>7752</v>
      </c>
      <c r="K3" s="12" t="s">
        <v>6</v>
      </c>
      <c r="L3" s="12" t="s">
        <v>7</v>
      </c>
      <c r="M3" s="12" t="s">
        <v>21</v>
      </c>
      <c r="O3" s="13"/>
      <c r="P3" s="14"/>
      <c r="Q3" s="14"/>
      <c r="R3" s="15"/>
      <c r="S3" s="14"/>
      <c r="T3" s="7"/>
      <c r="U3" s="10"/>
      <c r="V3" s="9"/>
      <c r="W3" s="9"/>
      <c r="X3" s="16"/>
      <c r="Y3" s="13"/>
      <c r="Z3" s="9"/>
      <c r="AA3" s="7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</row>
    <row r="4" spans="1:73" x14ac:dyDescent="0.2">
      <c r="A4" s="11"/>
      <c r="B4" s="2"/>
      <c r="C4" s="2"/>
      <c r="D4" s="2"/>
      <c r="E4" s="2"/>
      <c r="F4" s="2">
        <v>1979</v>
      </c>
      <c r="G4" s="72">
        <v>239022</v>
      </c>
      <c r="H4" s="5">
        <v>11126</v>
      </c>
      <c r="K4" s="12">
        <v>1000</v>
      </c>
      <c r="L4" s="12"/>
      <c r="O4" s="10"/>
      <c r="P4" s="17"/>
      <c r="Q4" s="57"/>
      <c r="R4" s="19"/>
      <c r="S4" s="17"/>
      <c r="T4" s="20"/>
      <c r="U4" s="10"/>
      <c r="V4" s="10"/>
      <c r="W4" s="10"/>
      <c r="X4" s="21"/>
      <c r="Y4" s="22"/>
      <c r="Z4" s="23"/>
      <c r="AA4" s="23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</row>
    <row r="5" spans="1:73" x14ac:dyDescent="0.2">
      <c r="A5" s="11"/>
      <c r="B5" s="2"/>
      <c r="C5" s="2"/>
      <c r="D5" s="2"/>
      <c r="E5" s="2"/>
      <c r="F5" s="2">
        <v>1980</v>
      </c>
      <c r="G5" s="72">
        <v>68686</v>
      </c>
      <c r="H5" s="5">
        <v>24516</v>
      </c>
      <c r="K5" s="12"/>
      <c r="L5" s="12"/>
      <c r="O5" s="39" t="s">
        <v>22</v>
      </c>
      <c r="P5" s="38"/>
      <c r="Q5" s="38"/>
      <c r="R5" s="38"/>
      <c r="S5" s="38"/>
      <c r="T5" s="23"/>
      <c r="U5" s="17"/>
      <c r="V5" s="24"/>
      <c r="W5" s="24"/>
      <c r="X5" s="21"/>
      <c r="Y5" s="22"/>
      <c r="Z5" s="23"/>
      <c r="AA5" s="23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</row>
    <row r="6" spans="1:73" x14ac:dyDescent="0.2">
      <c r="A6" s="11"/>
      <c r="B6" s="2"/>
      <c r="C6" s="2"/>
      <c r="D6" s="2"/>
      <c r="E6" s="2"/>
      <c r="F6" s="2">
        <v>1981</v>
      </c>
      <c r="G6" s="72">
        <v>158650</v>
      </c>
      <c r="H6" s="5">
        <v>12489</v>
      </c>
      <c r="K6" s="12"/>
      <c r="L6" s="12"/>
      <c r="O6" s="10"/>
      <c r="P6" s="17"/>
      <c r="Q6" s="18"/>
      <c r="R6" s="19"/>
      <c r="S6" s="17"/>
      <c r="T6" s="25"/>
      <c r="U6" s="84"/>
      <c r="V6" s="84"/>
      <c r="W6" s="84"/>
      <c r="X6" s="21"/>
      <c r="Y6" s="22"/>
      <c r="Z6" s="20"/>
      <c r="AA6" s="23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">
      <c r="A7" s="11"/>
      <c r="B7" s="2"/>
      <c r="C7" s="2"/>
      <c r="D7" s="2"/>
      <c r="E7" s="2"/>
      <c r="F7" s="2">
        <v>1982</v>
      </c>
      <c r="G7" s="72">
        <v>97902</v>
      </c>
      <c r="H7" s="5">
        <v>21821</v>
      </c>
      <c r="K7" s="12"/>
      <c r="L7" s="12"/>
      <c r="O7" s="10"/>
      <c r="P7" s="13"/>
      <c r="Q7" s="13"/>
      <c r="R7" s="13"/>
      <c r="S7" s="13"/>
      <c r="T7" s="20"/>
      <c r="U7" s="17"/>
      <c r="V7" s="24"/>
      <c r="W7" s="24"/>
      <c r="X7" s="21"/>
      <c r="Y7" s="22"/>
      <c r="Z7" s="22"/>
      <c r="AA7" s="2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</row>
    <row r="8" spans="1:73" x14ac:dyDescent="0.2">
      <c r="A8" s="26"/>
      <c r="B8" s="2"/>
      <c r="C8" s="2"/>
      <c r="D8" s="2"/>
      <c r="E8" s="2"/>
      <c r="F8" s="2">
        <v>1983</v>
      </c>
      <c r="G8" s="72">
        <v>233700</v>
      </c>
      <c r="H8" s="5">
        <v>26786</v>
      </c>
    </row>
    <row r="9" spans="1:73" x14ac:dyDescent="0.2">
      <c r="A9" s="26"/>
      <c r="B9" s="2"/>
      <c r="C9" s="2"/>
      <c r="D9" s="2"/>
      <c r="E9" s="2"/>
      <c r="F9" s="2">
        <v>1984</v>
      </c>
      <c r="G9" s="72">
        <v>114880</v>
      </c>
      <c r="H9" s="5">
        <v>19419</v>
      </c>
      <c r="J9" s="2">
        <v>1984</v>
      </c>
      <c r="K9" s="72">
        <v>106422</v>
      </c>
      <c r="L9" s="71">
        <f>(K9-G9)^2</f>
        <v>71537764</v>
      </c>
      <c r="M9" s="5"/>
    </row>
    <row r="10" spans="1:73" x14ac:dyDescent="0.2">
      <c r="B10" s="2"/>
      <c r="C10" s="2"/>
      <c r="D10" s="2"/>
      <c r="E10" s="2"/>
      <c r="F10" s="2">
        <v>1985</v>
      </c>
      <c r="G10" s="72">
        <v>131400</v>
      </c>
      <c r="H10" s="5">
        <v>25812</v>
      </c>
      <c r="J10" s="2">
        <v>1985</v>
      </c>
      <c r="K10" s="72">
        <v>81899</v>
      </c>
      <c r="L10" s="5">
        <f>(K10-G10)^2</f>
        <v>2450349001</v>
      </c>
      <c r="M10" s="5"/>
    </row>
    <row r="11" spans="1:73" x14ac:dyDescent="0.2">
      <c r="B11" s="2"/>
      <c r="C11" s="2"/>
      <c r="D11" s="2"/>
      <c r="E11" s="2"/>
      <c r="F11" s="2">
        <v>1986</v>
      </c>
      <c r="G11" s="72">
        <v>94770</v>
      </c>
      <c r="H11" s="5">
        <v>16276</v>
      </c>
      <c r="J11" s="2">
        <v>1986</v>
      </c>
      <c r="K11" s="72">
        <v>86310</v>
      </c>
      <c r="L11" s="5">
        <f>(K11-G11)^2</f>
        <v>71571600</v>
      </c>
      <c r="M11" s="5"/>
    </row>
    <row r="12" spans="1:73" x14ac:dyDescent="0.2">
      <c r="B12" s="2"/>
      <c r="C12" s="2"/>
      <c r="D12" s="2"/>
      <c r="E12" s="2"/>
      <c r="F12" s="2">
        <v>1987</v>
      </c>
      <c r="G12" s="72">
        <v>88398</v>
      </c>
      <c r="H12" s="5">
        <v>15530</v>
      </c>
      <c r="J12" s="2">
        <v>1987</v>
      </c>
      <c r="K12" s="72">
        <v>61100</v>
      </c>
      <c r="L12" s="5">
        <f>(K12-G12)^2</f>
        <v>745180804</v>
      </c>
      <c r="M12" s="5"/>
    </row>
    <row r="13" spans="1:73" x14ac:dyDescent="0.2">
      <c r="A13" s="27"/>
      <c r="B13" s="28"/>
      <c r="C13" s="3" t="s">
        <v>1</v>
      </c>
      <c r="D13" s="3" t="s">
        <v>3</v>
      </c>
      <c r="E13" s="2"/>
      <c r="F13" s="2">
        <v>1988</v>
      </c>
      <c r="G13" s="72">
        <v>134717.71434000001</v>
      </c>
      <c r="H13" s="5">
        <v>14167</v>
      </c>
      <c r="J13" s="2">
        <v>1988</v>
      </c>
      <c r="K13" s="72">
        <v>54500</v>
      </c>
      <c r="L13" s="5">
        <f>(K13-G13)^2</f>
        <v>6434881693.9338427</v>
      </c>
      <c r="M13" s="5"/>
    </row>
    <row r="14" spans="1:73" x14ac:dyDescent="0.2">
      <c r="A14" s="1" t="s">
        <v>4</v>
      </c>
      <c r="B14" s="2"/>
      <c r="C14" s="29">
        <f>H45/1000</f>
        <v>21.847877598670436</v>
      </c>
      <c r="D14" s="29">
        <f>G45/1000</f>
        <v>157.17876428571429</v>
      </c>
      <c r="E14" s="2"/>
      <c r="F14" s="2">
        <v>1989</v>
      </c>
      <c r="G14" s="72">
        <v>98965</v>
      </c>
      <c r="H14" s="5">
        <v>12259</v>
      </c>
      <c r="J14" s="2">
        <v>1989</v>
      </c>
      <c r="K14" s="72">
        <v>80100</v>
      </c>
      <c r="L14" s="5">
        <f>(K14-G14)^2</f>
        <v>355888225</v>
      </c>
      <c r="M14" s="5"/>
    </row>
    <row r="15" spans="1:73" x14ac:dyDescent="0.2">
      <c r="A15" s="1" t="s">
        <v>5</v>
      </c>
      <c r="B15" s="2"/>
      <c r="C15" s="29">
        <f>H44/1000</f>
        <v>23.197555197340861</v>
      </c>
      <c r="D15" s="29">
        <f>G44/1000</f>
        <v>161.45274444444442</v>
      </c>
      <c r="E15" s="2"/>
      <c r="F15" s="2">
        <v>1990</v>
      </c>
      <c r="G15" s="72">
        <v>88105</v>
      </c>
      <c r="H15" s="5">
        <v>12230</v>
      </c>
      <c r="J15" s="2">
        <v>1990</v>
      </c>
      <c r="K15" s="72">
        <v>56000</v>
      </c>
      <c r="L15" s="5">
        <f>(K15-G15)^2</f>
        <v>1030731025</v>
      </c>
      <c r="M15" s="5"/>
    </row>
    <row r="16" spans="1:73" x14ac:dyDescent="0.2">
      <c r="B16" s="2"/>
      <c r="C16" s="65"/>
      <c r="D16" s="65"/>
      <c r="E16" s="2"/>
      <c r="F16" s="2">
        <v>1991</v>
      </c>
      <c r="G16" s="72">
        <v>83229</v>
      </c>
      <c r="H16" s="5">
        <v>14970</v>
      </c>
      <c r="J16" s="2">
        <v>1991</v>
      </c>
      <c r="K16" s="72">
        <v>55000</v>
      </c>
      <c r="L16" s="5">
        <f>(K16-G16)^2</f>
        <v>796876441</v>
      </c>
      <c r="M16" s="5"/>
    </row>
    <row r="17" spans="1:13" x14ac:dyDescent="0.2">
      <c r="A17" s="64" t="s">
        <v>14</v>
      </c>
      <c r="B17" s="2"/>
      <c r="C17" s="65">
        <f>H41/1000</f>
        <v>28.782431058785001</v>
      </c>
      <c r="D17" s="65">
        <f>K41/1000</f>
        <v>162.22399999999999</v>
      </c>
      <c r="E17" s="2"/>
      <c r="F17" s="2">
        <v>1992</v>
      </c>
      <c r="G17" s="72">
        <v>156956.81859000001</v>
      </c>
      <c r="H17" s="5">
        <v>25808</v>
      </c>
      <c r="J17" s="2">
        <v>1992</v>
      </c>
      <c r="K17" s="72">
        <v>60214</v>
      </c>
      <c r="L17" s="5">
        <f>(K17-G17)^2</f>
        <v>9359172948.7376518</v>
      </c>
      <c r="M17" s="5"/>
    </row>
    <row r="18" spans="1:13" x14ac:dyDescent="0.2">
      <c r="B18" s="2"/>
      <c r="C18" s="65"/>
      <c r="D18" s="66"/>
      <c r="E18" s="2"/>
      <c r="F18" s="62">
        <v>1993</v>
      </c>
      <c r="G18" s="72">
        <v>193847</v>
      </c>
      <c r="H18" s="63">
        <v>17956</v>
      </c>
      <c r="I18" s="10"/>
      <c r="J18" s="10">
        <v>1993</v>
      </c>
      <c r="K18" s="72">
        <v>148786</v>
      </c>
      <c r="L18" s="63">
        <f>(K18-G18)^2</f>
        <v>2030493721</v>
      </c>
      <c r="M18" s="5">
        <f>(K18*(1+Q$42))-K18</f>
        <v>31228.181775109319</v>
      </c>
    </row>
    <row r="19" spans="1:13" x14ac:dyDescent="0.2">
      <c r="B19" s="2"/>
      <c r="C19" s="2"/>
      <c r="D19" s="2"/>
      <c r="E19" s="2"/>
      <c r="F19" s="62">
        <v>1994</v>
      </c>
      <c r="G19" s="72">
        <v>185411.68202848587</v>
      </c>
      <c r="H19" s="63">
        <v>30315</v>
      </c>
      <c r="I19" s="10"/>
      <c r="J19" s="10">
        <v>1994</v>
      </c>
      <c r="K19" s="72">
        <v>142497</v>
      </c>
      <c r="L19" s="63">
        <f>(K19-G19)^2</f>
        <v>1841669933.6060481</v>
      </c>
      <c r="M19" s="5">
        <f>(K19*(1+Q$42))-K19</f>
        <v>29908.205196777621</v>
      </c>
    </row>
    <row r="20" spans="1:13" x14ac:dyDescent="0.2">
      <c r="B20" s="2"/>
      <c r="C20" s="2"/>
      <c r="D20" s="2"/>
      <c r="E20" s="2"/>
      <c r="F20" s="62">
        <v>1995</v>
      </c>
      <c r="G20" s="72"/>
      <c r="H20" s="63">
        <v>26732</v>
      </c>
      <c r="I20" s="10"/>
      <c r="J20" s="10">
        <v>1995</v>
      </c>
      <c r="K20" s="72">
        <v>149093</v>
      </c>
      <c r="L20" s="63"/>
      <c r="M20" s="5"/>
    </row>
    <row r="21" spans="1:13" ht="13.5" thickBot="1" x14ac:dyDescent="0.25">
      <c r="A21" s="31" t="s">
        <v>8</v>
      </c>
      <c r="B21" s="2"/>
      <c r="C21" s="32">
        <f>C17/C14</f>
        <v>1.3174016985767336</v>
      </c>
      <c r="D21" s="32">
        <f>D17/D14</f>
        <v>1.0320987108991049</v>
      </c>
      <c r="E21" s="2"/>
      <c r="F21" s="62">
        <v>1996</v>
      </c>
      <c r="G21" s="72"/>
      <c r="H21" s="63">
        <v>24871</v>
      </c>
      <c r="I21" s="10"/>
      <c r="J21" s="10">
        <v>1996</v>
      </c>
      <c r="K21" s="72">
        <v>135585</v>
      </c>
      <c r="L21" s="63"/>
      <c r="M21" s="5"/>
    </row>
    <row r="22" spans="1:13" ht="13.5" thickBot="1" x14ac:dyDescent="0.25">
      <c r="A22" s="31" t="s">
        <v>9</v>
      </c>
      <c r="B22" s="2"/>
      <c r="C22" s="67">
        <f>C17/C15</f>
        <v>1.2407527782101941</v>
      </c>
      <c r="D22" s="68">
        <f>D17/D15</f>
        <v>1.0047769739573609</v>
      </c>
      <c r="E22" s="2"/>
      <c r="F22" s="62">
        <v>1997</v>
      </c>
      <c r="G22" s="72">
        <v>144887</v>
      </c>
      <c r="H22" s="63">
        <v>23813</v>
      </c>
      <c r="I22" s="10"/>
      <c r="J22" s="10">
        <v>1997</v>
      </c>
      <c r="K22" s="72">
        <v>125000</v>
      </c>
      <c r="L22" s="63">
        <f>(K22-G22)^2</f>
        <v>395492769</v>
      </c>
      <c r="M22" s="5">
        <f>(K22*(1+Q$42))-K22</f>
        <v>26235.820049525268</v>
      </c>
    </row>
    <row r="23" spans="1:13" x14ac:dyDescent="0.2">
      <c r="F23" s="62">
        <v>1998</v>
      </c>
      <c r="G23" s="72"/>
      <c r="H23" s="63">
        <v>22776</v>
      </c>
      <c r="I23" s="10"/>
      <c r="J23" s="10">
        <v>1998</v>
      </c>
      <c r="K23" s="72">
        <v>121000</v>
      </c>
      <c r="L23" s="63"/>
      <c r="M23" s="5"/>
    </row>
    <row r="24" spans="1:13" x14ac:dyDescent="0.2">
      <c r="F24" s="62">
        <v>1999</v>
      </c>
      <c r="G24" s="72">
        <v>157028</v>
      </c>
      <c r="H24" s="63">
        <v>19878</v>
      </c>
      <c r="I24" s="10">
        <f>H24/G24</f>
        <v>0.12658888860585374</v>
      </c>
      <c r="J24" s="10">
        <v>1999</v>
      </c>
      <c r="K24" s="72">
        <v>90000</v>
      </c>
      <c r="L24" s="63">
        <f>(K24-G24)^2</f>
        <v>4492752784</v>
      </c>
      <c r="M24" s="5">
        <f>(K24*(1+Q$42))-K24</f>
        <v>18889.790435658186</v>
      </c>
    </row>
    <row r="25" spans="1:13" x14ac:dyDescent="0.2">
      <c r="F25" s="62">
        <v>2000</v>
      </c>
      <c r="G25" s="72">
        <v>101551</v>
      </c>
      <c r="H25" s="63">
        <v>20421</v>
      </c>
      <c r="I25" s="10">
        <f>H25/G25</f>
        <v>0.20109107738968596</v>
      </c>
      <c r="J25" s="10">
        <v>2000</v>
      </c>
      <c r="K25" s="72">
        <v>130904</v>
      </c>
      <c r="L25" s="63">
        <f>(K25-G25)^2</f>
        <v>861598609</v>
      </c>
      <c r="M25" s="5">
        <f>(K25*(1+Q$42))-K25</f>
        <v>27474.990302104445</v>
      </c>
    </row>
    <row r="26" spans="1:13" x14ac:dyDescent="0.2">
      <c r="F26" s="62">
        <v>2001</v>
      </c>
      <c r="G26" s="72">
        <v>115155</v>
      </c>
      <c r="H26" s="63">
        <v>22330</v>
      </c>
      <c r="I26" s="10">
        <f>H26/G26</f>
        <v>0.19391255264643306</v>
      </c>
      <c r="J26" s="10">
        <v>2001</v>
      </c>
      <c r="K26" s="72">
        <v>119818</v>
      </c>
      <c r="L26" s="63">
        <f>(K26-G26)^2</f>
        <v>21743569</v>
      </c>
      <c r="M26" s="5">
        <f>(K26*(1+Q$42))-K26</f>
        <v>25148.187893552153</v>
      </c>
    </row>
    <row r="27" spans="1:13" x14ac:dyDescent="0.2">
      <c r="F27" s="62">
        <v>2002</v>
      </c>
      <c r="G27" s="72"/>
      <c r="H27" s="63">
        <v>17049</v>
      </c>
      <c r="I27" s="10"/>
      <c r="J27" s="10">
        <v>2002</v>
      </c>
      <c r="K27" s="72">
        <v>120196</v>
      </c>
      <c r="L27" s="63"/>
      <c r="M27" s="5"/>
    </row>
    <row r="28" spans="1:13" x14ac:dyDescent="0.2">
      <c r="F28" s="62">
        <v>2003</v>
      </c>
      <c r="G28" s="72"/>
      <c r="H28" s="63">
        <v>21663</v>
      </c>
      <c r="I28" s="10"/>
      <c r="J28" s="10">
        <v>2003</v>
      </c>
      <c r="K28" s="72">
        <v>126213</v>
      </c>
      <c r="L28" s="63"/>
      <c r="M28" s="5"/>
    </row>
    <row r="29" spans="1:13" x14ac:dyDescent="0.2">
      <c r="F29" s="62">
        <v>2004</v>
      </c>
      <c r="G29" s="72"/>
      <c r="H29" s="63">
        <v>18868</v>
      </c>
      <c r="I29" s="10"/>
      <c r="J29" s="10">
        <v>2004</v>
      </c>
      <c r="K29" s="72">
        <v>143124</v>
      </c>
      <c r="L29" s="63"/>
      <c r="M29" s="5"/>
    </row>
    <row r="30" spans="1:13" x14ac:dyDescent="0.2">
      <c r="F30" s="62">
        <v>2005</v>
      </c>
      <c r="G30" s="72">
        <v>163736.70000000001</v>
      </c>
      <c r="H30" s="63">
        <v>20912</v>
      </c>
      <c r="I30" s="10">
        <f t="shared" ref="I30:I35" si="0">H30/G30</f>
        <v>0.12771724359902209</v>
      </c>
      <c r="J30" s="10">
        <v>2005</v>
      </c>
      <c r="K30" s="72">
        <v>96029</v>
      </c>
      <c r="L30" s="63">
        <f>(K30-G30)^2</f>
        <v>4584332639.2900019</v>
      </c>
      <c r="M30" s="5">
        <f t="shared" ref="M30:M35" si="1">(K30*(1+Q$42))-K30</f>
        <v>20155.196508286899</v>
      </c>
    </row>
    <row r="31" spans="1:13" x14ac:dyDescent="0.2">
      <c r="F31" s="62">
        <v>2006</v>
      </c>
      <c r="G31" s="72">
        <v>179580</v>
      </c>
      <c r="H31" s="63">
        <v>23953</v>
      </c>
      <c r="I31" s="10">
        <f t="shared" si="0"/>
        <v>0.13338345027285889</v>
      </c>
      <c r="J31" s="10">
        <v>2006</v>
      </c>
      <c r="K31" s="72">
        <v>129976</v>
      </c>
      <c r="L31" s="63">
        <f>(K31-G31)^2</f>
        <v>2460556816</v>
      </c>
      <c r="M31" s="5">
        <f t="shared" si="1"/>
        <v>27280.215574056754</v>
      </c>
    </row>
    <row r="32" spans="1:13" x14ac:dyDescent="0.2">
      <c r="F32" s="62">
        <v>2007</v>
      </c>
      <c r="G32" s="72">
        <v>143827</v>
      </c>
      <c r="H32" s="63">
        <v>17132</v>
      </c>
      <c r="I32" s="10">
        <f t="shared" si="0"/>
        <v>0.11911532605143679</v>
      </c>
      <c r="J32" s="10">
        <v>2007</v>
      </c>
      <c r="K32" s="72">
        <v>134565.70856615651</v>
      </c>
      <c r="L32" s="63">
        <f>(K32-G32)^2</f>
        <v>85771519.022582859</v>
      </c>
      <c r="M32" s="5">
        <f t="shared" si="1"/>
        <v>28243.53371822834</v>
      </c>
    </row>
    <row r="33" spans="6:18" x14ac:dyDescent="0.2">
      <c r="F33" s="62">
        <v>2008</v>
      </c>
      <c r="G33" s="72">
        <v>136838.69999999998</v>
      </c>
      <c r="H33" s="63">
        <v>20523</v>
      </c>
      <c r="I33" s="10">
        <f t="shared" si="0"/>
        <v>0.1499795014129775</v>
      </c>
      <c r="J33" s="10">
        <v>2008</v>
      </c>
      <c r="K33" s="72">
        <v>130516.0876851319</v>
      </c>
      <c r="L33" s="63">
        <f>(K33-G33)^2</f>
        <v>39975426.484121479</v>
      </c>
      <c r="M33" s="5">
        <f t="shared" si="1"/>
        <v>27393.572720601456</v>
      </c>
    </row>
    <row r="34" spans="6:18" x14ac:dyDescent="0.2">
      <c r="F34" s="62">
        <v>2009</v>
      </c>
      <c r="G34" s="72">
        <v>142154</v>
      </c>
      <c r="H34" s="63">
        <v>17107</v>
      </c>
      <c r="I34" s="10">
        <f t="shared" si="0"/>
        <v>0.12034131997692643</v>
      </c>
      <c r="J34" s="10">
        <v>2009</v>
      </c>
      <c r="K34" s="72">
        <v>121800.4733419753</v>
      </c>
      <c r="L34" s="63">
        <f>(K34-G34)^2</f>
        <v>414266047.41892201</v>
      </c>
      <c r="M34" s="5">
        <f t="shared" si="1"/>
        <v>25564.282404376514</v>
      </c>
    </row>
    <row r="35" spans="6:18" x14ac:dyDescent="0.2">
      <c r="F35" s="62">
        <v>2010</v>
      </c>
      <c r="G35" s="72">
        <v>146913</v>
      </c>
      <c r="H35" s="63">
        <v>26355</v>
      </c>
      <c r="I35" s="10">
        <f t="shared" si="0"/>
        <v>0.17939188499315922</v>
      </c>
      <c r="J35" s="10">
        <v>2010</v>
      </c>
      <c r="K35" s="72">
        <v>146775.17427461944</v>
      </c>
      <c r="L35" s="63">
        <f>(K35-G35)^2</f>
        <v>18995.930576678675</v>
      </c>
      <c r="M35" s="5">
        <f t="shared" si="1"/>
        <v>30806.136480053014</v>
      </c>
    </row>
    <row r="36" spans="6:18" x14ac:dyDescent="0.2">
      <c r="F36" s="62">
        <v>2011</v>
      </c>
      <c r="G36" s="76"/>
      <c r="H36" s="5">
        <v>22877</v>
      </c>
      <c r="J36" s="10">
        <v>2011</v>
      </c>
      <c r="K36" s="72">
        <v>140860</v>
      </c>
      <c r="L36" s="63"/>
      <c r="M36" s="5"/>
    </row>
    <row r="37" spans="6:18" x14ac:dyDescent="0.2">
      <c r="F37" s="62">
        <v>2012</v>
      </c>
      <c r="G37" s="72">
        <v>167738</v>
      </c>
      <c r="H37" s="5">
        <v>17020.900000000001</v>
      </c>
      <c r="I37" s="10">
        <f>AVERAGE(I32:I35)</f>
        <v>0.14220700810862497</v>
      </c>
      <c r="J37" s="10">
        <v>2012</v>
      </c>
      <c r="K37" s="72">
        <v>123745</v>
      </c>
      <c r="L37" s="63">
        <f>(K37-G37)^2</f>
        <v>1935384049</v>
      </c>
      <c r="M37" s="5">
        <f t="shared" ref="M37:M42" si="2">(K37*(1+Q$42))-K37</f>
        <v>25972.412416228035</v>
      </c>
    </row>
    <row r="38" spans="6:18" x14ac:dyDescent="0.2">
      <c r="F38" s="62">
        <v>2013</v>
      </c>
      <c r="G38" s="72">
        <v>169020.3</v>
      </c>
      <c r="H38" s="5">
        <v>27609.9</v>
      </c>
      <c r="I38" s="10">
        <f>AVERAGE(I30:I35,I37)</f>
        <v>0.13887653348785797</v>
      </c>
      <c r="J38" s="10">
        <v>2013</v>
      </c>
      <c r="K38" s="72">
        <v>169093.73714533445</v>
      </c>
      <c r="L38" s="63">
        <f>(K38-G38)^2</f>
        <v>5393.014314875295</v>
      </c>
      <c r="M38" s="5">
        <f t="shared" si="2"/>
        <v>35490.502873973775</v>
      </c>
    </row>
    <row r="39" spans="6:18" x14ac:dyDescent="0.2">
      <c r="F39" s="62">
        <v>2014</v>
      </c>
      <c r="G39" s="72">
        <v>203267</v>
      </c>
      <c r="H39" s="5">
        <v>25559.584500000001</v>
      </c>
      <c r="I39" s="10">
        <f>AVERAGE(I31:I35,I37:I38)</f>
        <v>0.14047071775769168</v>
      </c>
      <c r="J39" s="10">
        <v>2014</v>
      </c>
      <c r="K39" s="74">
        <v>157448.12813283445</v>
      </c>
      <c r="L39" s="63">
        <f>(K39-G39)^2</f>
        <v>2099369019.1797349</v>
      </c>
      <c r="M39" s="5">
        <f t="shared" si="2"/>
        <v>33046.246054621122</v>
      </c>
    </row>
    <row r="40" spans="6:18" x14ac:dyDescent="0.2">
      <c r="F40" s="62">
        <v>2015</v>
      </c>
      <c r="G40" s="79">
        <v>228807</v>
      </c>
      <c r="H40" s="43">
        <v>29012.268414623613</v>
      </c>
      <c r="I40" s="10">
        <f>AVERAGE(I32:I35,I37:I39)</f>
        <v>0.14148318454123923</v>
      </c>
      <c r="J40" s="10">
        <v>2015</v>
      </c>
      <c r="K40" s="74">
        <v>163479.93771303017</v>
      </c>
      <c r="L40" s="63">
        <f>(K40-G40)^2</f>
        <v>4267625067.0456357</v>
      </c>
      <c r="M40" s="5">
        <f t="shared" si="2"/>
        <v>34312.241820373281</v>
      </c>
      <c r="O40" s="82" t="s">
        <v>34</v>
      </c>
      <c r="P40" s="82"/>
      <c r="Q40" s="82"/>
      <c r="R40" s="82"/>
    </row>
    <row r="41" spans="6:18" ht="15.75" x14ac:dyDescent="0.25">
      <c r="F41" s="62">
        <v>2016</v>
      </c>
      <c r="G41" s="79"/>
      <c r="H41" s="80">
        <v>28782.431058785001</v>
      </c>
      <c r="I41" s="10"/>
      <c r="J41" s="10">
        <v>2016</v>
      </c>
      <c r="K41" s="75">
        <v>162224</v>
      </c>
      <c r="L41" s="63"/>
      <c r="M41" s="5">
        <f t="shared" si="2"/>
        <v>34048.637373713485</v>
      </c>
      <c r="O41" s="1" t="s">
        <v>20</v>
      </c>
      <c r="P41" s="1" t="s">
        <v>17</v>
      </c>
      <c r="Q41" s="9" t="s">
        <v>18</v>
      </c>
      <c r="R41" s="34" t="s">
        <v>19</v>
      </c>
    </row>
    <row r="42" spans="6:18" x14ac:dyDescent="0.2">
      <c r="F42" s="62">
        <v>2017</v>
      </c>
      <c r="G42" s="79">
        <v>90268.368499999997</v>
      </c>
      <c r="H42" s="81">
        <v>17128.468000000001</v>
      </c>
      <c r="J42" s="10">
        <v>2017</v>
      </c>
      <c r="K42" s="75">
        <v>136755.97597124681</v>
      </c>
      <c r="L42" s="63">
        <f>(K42-G42)^2</f>
        <v>2161097648.4007225</v>
      </c>
      <c r="M42" s="5">
        <f t="shared" si="2"/>
        <v>28703.241410230665</v>
      </c>
      <c r="O42" s="36">
        <f>AVERAGE((K19-$G$19),(K22-$G$22),(K24-$G$24),(K25-$G$25),(K26-$G$26),(K30-$G$30),(K31-$G$31),(K32-G32),(K33-G33),(K34-G34),(K35-G35),(K37-G37),(K38-G38),(K39-G39),(K40-G40),(K42-G42))</f>
        <v>-22361.157981134802</v>
      </c>
      <c r="P42" s="36">
        <f>AVERAGE(ABS(K19-$G$19),ABS(K22-$G$22),ABS(K24-$G$24),ABS(K25-$G$25),ABS(K26-$G$26),ABS(K30-$G$30),ABS(K31-$G$31),ABS(K32-G32),ABS(K33-G33),ABS(K34-G34),ABS(K35-G35),ABS(K37-G37),ABS(K38-G38),ABS(K39-G39),ABS(K40-G40),ABS(K42-G42))</f>
        <v>32433.288558207463</v>
      </c>
      <c r="Q42" s="40">
        <f>AVERAGE(ABS(1-K19/$G$19),ABS(1-K22/$G$22),ABS(1-K24/$G$24),ABS(1-K25/$G$25),ABS(1-K26/$G$26),ABS(1-K30/$G$30),ABS(1-K31/$G$31),ABS(1-K32/G32),ABS(1-K33/G33),ABS(1-K34/G34),ABS(1-K35/G35),ABS(1-K37/G37),ABS(1-K38/G38),ABS(1-K39/G39),ABS(1-(K40/G40)),ABS(1-(K42/G42)))</f>
        <v>0.20988656039620218</v>
      </c>
      <c r="R42" s="40">
        <f>AVERAGE((1-G19/$K$19),(1-G22/$K$22),(1-G24/$K$24),(1-G25/$K$25),(1-G26/$K$26),(1-G30/$K$30),(1-G31/$K$31),(1-G32/K32),(1-G33/K33),(1-G34/K34),(1-G35/K35),(1-G37/K37),(1-G38/K38),(1-G39/K39),(1-G40/K40),(1-G42/K42))</f>
        <v>-0.18872811636508774</v>
      </c>
    </row>
    <row r="43" spans="6:18" x14ac:dyDescent="0.2">
      <c r="K43" s="58"/>
      <c r="L43" s="63"/>
    </row>
    <row r="44" spans="6:18" x14ac:dyDescent="0.2">
      <c r="F44" s="1" t="s">
        <v>10</v>
      </c>
      <c r="G44" s="33">
        <f>AVERAGE(G30:G39)</f>
        <v>161452.74444444443</v>
      </c>
      <c r="H44" s="33">
        <f>AVERAGE(H33:H42)</f>
        <v>23197.555197340862</v>
      </c>
      <c r="K44" s="56">
        <f>AVERAGE(K29:K38)</f>
        <v>133648.51810132177</v>
      </c>
      <c r="L44" s="52" t="s">
        <v>28</v>
      </c>
    </row>
    <row r="45" spans="6:18" x14ac:dyDescent="0.2">
      <c r="F45" s="1" t="s">
        <v>11</v>
      </c>
      <c r="G45" s="33">
        <f>AVERAGE(G21:G40)</f>
        <v>157178.76428571431</v>
      </c>
      <c r="H45" s="33">
        <f>AVERAGE(H23:H42)</f>
        <v>21847.877598670435</v>
      </c>
      <c r="K45" s="64" t="s">
        <v>31</v>
      </c>
      <c r="L45" s="5">
        <f>SUM($L$33:$L$42)/(COUNT($L$33:$L$42)-1)</f>
        <v>1559677378.0677183</v>
      </c>
      <c r="P45" s="59" t="s">
        <v>29</v>
      </c>
    </row>
    <row r="46" spans="6:18" x14ac:dyDescent="0.2">
      <c r="K46" s="31" t="s">
        <v>12</v>
      </c>
      <c r="L46" s="5">
        <f>SQRT(L45)</f>
        <v>39492.750955937699</v>
      </c>
      <c r="P46" s="1" t="s">
        <v>14</v>
      </c>
      <c r="Q46" s="5">
        <f>L50</f>
        <v>136755.97597124681</v>
      </c>
    </row>
    <row r="47" spans="6:18" x14ac:dyDescent="0.2">
      <c r="G47" s="61">
        <f>$H$37/H44</f>
        <v>0.73373680352104986</v>
      </c>
      <c r="H47" s="61"/>
      <c r="K47" s="31" t="s">
        <v>13</v>
      </c>
      <c r="L47" s="35">
        <f>TINV(0.2,COUNT(L33:L42)-1)</f>
        <v>1.4149239276505079</v>
      </c>
      <c r="N47" s="1" t="s">
        <v>27</v>
      </c>
      <c r="P47" s="1" t="s">
        <v>15</v>
      </c>
      <c r="Q47" s="69">
        <f>Q$46*(1-Q$42)</f>
        <v>108052.73456101614</v>
      </c>
    </row>
    <row r="48" spans="6:18" ht="13.5" thickBot="1" x14ac:dyDescent="0.25">
      <c r="G48" s="61">
        <f>$H$37/H45</f>
        <v>0.77906423281297665</v>
      </c>
      <c r="J48" s="70" t="s">
        <v>32</v>
      </c>
      <c r="P48" s="1" t="s">
        <v>16</v>
      </c>
      <c r="Q48" s="69">
        <f>Q$46*(1+Q$42)</f>
        <v>165459.21738147747</v>
      </c>
    </row>
    <row r="49" spans="10:19" ht="13.5" thickBot="1" x14ac:dyDescent="0.25">
      <c r="J49" s="45" t="s">
        <v>14</v>
      </c>
      <c r="L49" s="37">
        <f>$L$47*$L$46</f>
        <v>55879.238296298718</v>
      </c>
    </row>
    <row r="50" spans="10:19" x14ac:dyDescent="0.2">
      <c r="J50" s="48" t="s">
        <v>15</v>
      </c>
      <c r="K50" s="46"/>
      <c r="L50" s="47">
        <f>K42</f>
        <v>136755.97597124681</v>
      </c>
      <c r="M50" s="52" t="s">
        <v>26</v>
      </c>
    </row>
    <row r="51" spans="10:19" ht="13.5" thickBot="1" x14ac:dyDescent="0.25">
      <c r="J51" s="50" t="s">
        <v>16</v>
      </c>
      <c r="K51" s="49"/>
      <c r="L51" s="54">
        <f>L50-L49</f>
        <v>80876.73767494809</v>
      </c>
      <c r="M51" s="52">
        <f>I40*L50</f>
        <v>19348.670985457189</v>
      </c>
      <c r="O51" s="43"/>
    </row>
    <row r="52" spans="10:19" ht="13.5" thickBot="1" x14ac:dyDescent="0.25">
      <c r="K52" s="51"/>
      <c r="L52" s="55">
        <f>L50+L49</f>
        <v>192635.21426754553</v>
      </c>
      <c r="M52" s="53">
        <f>1-M51/H44</f>
        <v>0.16591766585492895</v>
      </c>
      <c r="N52" s="41"/>
      <c r="O52" s="43"/>
    </row>
    <row r="53" spans="10:19" ht="15" x14ac:dyDescent="0.25">
      <c r="J53" s="1" t="s">
        <v>23</v>
      </c>
      <c r="N53" s="42"/>
      <c r="O53" s="44"/>
      <c r="S53" s="60" t="s">
        <v>30</v>
      </c>
    </row>
    <row r="54" spans="10:19" x14ac:dyDescent="0.2">
      <c r="J54" s="1" t="s">
        <v>0</v>
      </c>
      <c r="N54" s="42"/>
      <c r="O54" s="41"/>
    </row>
    <row r="55" spans="10:19" x14ac:dyDescent="0.2">
      <c r="J55" s="30">
        <v>1993</v>
      </c>
      <c r="K55" s="1" t="s">
        <v>24</v>
      </c>
      <c r="L55" s="1" t="s">
        <v>25</v>
      </c>
      <c r="N55" s="41"/>
    </row>
    <row r="56" spans="10:19" x14ac:dyDescent="0.2">
      <c r="J56" s="30">
        <v>1994</v>
      </c>
      <c r="K56" s="43">
        <f t="shared" ref="K56:K73" si="3">K18-M18</f>
        <v>117557.81822489068</v>
      </c>
      <c r="L56" s="43">
        <f t="shared" ref="L56:L73" si="4">K18+M18</f>
        <v>180014.18177510932</v>
      </c>
    </row>
    <row r="57" spans="10:19" x14ac:dyDescent="0.2">
      <c r="J57" s="30">
        <v>1995</v>
      </c>
      <c r="K57" s="43">
        <f t="shared" si="3"/>
        <v>112588.79480322238</v>
      </c>
      <c r="L57" s="43">
        <f t="shared" si="4"/>
        <v>172405.20519677762</v>
      </c>
      <c r="M57" s="41"/>
    </row>
    <row r="58" spans="10:19" x14ac:dyDescent="0.2">
      <c r="J58" s="30">
        <v>1996</v>
      </c>
      <c r="K58" s="43">
        <f t="shared" si="3"/>
        <v>149093</v>
      </c>
      <c r="L58" s="43">
        <f t="shared" si="4"/>
        <v>149093</v>
      </c>
      <c r="M58" s="41"/>
    </row>
    <row r="59" spans="10:19" x14ac:dyDescent="0.2">
      <c r="J59" s="30">
        <v>1997</v>
      </c>
      <c r="K59" s="43">
        <f t="shared" si="3"/>
        <v>135585</v>
      </c>
      <c r="L59" s="43">
        <f t="shared" si="4"/>
        <v>135585</v>
      </c>
      <c r="M59" s="41"/>
    </row>
    <row r="60" spans="10:19" x14ac:dyDescent="0.2">
      <c r="J60" s="30">
        <v>1998</v>
      </c>
      <c r="K60" s="43">
        <f t="shared" si="3"/>
        <v>98764.179950474732</v>
      </c>
      <c r="L60" s="43">
        <f t="shared" si="4"/>
        <v>151235.82004952527</v>
      </c>
      <c r="M60" s="41"/>
    </row>
    <row r="61" spans="10:19" x14ac:dyDescent="0.2">
      <c r="J61" s="30">
        <v>1999</v>
      </c>
      <c r="K61" s="43">
        <f t="shared" si="3"/>
        <v>121000</v>
      </c>
      <c r="L61" s="43">
        <f t="shared" si="4"/>
        <v>121000</v>
      </c>
    </row>
    <row r="62" spans="10:19" x14ac:dyDescent="0.2">
      <c r="J62" s="30">
        <v>2000</v>
      </c>
      <c r="K62" s="43">
        <f t="shared" si="3"/>
        <v>71110.209564341814</v>
      </c>
      <c r="L62" s="43">
        <f t="shared" si="4"/>
        <v>108889.79043565819</v>
      </c>
    </row>
    <row r="63" spans="10:19" x14ac:dyDescent="0.2">
      <c r="J63" s="30">
        <v>2001</v>
      </c>
      <c r="K63" s="43">
        <f t="shared" si="3"/>
        <v>103429.00969789556</v>
      </c>
      <c r="L63" s="43">
        <f t="shared" si="4"/>
        <v>158378.99030210444</v>
      </c>
    </row>
    <row r="64" spans="10:19" x14ac:dyDescent="0.2">
      <c r="J64" s="30">
        <v>2002</v>
      </c>
      <c r="K64" s="43">
        <f t="shared" si="3"/>
        <v>94669.812106447847</v>
      </c>
      <c r="L64" s="43">
        <f t="shared" si="4"/>
        <v>144966.18789355215</v>
      </c>
    </row>
    <row r="65" spans="10:12" x14ac:dyDescent="0.2">
      <c r="J65" s="30">
        <v>2003</v>
      </c>
      <c r="K65" s="43">
        <f t="shared" si="3"/>
        <v>120196</v>
      </c>
      <c r="L65" s="43">
        <f t="shared" si="4"/>
        <v>120196</v>
      </c>
    </row>
    <row r="66" spans="10:12" x14ac:dyDescent="0.2">
      <c r="J66" s="30">
        <v>2004</v>
      </c>
      <c r="K66" s="43">
        <f t="shared" si="3"/>
        <v>126213</v>
      </c>
      <c r="L66" s="43">
        <f t="shared" si="4"/>
        <v>126213</v>
      </c>
    </row>
    <row r="67" spans="10:12" x14ac:dyDescent="0.2">
      <c r="J67" s="30">
        <v>2005</v>
      </c>
      <c r="K67" s="43">
        <f t="shared" si="3"/>
        <v>143124</v>
      </c>
      <c r="L67" s="43">
        <f t="shared" si="4"/>
        <v>143124</v>
      </c>
    </row>
    <row r="68" spans="10:12" x14ac:dyDescent="0.2">
      <c r="J68" s="30">
        <v>2006</v>
      </c>
      <c r="K68" s="43">
        <f t="shared" si="3"/>
        <v>75873.803491713101</v>
      </c>
      <c r="L68" s="43">
        <f t="shared" si="4"/>
        <v>116184.1965082869</v>
      </c>
    </row>
    <row r="69" spans="10:12" x14ac:dyDescent="0.2">
      <c r="J69" s="30">
        <v>2007</v>
      </c>
      <c r="K69" s="43">
        <f t="shared" si="3"/>
        <v>102695.78442594325</v>
      </c>
      <c r="L69" s="43">
        <f t="shared" si="4"/>
        <v>157256.21557405675</v>
      </c>
    </row>
    <row r="70" spans="10:12" x14ac:dyDescent="0.2">
      <c r="J70" s="30">
        <v>2008</v>
      </c>
      <c r="K70" s="43">
        <f t="shared" si="3"/>
        <v>106322.17484792817</v>
      </c>
      <c r="L70" s="43">
        <f t="shared" si="4"/>
        <v>162809.24228438485</v>
      </c>
    </row>
    <row r="71" spans="10:12" x14ac:dyDescent="0.2">
      <c r="J71" s="30">
        <v>2009</v>
      </c>
      <c r="K71" s="43">
        <f t="shared" si="3"/>
        <v>103122.51496453045</v>
      </c>
      <c r="L71" s="43">
        <f t="shared" si="4"/>
        <v>157909.66040573336</v>
      </c>
    </row>
    <row r="72" spans="10:12" x14ac:dyDescent="0.2">
      <c r="J72" s="30">
        <v>2010</v>
      </c>
      <c r="K72" s="43">
        <f t="shared" si="3"/>
        <v>96236.190937598789</v>
      </c>
      <c r="L72" s="43">
        <f t="shared" si="4"/>
        <v>147364.75574635182</v>
      </c>
    </row>
    <row r="73" spans="10:12" x14ac:dyDescent="0.2">
      <c r="J73" s="30">
        <v>2011</v>
      </c>
      <c r="K73" s="43">
        <f t="shared" si="3"/>
        <v>115969.03779456642</v>
      </c>
      <c r="L73" s="43">
        <f t="shared" si="4"/>
        <v>177581.31075467245</v>
      </c>
    </row>
    <row r="74" spans="10:12" x14ac:dyDescent="0.2">
      <c r="J74" s="30">
        <v>2012</v>
      </c>
      <c r="K74" s="43"/>
      <c r="L74" s="43"/>
    </row>
    <row r="75" spans="10:12" x14ac:dyDescent="0.2">
      <c r="J75" s="30">
        <v>2013</v>
      </c>
      <c r="K75" s="43">
        <f>K37-M37</f>
        <v>97772.587583771965</v>
      </c>
      <c r="L75" s="43">
        <f>K37+M37</f>
        <v>149717.41241622803</v>
      </c>
    </row>
    <row r="76" spans="10:12" x14ac:dyDescent="0.2">
      <c r="J76" s="30">
        <v>2014</v>
      </c>
      <c r="K76" s="5">
        <v>135994</v>
      </c>
      <c r="L76" s="5">
        <v>202194</v>
      </c>
    </row>
    <row r="77" spans="10:12" x14ac:dyDescent="0.2">
      <c r="J77" s="30">
        <v>2015</v>
      </c>
      <c r="K77" s="1">
        <v>133842</v>
      </c>
      <c r="L77" s="1">
        <v>193118</v>
      </c>
    </row>
    <row r="78" spans="10:12" x14ac:dyDescent="0.2">
      <c r="K78" s="1">
        <v>133842</v>
      </c>
      <c r="L78" s="1">
        <v>193118</v>
      </c>
    </row>
  </sheetData>
  <mergeCells count="4">
    <mergeCell ref="O40:R40"/>
    <mergeCell ref="P2:S2"/>
    <mergeCell ref="U2:W2"/>
    <mergeCell ref="U6:W6"/>
  </mergeCells>
  <phoneticPr fontId="0" type="noConversion"/>
  <pageMargins left="0.75" right="0.75" top="1" bottom="1" header="0.5" footer="0.5"/>
  <pageSetup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78"/>
  <sheetViews>
    <sheetView tabSelected="1" topLeftCell="A11" zoomScaleNormal="100" workbookViewId="0">
      <selection activeCell="Y43" sqref="Y43"/>
    </sheetView>
  </sheetViews>
  <sheetFormatPr defaultColWidth="8.85546875" defaultRowHeight="12.75" x14ac:dyDescent="0.2"/>
  <cols>
    <col min="1" max="6" width="8.85546875" style="1" customWidth="1"/>
    <col min="7" max="7" width="9.42578125" style="1" bestFit="1" customWidth="1"/>
    <col min="8" max="12" width="8.85546875" style="1" customWidth="1"/>
    <col min="13" max="13" width="10.85546875" style="1" customWidth="1"/>
    <col min="14" max="14" width="14.42578125" style="1" bestFit="1" customWidth="1"/>
    <col min="15" max="16" width="8.85546875" style="1" customWidth="1"/>
    <col min="17" max="17" width="12.42578125" style="1" customWidth="1"/>
    <col min="18" max="18" width="8.85546875" style="1" customWidth="1"/>
    <col min="19" max="19" width="11.28515625" style="1" bestFit="1" customWidth="1"/>
    <col min="20" max="16384" width="8.85546875" style="1"/>
  </cols>
  <sheetData>
    <row r="1" spans="1:75" x14ac:dyDescent="0.2">
      <c r="B1" s="2"/>
      <c r="C1" s="2"/>
      <c r="D1" s="2"/>
      <c r="E1" s="2"/>
      <c r="F1" s="3" t="s">
        <v>0</v>
      </c>
      <c r="G1" s="73" t="s">
        <v>33</v>
      </c>
      <c r="H1" s="4" t="s">
        <v>1</v>
      </c>
      <c r="J1" s="64" t="s">
        <v>35</v>
      </c>
    </row>
    <row r="2" spans="1:75" x14ac:dyDescent="0.2">
      <c r="B2" s="5"/>
      <c r="C2" s="5"/>
      <c r="D2" s="2"/>
      <c r="E2" s="2"/>
      <c r="F2" s="2"/>
      <c r="G2" s="5"/>
      <c r="H2" s="5"/>
      <c r="Q2" s="6"/>
      <c r="R2" s="83"/>
      <c r="S2" s="83"/>
      <c r="T2" s="83"/>
      <c r="U2" s="83"/>
      <c r="V2" s="7"/>
      <c r="W2" s="82"/>
      <c r="X2" s="82"/>
      <c r="Y2" s="82"/>
      <c r="Z2" s="77"/>
      <c r="AA2" s="9"/>
      <c r="AB2" s="9"/>
      <c r="AC2" s="7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</row>
    <row r="3" spans="1:75" x14ac:dyDescent="0.2">
      <c r="A3" s="11" t="s">
        <v>2</v>
      </c>
      <c r="B3" s="2"/>
      <c r="C3" s="2"/>
      <c r="D3" s="2"/>
      <c r="E3" s="2"/>
      <c r="F3" s="2">
        <v>1978</v>
      </c>
      <c r="G3" s="72">
        <v>190292</v>
      </c>
      <c r="H3" s="5">
        <v>7752</v>
      </c>
      <c r="M3" s="12" t="s">
        <v>6</v>
      </c>
      <c r="N3" s="12" t="s">
        <v>7</v>
      </c>
      <c r="O3" s="12" t="s">
        <v>21</v>
      </c>
      <c r="P3" s="64" t="s">
        <v>37</v>
      </c>
      <c r="Q3" s="13"/>
      <c r="R3" s="14"/>
      <c r="S3" s="14"/>
      <c r="T3" s="15"/>
      <c r="U3" s="14"/>
      <c r="V3" s="7"/>
      <c r="W3" s="10"/>
      <c r="X3" s="9"/>
      <c r="Y3" s="9"/>
      <c r="Z3" s="16"/>
      <c r="AA3" s="13"/>
      <c r="AB3" s="9"/>
      <c r="AC3" s="7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</row>
    <row r="4" spans="1:75" x14ac:dyDescent="0.2">
      <c r="A4" s="11"/>
      <c r="B4" s="2"/>
      <c r="C4" s="2"/>
      <c r="D4" s="2"/>
      <c r="E4" s="2"/>
      <c r="F4" s="2">
        <v>1979</v>
      </c>
      <c r="G4" s="72">
        <v>239022</v>
      </c>
      <c r="H4" s="5">
        <v>11126</v>
      </c>
      <c r="M4" s="12">
        <v>1000</v>
      </c>
      <c r="N4" s="12"/>
      <c r="Q4" s="10"/>
      <c r="R4" s="78"/>
      <c r="S4" s="57"/>
      <c r="T4" s="19"/>
      <c r="U4" s="78"/>
      <c r="V4" s="20"/>
      <c r="W4" s="10"/>
      <c r="X4" s="10"/>
      <c r="Y4" s="10"/>
      <c r="Z4" s="21"/>
      <c r="AA4" s="22"/>
      <c r="AB4" s="23"/>
      <c r="AC4" s="23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</row>
    <row r="5" spans="1:75" x14ac:dyDescent="0.2">
      <c r="A5" s="11"/>
      <c r="B5" s="2"/>
      <c r="C5" s="2"/>
      <c r="D5" s="2"/>
      <c r="E5" s="2"/>
      <c r="F5" s="2">
        <v>1980</v>
      </c>
      <c r="G5" s="72">
        <v>68686</v>
      </c>
      <c r="H5" s="5">
        <v>24516</v>
      </c>
      <c r="J5" s="1">
        <v>63499.4</v>
      </c>
      <c r="M5" s="12"/>
      <c r="N5" s="12"/>
      <c r="Q5" s="39" t="s">
        <v>22</v>
      </c>
      <c r="R5" s="38"/>
      <c r="S5" s="38"/>
      <c r="T5" s="38"/>
      <c r="U5" s="38"/>
      <c r="V5" s="23"/>
      <c r="W5" s="78"/>
      <c r="X5" s="24"/>
      <c r="Y5" s="24"/>
      <c r="Z5" s="21"/>
      <c r="AA5" s="22"/>
      <c r="AB5" s="23"/>
      <c r="AC5" s="23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</row>
    <row r="6" spans="1:75" x14ac:dyDescent="0.2">
      <c r="A6" s="11"/>
      <c r="B6" s="2"/>
      <c r="C6" s="2"/>
      <c r="D6" s="2"/>
      <c r="E6" s="2"/>
      <c r="F6" s="2">
        <v>1981</v>
      </c>
      <c r="G6" s="72">
        <v>158650</v>
      </c>
      <c r="H6" s="5">
        <v>12489</v>
      </c>
      <c r="J6" s="1">
        <v>105867</v>
      </c>
      <c r="M6" s="12"/>
      <c r="N6" s="12"/>
      <c r="Q6" s="10"/>
      <c r="R6" s="78"/>
      <c r="S6" s="18"/>
      <c r="T6" s="19"/>
      <c r="U6" s="78"/>
      <c r="V6" s="25"/>
      <c r="W6" s="84"/>
      <c r="X6" s="84"/>
      <c r="Y6" s="84"/>
      <c r="Z6" s="21"/>
      <c r="AA6" s="22"/>
      <c r="AB6" s="20"/>
      <c r="AC6" s="23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</row>
    <row r="7" spans="1:75" x14ac:dyDescent="0.2">
      <c r="A7" s="11"/>
      <c r="B7" s="2"/>
      <c r="C7" s="2"/>
      <c r="D7" s="2"/>
      <c r="E7" s="2"/>
      <c r="F7" s="2">
        <v>1982</v>
      </c>
      <c r="G7" s="72">
        <v>97902</v>
      </c>
      <c r="H7" s="5">
        <v>21821</v>
      </c>
      <c r="J7" s="1">
        <v>203891</v>
      </c>
      <c r="M7" s="12"/>
      <c r="N7" s="12"/>
      <c r="Q7" s="10"/>
      <c r="R7" s="13"/>
      <c r="S7" s="13"/>
      <c r="T7" s="13"/>
      <c r="U7" s="13"/>
      <c r="V7" s="20"/>
      <c r="W7" s="78"/>
      <c r="X7" s="24"/>
      <c r="Y7" s="24"/>
      <c r="Z7" s="21"/>
      <c r="AA7" s="22"/>
      <c r="AB7" s="22"/>
      <c r="AC7" s="2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</row>
    <row r="8" spans="1:75" x14ac:dyDescent="0.2">
      <c r="A8" s="26"/>
      <c r="B8" s="2"/>
      <c r="C8" s="2"/>
      <c r="D8" s="2"/>
      <c r="E8" s="2"/>
      <c r="F8" s="2">
        <v>1983</v>
      </c>
      <c r="G8" s="72">
        <v>233700</v>
      </c>
      <c r="H8" s="5">
        <v>26786</v>
      </c>
      <c r="J8" s="1">
        <v>290816</v>
      </c>
    </row>
    <row r="9" spans="1:75" x14ac:dyDescent="0.2">
      <c r="A9" s="26"/>
      <c r="B9" s="2"/>
      <c r="C9" s="2"/>
      <c r="D9" s="2"/>
      <c r="E9" s="2"/>
      <c r="F9" s="2">
        <v>1984</v>
      </c>
      <c r="G9" s="72">
        <v>114880</v>
      </c>
      <c r="H9" s="5">
        <v>19419</v>
      </c>
      <c r="J9" s="1">
        <v>340282</v>
      </c>
      <c r="L9" s="2">
        <v>1984</v>
      </c>
      <c r="M9" s="72">
        <v>106422</v>
      </c>
      <c r="N9" s="71">
        <f t="shared" ref="N9:N19" si="0">(M9-G9)^2</f>
        <v>71537764</v>
      </c>
      <c r="O9" s="5"/>
    </row>
    <row r="10" spans="1:75" x14ac:dyDescent="0.2">
      <c r="B10" s="2"/>
      <c r="C10" s="2"/>
      <c r="D10" s="2"/>
      <c r="E10" s="2"/>
      <c r="F10" s="2">
        <v>1985</v>
      </c>
      <c r="G10" s="72">
        <v>131400</v>
      </c>
      <c r="H10" s="5">
        <v>25812</v>
      </c>
      <c r="J10" s="1">
        <v>423793</v>
      </c>
      <c r="L10" s="2">
        <v>1985</v>
      </c>
      <c r="M10" s="72">
        <v>81899</v>
      </c>
      <c r="N10" s="5">
        <f t="shared" si="0"/>
        <v>2450349001</v>
      </c>
      <c r="O10" s="5"/>
    </row>
    <row r="11" spans="1:75" x14ac:dyDescent="0.2">
      <c r="B11" s="2"/>
      <c r="C11" s="2"/>
      <c r="D11" s="2"/>
      <c r="E11" s="2"/>
      <c r="F11" s="2">
        <v>1986</v>
      </c>
      <c r="G11" s="72">
        <v>94770</v>
      </c>
      <c r="H11" s="5">
        <v>16276</v>
      </c>
      <c r="J11" s="1">
        <v>430950</v>
      </c>
      <c r="L11" s="2">
        <v>1986</v>
      </c>
      <c r="M11" s="72">
        <v>86310</v>
      </c>
      <c r="N11" s="5">
        <f t="shared" si="0"/>
        <v>71571600</v>
      </c>
      <c r="O11" s="5"/>
    </row>
    <row r="12" spans="1:75" x14ac:dyDescent="0.2">
      <c r="B12" s="2"/>
      <c r="C12" s="2"/>
      <c r="D12" s="2"/>
      <c r="E12" s="2"/>
      <c r="F12" s="2">
        <v>1987</v>
      </c>
      <c r="G12" s="72">
        <v>88398</v>
      </c>
      <c r="H12" s="5">
        <v>15530</v>
      </c>
      <c r="J12" s="1">
        <v>433736</v>
      </c>
      <c r="L12" s="2">
        <v>1987</v>
      </c>
      <c r="M12" s="72">
        <v>61100</v>
      </c>
      <c r="N12" s="5">
        <f t="shared" si="0"/>
        <v>745180804</v>
      </c>
      <c r="O12" s="5"/>
    </row>
    <row r="13" spans="1:75" x14ac:dyDescent="0.2">
      <c r="A13" s="27"/>
      <c r="B13" s="28"/>
      <c r="C13" s="3" t="s">
        <v>1</v>
      </c>
      <c r="D13" s="3" t="s">
        <v>3</v>
      </c>
      <c r="E13" s="2"/>
      <c r="F13" s="2">
        <v>1988</v>
      </c>
      <c r="G13" s="72">
        <v>134717.71434000001</v>
      </c>
      <c r="H13" s="5">
        <v>14167</v>
      </c>
      <c r="J13" s="1">
        <v>354328</v>
      </c>
      <c r="L13" s="2">
        <v>1988</v>
      </c>
      <c r="M13" s="72">
        <v>54500</v>
      </c>
      <c r="N13" s="5">
        <f t="shared" si="0"/>
        <v>6434881693.9338427</v>
      </c>
      <c r="O13" s="5"/>
    </row>
    <row r="14" spans="1:75" x14ac:dyDescent="0.2">
      <c r="A14" s="1" t="s">
        <v>4</v>
      </c>
      <c r="B14" s="2"/>
      <c r="C14" s="29">
        <f>H45/1000</f>
        <v>21.847877598670436</v>
      </c>
      <c r="D14" s="29">
        <f>G45/1000</f>
        <v>157.17876428571429</v>
      </c>
      <c r="E14" s="2"/>
      <c r="F14" s="2">
        <v>1989</v>
      </c>
      <c r="G14" s="72">
        <v>98965</v>
      </c>
      <c r="H14" s="5">
        <v>12259</v>
      </c>
      <c r="J14" s="1">
        <v>304129</v>
      </c>
      <c r="L14" s="2">
        <v>1989</v>
      </c>
      <c r="M14" s="72">
        <v>80100</v>
      </c>
      <c r="N14" s="5">
        <f t="shared" si="0"/>
        <v>355888225</v>
      </c>
      <c r="O14" s="5"/>
    </row>
    <row r="15" spans="1:75" x14ac:dyDescent="0.2">
      <c r="A15" s="1" t="s">
        <v>5</v>
      </c>
      <c r="B15" s="2"/>
      <c r="C15" s="29">
        <f>H44/1000</f>
        <v>23.197555197340861</v>
      </c>
      <c r="D15" s="29">
        <f>G44/1000</f>
        <v>161.45274444444442</v>
      </c>
      <c r="E15" s="2"/>
      <c r="F15" s="2">
        <v>1990</v>
      </c>
      <c r="G15" s="72">
        <v>88105</v>
      </c>
      <c r="H15" s="5">
        <v>12230</v>
      </c>
      <c r="J15" s="1">
        <v>260852</v>
      </c>
      <c r="L15" s="2">
        <v>1990</v>
      </c>
      <c r="M15" s="72">
        <v>56000</v>
      </c>
      <c r="N15" s="5">
        <f t="shared" si="0"/>
        <v>1030731025</v>
      </c>
      <c r="O15" s="5"/>
    </row>
    <row r="16" spans="1:75" x14ac:dyDescent="0.2">
      <c r="B16" s="2"/>
      <c r="C16" s="65"/>
      <c r="D16" s="65"/>
      <c r="E16" s="2"/>
      <c r="F16" s="2">
        <v>1991</v>
      </c>
      <c r="G16" s="72">
        <v>83229</v>
      </c>
      <c r="H16" s="5">
        <v>14970</v>
      </c>
      <c r="J16" s="1">
        <v>251075</v>
      </c>
      <c r="L16" s="2">
        <v>1991</v>
      </c>
      <c r="M16" s="72">
        <v>55000</v>
      </c>
      <c r="N16" s="5">
        <f t="shared" si="0"/>
        <v>796876441</v>
      </c>
      <c r="O16" s="5"/>
    </row>
    <row r="17" spans="1:16" x14ac:dyDescent="0.2">
      <c r="A17" s="64" t="s">
        <v>14</v>
      </c>
      <c r="B17" s="2"/>
      <c r="C17" s="65">
        <f>H41/1000</f>
        <v>28.782431058785001</v>
      </c>
      <c r="D17" s="65">
        <f>M41/1000</f>
        <v>162.22399999999999</v>
      </c>
      <c r="E17" s="2"/>
      <c r="F17" s="2">
        <v>1992</v>
      </c>
      <c r="G17" s="72">
        <v>156956.81859000001</v>
      </c>
      <c r="H17" s="5">
        <v>25808</v>
      </c>
      <c r="J17" s="1">
        <v>245332</v>
      </c>
      <c r="L17" s="2">
        <v>1992</v>
      </c>
      <c r="M17" s="72">
        <v>60214</v>
      </c>
      <c r="N17" s="5">
        <f t="shared" si="0"/>
        <v>9359172948.7376518</v>
      </c>
      <c r="O17" s="5"/>
    </row>
    <row r="18" spans="1:16" x14ac:dyDescent="0.2">
      <c r="B18" s="2"/>
      <c r="C18" s="65"/>
      <c r="D18" s="66"/>
      <c r="E18" s="2"/>
      <c r="F18" s="62">
        <v>1993</v>
      </c>
      <c r="G18" s="72">
        <v>193847</v>
      </c>
      <c r="H18" s="63">
        <v>17956</v>
      </c>
      <c r="I18" s="10"/>
      <c r="J18" s="10">
        <v>193490</v>
      </c>
      <c r="K18" s="10"/>
      <c r="L18" s="10">
        <v>1993</v>
      </c>
      <c r="M18" s="72">
        <v>148786</v>
      </c>
      <c r="N18" s="63">
        <f t="shared" si="0"/>
        <v>2030493721</v>
      </c>
      <c r="O18" s="5">
        <f>(M18*(1+S$42))-M18</f>
        <v>31228.181775109319</v>
      </c>
    </row>
    <row r="19" spans="1:16" x14ac:dyDescent="0.2">
      <c r="B19" s="2"/>
      <c r="C19" s="2"/>
      <c r="D19" s="2"/>
      <c r="E19" s="2"/>
      <c r="F19" s="62">
        <v>1994</v>
      </c>
      <c r="G19" s="72">
        <v>185411.68202848587</v>
      </c>
      <c r="H19" s="63">
        <v>30315</v>
      </c>
      <c r="I19" s="10"/>
      <c r="J19" s="10">
        <v>211187</v>
      </c>
      <c r="K19" s="10"/>
      <c r="L19" s="10">
        <v>1994</v>
      </c>
      <c r="M19" s="72">
        <v>142497</v>
      </c>
      <c r="N19" s="63">
        <f t="shared" si="0"/>
        <v>1841669933.6060481</v>
      </c>
      <c r="O19" s="5">
        <f>(M19*(1+S$42))-M19</f>
        <v>29908.205196777621</v>
      </c>
      <c r="P19" s="1">
        <f>ABS(1-M19/J19)</f>
        <v>0.32525676296362938</v>
      </c>
    </row>
    <row r="20" spans="1:16" x14ac:dyDescent="0.2">
      <c r="B20" s="2"/>
      <c r="C20" s="2"/>
      <c r="D20" s="2"/>
      <c r="E20" s="2"/>
      <c r="F20" s="62">
        <v>1995</v>
      </c>
      <c r="G20" s="72"/>
      <c r="H20" s="63">
        <v>26732</v>
      </c>
      <c r="I20" s="10"/>
      <c r="J20" s="10">
        <v>200524</v>
      </c>
      <c r="K20" s="10"/>
      <c r="L20" s="10">
        <v>1995</v>
      </c>
      <c r="M20" s="72">
        <v>149093</v>
      </c>
      <c r="N20" s="63"/>
      <c r="O20" s="5"/>
      <c r="P20" s="1">
        <f t="shared" ref="P20:P42" si="1">ABS(1-M20/J20)</f>
        <v>0.25648301450200472</v>
      </c>
    </row>
    <row r="21" spans="1:16" ht="13.5" thickBot="1" x14ac:dyDescent="0.25">
      <c r="A21" s="31" t="s">
        <v>8</v>
      </c>
      <c r="B21" s="2"/>
      <c r="C21" s="32">
        <f>C17/C14</f>
        <v>1.3174016985767336</v>
      </c>
      <c r="D21" s="32">
        <f>D17/D14</f>
        <v>1.0320987108991049</v>
      </c>
      <c r="E21" s="2"/>
      <c r="F21" s="62">
        <v>1996</v>
      </c>
      <c r="G21" s="72"/>
      <c r="H21" s="63">
        <v>24871</v>
      </c>
      <c r="I21" s="10"/>
      <c r="J21" s="10">
        <v>191894</v>
      </c>
      <c r="K21" s="10"/>
      <c r="L21" s="10">
        <v>1996</v>
      </c>
      <c r="M21" s="72">
        <v>135585</v>
      </c>
      <c r="N21" s="63"/>
      <c r="O21" s="5"/>
      <c r="P21" s="1">
        <f t="shared" si="1"/>
        <v>0.29343804392008088</v>
      </c>
    </row>
    <row r="22" spans="1:16" ht="13.5" thickBot="1" x14ac:dyDescent="0.25">
      <c r="A22" s="31" t="s">
        <v>9</v>
      </c>
      <c r="B22" s="2"/>
      <c r="C22" s="67">
        <f>C17/C15</f>
        <v>1.2407527782101941</v>
      </c>
      <c r="D22" s="68">
        <f>D17/D15</f>
        <v>1.0047769739573609</v>
      </c>
      <c r="E22" s="2"/>
      <c r="F22" s="62">
        <v>1997</v>
      </c>
      <c r="G22" s="72">
        <v>144887</v>
      </c>
      <c r="H22" s="63">
        <v>23813</v>
      </c>
      <c r="I22" s="10"/>
      <c r="J22" s="10">
        <v>161548</v>
      </c>
      <c r="K22" s="10"/>
      <c r="L22" s="10">
        <v>1997</v>
      </c>
      <c r="M22" s="72">
        <v>125000</v>
      </c>
      <c r="N22" s="63">
        <f>(M22-G22)^2</f>
        <v>395492769</v>
      </c>
      <c r="O22" s="5">
        <f>(M22*(1+S$42))-M22</f>
        <v>26235.820049525268</v>
      </c>
      <c r="P22" s="1">
        <f t="shared" si="1"/>
        <v>0.226236165102632</v>
      </c>
    </row>
    <row r="23" spans="1:16" x14ac:dyDescent="0.2">
      <c r="F23" s="62">
        <v>1998</v>
      </c>
      <c r="G23" s="72"/>
      <c r="H23" s="63">
        <v>22776</v>
      </c>
      <c r="I23" s="10"/>
      <c r="J23" s="10">
        <v>153243</v>
      </c>
      <c r="K23" s="10"/>
      <c r="L23" s="10">
        <v>1998</v>
      </c>
      <c r="M23" s="72">
        <v>121000</v>
      </c>
      <c r="N23" s="63"/>
      <c r="O23" s="5"/>
      <c r="P23" s="1">
        <f t="shared" si="1"/>
        <v>0.21040439041261261</v>
      </c>
    </row>
    <row r="24" spans="1:16" x14ac:dyDescent="0.2">
      <c r="F24" s="62">
        <v>1999</v>
      </c>
      <c r="G24" s="72">
        <v>157028</v>
      </c>
      <c r="H24" s="63">
        <v>19878</v>
      </c>
      <c r="I24" s="10">
        <f>H24/G24</f>
        <v>0.12658888860585374</v>
      </c>
      <c r="J24" s="10">
        <v>130099</v>
      </c>
      <c r="K24" s="10"/>
      <c r="L24" s="10">
        <v>1999</v>
      </c>
      <c r="M24" s="72">
        <v>90000</v>
      </c>
      <c r="N24" s="63">
        <f>(M24-G24)^2</f>
        <v>4492752784</v>
      </c>
      <c r="O24" s="5">
        <f>(M24*(1+S$42))-M24</f>
        <v>18889.790435658186</v>
      </c>
      <c r="P24" s="1">
        <f t="shared" si="1"/>
        <v>0.30821912543524543</v>
      </c>
    </row>
    <row r="25" spans="1:16" x14ac:dyDescent="0.2">
      <c r="F25" s="62">
        <v>2000</v>
      </c>
      <c r="G25" s="72">
        <v>101551</v>
      </c>
      <c r="H25" s="63">
        <v>20421</v>
      </c>
      <c r="I25" s="10">
        <f>H25/G25</f>
        <v>0.20109107738968596</v>
      </c>
      <c r="J25" s="10">
        <v>125936</v>
      </c>
      <c r="K25" s="10"/>
      <c r="L25" s="10">
        <v>2000</v>
      </c>
      <c r="M25" s="72">
        <v>130904</v>
      </c>
      <c r="N25" s="63">
        <f>(M25-G25)^2</f>
        <v>861598609</v>
      </c>
      <c r="O25" s="5">
        <f>(M25*(1+S$42))-M25</f>
        <v>27474.990302104445</v>
      </c>
      <c r="P25" s="1">
        <f t="shared" si="1"/>
        <v>3.9448608817177044E-2</v>
      </c>
    </row>
    <row r="26" spans="1:16" x14ac:dyDescent="0.2">
      <c r="F26" s="62">
        <v>2001</v>
      </c>
      <c r="G26" s="72">
        <v>115155</v>
      </c>
      <c r="H26" s="63">
        <v>22330</v>
      </c>
      <c r="I26" s="10">
        <f>H26/G26</f>
        <v>0.19391255264643306</v>
      </c>
      <c r="J26" s="10">
        <v>131077</v>
      </c>
      <c r="K26" s="10"/>
      <c r="L26" s="10">
        <v>2001</v>
      </c>
      <c r="M26" s="72">
        <v>119818</v>
      </c>
      <c r="N26" s="63">
        <f>(M26-G26)^2</f>
        <v>21743569</v>
      </c>
      <c r="O26" s="5">
        <f>(M26*(1+S$42))-M26</f>
        <v>25148.187893552153</v>
      </c>
      <c r="P26" s="1">
        <f t="shared" si="1"/>
        <v>8.5896076352067863E-2</v>
      </c>
    </row>
    <row r="27" spans="1:16" x14ac:dyDescent="0.2">
      <c r="F27" s="62">
        <v>2002</v>
      </c>
      <c r="G27" s="72"/>
      <c r="H27" s="63">
        <v>17049</v>
      </c>
      <c r="I27" s="10"/>
      <c r="J27" s="10">
        <v>134509</v>
      </c>
      <c r="K27" s="10"/>
      <c r="L27" s="10">
        <v>2002</v>
      </c>
      <c r="M27" s="72">
        <v>120196</v>
      </c>
      <c r="N27" s="63"/>
      <c r="O27" s="5"/>
      <c r="P27" s="1">
        <f t="shared" si="1"/>
        <v>0.10640923655666168</v>
      </c>
    </row>
    <row r="28" spans="1:16" x14ac:dyDescent="0.2">
      <c r="F28" s="62">
        <v>2003</v>
      </c>
      <c r="G28" s="72"/>
      <c r="H28" s="63">
        <v>21663</v>
      </c>
      <c r="I28" s="10"/>
      <c r="J28" s="10">
        <v>157263</v>
      </c>
      <c r="K28" s="10"/>
      <c r="L28" s="10">
        <v>2003</v>
      </c>
      <c r="M28" s="72">
        <v>126213</v>
      </c>
      <c r="N28" s="63"/>
      <c r="O28" s="5"/>
      <c r="P28" s="1">
        <f t="shared" si="1"/>
        <v>0.19743995726903341</v>
      </c>
    </row>
    <row r="29" spans="1:16" x14ac:dyDescent="0.2">
      <c r="F29" s="62">
        <v>2004</v>
      </c>
      <c r="G29" s="72"/>
      <c r="H29" s="63">
        <v>18868</v>
      </c>
      <c r="I29" s="10"/>
      <c r="J29" s="10">
        <v>162144</v>
      </c>
      <c r="K29" s="10"/>
      <c r="L29" s="10">
        <v>2004</v>
      </c>
      <c r="M29" s="72">
        <v>143124</v>
      </c>
      <c r="N29" s="63"/>
      <c r="O29" s="5"/>
      <c r="P29" s="1">
        <f t="shared" si="1"/>
        <v>0.11730313795145053</v>
      </c>
    </row>
    <row r="30" spans="1:16" x14ac:dyDescent="0.2">
      <c r="F30" s="62">
        <v>2005</v>
      </c>
      <c r="G30" s="72">
        <v>163736.70000000001</v>
      </c>
      <c r="H30" s="63">
        <v>20912</v>
      </c>
      <c r="I30" s="10">
        <f t="shared" ref="I30:I35" si="2">H30/G30</f>
        <v>0.12771724359902209</v>
      </c>
      <c r="J30" s="10">
        <v>157485</v>
      </c>
      <c r="K30" s="10"/>
      <c r="L30" s="10">
        <v>2005</v>
      </c>
      <c r="M30" s="72">
        <v>96029</v>
      </c>
      <c r="N30" s="63">
        <f t="shared" ref="N30:N35" si="3">(M30-G30)^2</f>
        <v>4584332639.2900019</v>
      </c>
      <c r="O30" s="5">
        <f t="shared" ref="O30:O35" si="4">(M30*(1+S$42))-M30</f>
        <v>20155.196508286899</v>
      </c>
      <c r="P30" s="1">
        <f t="shared" si="1"/>
        <v>0.39023399053878149</v>
      </c>
    </row>
    <row r="31" spans="1:16" x14ac:dyDescent="0.2">
      <c r="F31" s="62">
        <v>2006</v>
      </c>
      <c r="G31" s="72">
        <v>179580</v>
      </c>
      <c r="H31" s="63">
        <v>23953</v>
      </c>
      <c r="I31" s="10">
        <f t="shared" si="2"/>
        <v>0.13338345027285889</v>
      </c>
      <c r="J31" s="10">
        <v>152745</v>
      </c>
      <c r="K31" s="10"/>
      <c r="L31" s="10">
        <v>2006</v>
      </c>
      <c r="M31" s="72">
        <v>129976</v>
      </c>
      <c r="N31" s="63">
        <f t="shared" si="3"/>
        <v>2460556816</v>
      </c>
      <c r="O31" s="5">
        <f t="shared" si="4"/>
        <v>27280.215574056754</v>
      </c>
      <c r="P31" s="1">
        <f t="shared" si="1"/>
        <v>0.14906543585714749</v>
      </c>
    </row>
    <row r="32" spans="1:16" x14ac:dyDescent="0.2">
      <c r="F32" s="62">
        <v>2007</v>
      </c>
      <c r="G32" s="72">
        <v>143827</v>
      </c>
      <c r="H32" s="63">
        <v>17132</v>
      </c>
      <c r="I32" s="10">
        <f t="shared" si="2"/>
        <v>0.11911532605143679</v>
      </c>
      <c r="J32" s="10">
        <v>130857</v>
      </c>
      <c r="K32" s="10"/>
      <c r="L32" s="10">
        <v>2007</v>
      </c>
      <c r="M32" s="72">
        <v>134565.70856615651</v>
      </c>
      <c r="N32" s="63">
        <f t="shared" si="3"/>
        <v>85771519.022582859</v>
      </c>
      <c r="O32" s="5">
        <f t="shared" si="4"/>
        <v>28243.53371822834</v>
      </c>
      <c r="P32" s="1">
        <f t="shared" si="1"/>
        <v>2.8341690289067412E-2</v>
      </c>
    </row>
    <row r="33" spans="6:20" x14ac:dyDescent="0.2">
      <c r="F33" s="62">
        <v>2008</v>
      </c>
      <c r="G33" s="72">
        <v>136838.69999999998</v>
      </c>
      <c r="H33" s="63">
        <v>20523</v>
      </c>
      <c r="I33" s="10">
        <f t="shared" si="2"/>
        <v>0.1499795014129775</v>
      </c>
      <c r="J33" s="10">
        <v>118541</v>
      </c>
      <c r="K33" s="10"/>
      <c r="L33" s="10">
        <v>2008</v>
      </c>
      <c r="M33" s="72">
        <v>130516.0876851319</v>
      </c>
      <c r="N33" s="63">
        <f t="shared" si="3"/>
        <v>39975426.484121479</v>
      </c>
      <c r="O33" s="5">
        <f t="shared" si="4"/>
        <v>27393.572720601456</v>
      </c>
      <c r="P33" s="1">
        <f t="shared" si="1"/>
        <v>0.10102063999065214</v>
      </c>
    </row>
    <row r="34" spans="6:20" x14ac:dyDescent="0.2">
      <c r="F34" s="62">
        <v>2009</v>
      </c>
      <c r="G34" s="72">
        <v>142154</v>
      </c>
      <c r="H34" s="63">
        <v>17107</v>
      </c>
      <c r="I34" s="10">
        <f t="shared" si="2"/>
        <v>0.12034131997692643</v>
      </c>
      <c r="J34" s="10">
        <v>124272</v>
      </c>
      <c r="K34" s="10"/>
      <c r="L34" s="10">
        <v>2009</v>
      </c>
      <c r="M34" s="72">
        <v>121800.4733419753</v>
      </c>
      <c r="N34" s="63">
        <f t="shared" si="3"/>
        <v>414266047.41892201</v>
      </c>
      <c r="O34" s="5">
        <f t="shared" si="4"/>
        <v>25564.282404376514</v>
      </c>
      <c r="P34" s="1">
        <f t="shared" si="1"/>
        <v>1.9888041216240993E-2</v>
      </c>
    </row>
    <row r="35" spans="6:20" x14ac:dyDescent="0.2">
      <c r="F35" s="62">
        <v>2010</v>
      </c>
      <c r="G35" s="72">
        <v>146913</v>
      </c>
      <c r="H35" s="63">
        <v>26355</v>
      </c>
      <c r="I35" s="10">
        <f t="shared" si="2"/>
        <v>0.17939188499315922</v>
      </c>
      <c r="J35" s="10">
        <v>146489</v>
      </c>
      <c r="K35" s="10"/>
      <c r="L35" s="10">
        <v>2010</v>
      </c>
      <c r="M35" s="72">
        <v>146775.17427461944</v>
      </c>
      <c r="N35" s="63">
        <f t="shared" si="3"/>
        <v>18995.930576678675</v>
      </c>
      <c r="O35" s="5">
        <f t="shared" si="4"/>
        <v>30806.136480053014</v>
      </c>
      <c r="P35" s="1">
        <f t="shared" si="1"/>
        <v>1.9535547011682031E-3</v>
      </c>
    </row>
    <row r="36" spans="6:20" x14ac:dyDescent="0.2">
      <c r="F36" s="62">
        <v>2011</v>
      </c>
      <c r="G36" s="76"/>
      <c r="H36" s="5">
        <v>22877</v>
      </c>
      <c r="J36" s="1">
        <v>162670</v>
      </c>
      <c r="L36" s="10">
        <v>2011</v>
      </c>
      <c r="M36" s="72">
        <v>140860</v>
      </c>
      <c r="N36" s="63"/>
      <c r="O36" s="5"/>
      <c r="P36" s="1">
        <f t="shared" si="1"/>
        <v>0.13407512141144651</v>
      </c>
    </row>
    <row r="37" spans="6:20" x14ac:dyDescent="0.2">
      <c r="F37" s="62">
        <v>2012</v>
      </c>
      <c r="G37" s="72">
        <v>167738</v>
      </c>
      <c r="H37" s="5">
        <v>17020.900000000001</v>
      </c>
      <c r="I37" s="10">
        <f>AVERAGE(I32:I35)</f>
        <v>0.14220700810862497</v>
      </c>
      <c r="J37" s="10">
        <v>179458</v>
      </c>
      <c r="K37" s="10"/>
      <c r="L37" s="10">
        <v>2012</v>
      </c>
      <c r="M37" s="72">
        <v>123745</v>
      </c>
      <c r="N37" s="63">
        <f>(M37-G37)^2</f>
        <v>1935384049</v>
      </c>
      <c r="O37" s="5">
        <f t="shared" ref="O37:O42" si="5">(M37*(1+S$42))-M37</f>
        <v>25972.412416228035</v>
      </c>
      <c r="P37" s="1">
        <f t="shared" si="1"/>
        <v>0.31045147053906763</v>
      </c>
    </row>
    <row r="38" spans="6:20" x14ac:dyDescent="0.2">
      <c r="F38" s="62">
        <v>2013</v>
      </c>
      <c r="G38" s="72">
        <v>169020.3</v>
      </c>
      <c r="H38" s="5">
        <v>27609.9</v>
      </c>
      <c r="I38" s="10">
        <f>AVERAGE(I30:I35,I37)</f>
        <v>0.13887653348785797</v>
      </c>
      <c r="J38" s="10">
        <v>217268</v>
      </c>
      <c r="K38" s="10"/>
      <c r="L38" s="10">
        <v>2013</v>
      </c>
      <c r="M38" s="72">
        <v>169093.73714533445</v>
      </c>
      <c r="N38" s="63">
        <f>(M38-G38)^2</f>
        <v>5393.014314875295</v>
      </c>
      <c r="O38" s="5">
        <f t="shared" si="5"/>
        <v>35490.502873973775</v>
      </c>
      <c r="P38" s="1">
        <f t="shared" si="1"/>
        <v>0.22172737289736888</v>
      </c>
    </row>
    <row r="39" spans="6:20" x14ac:dyDescent="0.2">
      <c r="F39" s="62">
        <v>2014</v>
      </c>
      <c r="G39" s="72">
        <v>203267</v>
      </c>
      <c r="H39" s="5">
        <v>25559.584500000001</v>
      </c>
      <c r="I39" s="10">
        <f>AVERAGE(I31:I35,I37:I38)</f>
        <v>0.14047071775769168</v>
      </c>
      <c r="J39" s="10">
        <v>210615</v>
      </c>
      <c r="K39" s="10"/>
      <c r="L39" s="10">
        <v>2014</v>
      </c>
      <c r="M39" s="74">
        <v>157448.12813283445</v>
      </c>
      <c r="N39" s="63">
        <f>(M39-G39)^2</f>
        <v>2099369019.1797349</v>
      </c>
      <c r="O39" s="5">
        <f t="shared" si="5"/>
        <v>33046.246054621122</v>
      </c>
      <c r="P39" s="1">
        <f t="shared" si="1"/>
        <v>0.25243630257657601</v>
      </c>
    </row>
    <row r="40" spans="6:20" x14ac:dyDescent="0.2">
      <c r="F40" s="62">
        <v>2015</v>
      </c>
      <c r="G40" s="79">
        <v>228807</v>
      </c>
      <c r="H40" s="43">
        <v>29012.268414623613</v>
      </c>
      <c r="I40" s="10">
        <f>AVERAGE(I32:I35,I37:I39)</f>
        <v>0.14148318454123923</v>
      </c>
      <c r="J40" s="10">
        <v>197216</v>
      </c>
      <c r="K40" s="10"/>
      <c r="L40" s="10">
        <v>2015</v>
      </c>
      <c r="M40" s="74">
        <v>163479.93771303017</v>
      </c>
      <c r="N40" s="63">
        <f>(M40-G40)^2</f>
        <v>4267625067.0456357</v>
      </c>
      <c r="O40" s="5">
        <f t="shared" si="5"/>
        <v>34312.241820373281</v>
      </c>
      <c r="P40" s="1">
        <f t="shared" si="1"/>
        <v>0.17106148733860249</v>
      </c>
      <c r="Q40" s="82" t="s">
        <v>36</v>
      </c>
      <c r="R40" s="82"/>
      <c r="S40" s="82"/>
      <c r="T40" s="82"/>
    </row>
    <row r="41" spans="6:20" ht="15.75" x14ac:dyDescent="0.25">
      <c r="F41" s="62">
        <v>2016</v>
      </c>
      <c r="G41" s="79"/>
      <c r="H41" s="80">
        <v>28782.431058785001</v>
      </c>
      <c r="I41" s="10"/>
      <c r="J41" s="10">
        <v>173410</v>
      </c>
      <c r="K41" s="10"/>
      <c r="L41" s="10">
        <v>2016</v>
      </c>
      <c r="M41" s="75">
        <v>162224</v>
      </c>
      <c r="N41" s="63"/>
      <c r="O41" s="5">
        <f t="shared" si="5"/>
        <v>34048.637373713485</v>
      </c>
      <c r="P41" s="1">
        <f t="shared" si="1"/>
        <v>6.4506083847528983E-2</v>
      </c>
      <c r="Q41" s="1" t="s">
        <v>20</v>
      </c>
      <c r="R41" s="1" t="s">
        <v>17</v>
      </c>
      <c r="S41" s="9" t="s">
        <v>18</v>
      </c>
      <c r="T41" s="85" t="s">
        <v>38</v>
      </c>
    </row>
    <row r="42" spans="6:20" x14ac:dyDescent="0.2">
      <c r="F42" s="62">
        <v>2017</v>
      </c>
      <c r="G42" s="79">
        <v>90268.368499999997</v>
      </c>
      <c r="H42" s="81">
        <v>17128.468000000001</v>
      </c>
      <c r="J42" s="1">
        <v>153150</v>
      </c>
      <c r="L42" s="10">
        <v>2017</v>
      </c>
      <c r="M42" s="75">
        <v>136755.97597124681</v>
      </c>
      <c r="N42" s="63">
        <f>(M42-G42)^2</f>
        <v>2161097648.4007225</v>
      </c>
      <c r="O42" s="5">
        <f t="shared" si="5"/>
        <v>28703.241410230665</v>
      </c>
      <c r="P42" s="1">
        <f t="shared" si="1"/>
        <v>0.10704553724291999</v>
      </c>
      <c r="Q42" s="36"/>
      <c r="R42" s="36"/>
      <c r="S42" s="40">
        <f>AVERAGE(ABS(1-M19/$G$19),ABS(1-M22/$G$22),ABS(1-M24/$G$24),ABS(1-M25/$G$25),ABS(1-M26/$G$26),ABS(1-M30/$G$30),ABS(1-M31/$G$31),ABS(1-M32/G32),ABS(1-M33/G33),ABS(1-M34/G34),ABS(1-M35/G35),ABS(1-M37/G37),ABS(1-M38/G38),ABS(1-M39/G39),ABS(1-(M40/G40)),ABS(1-(M42/G42)))</f>
        <v>0.20988656039620218</v>
      </c>
      <c r="T42" s="40">
        <f>(100/COUNT(L19:L42))*SUM(P19:P42)</f>
        <v>17.159755198871515</v>
      </c>
    </row>
    <row r="43" spans="6:20" x14ac:dyDescent="0.2">
      <c r="M43" s="58"/>
      <c r="N43" s="63"/>
    </row>
    <row r="44" spans="6:20" x14ac:dyDescent="0.2">
      <c r="F44" s="1" t="s">
        <v>10</v>
      </c>
      <c r="G44" s="33">
        <f>AVERAGE(G30:G39)</f>
        <v>161452.74444444443</v>
      </c>
      <c r="H44" s="33">
        <f>AVERAGE(H33:H42)</f>
        <v>23197.555197340862</v>
      </c>
      <c r="M44" s="56">
        <f>AVERAGE(M29:M38)</f>
        <v>133648.51810132177</v>
      </c>
      <c r="N44" s="52" t="s">
        <v>28</v>
      </c>
    </row>
    <row r="45" spans="6:20" x14ac:dyDescent="0.2">
      <c r="F45" s="1" t="s">
        <v>11</v>
      </c>
      <c r="G45" s="33">
        <f>AVERAGE(G21:G40)</f>
        <v>157178.76428571431</v>
      </c>
      <c r="H45" s="33">
        <f>AVERAGE(H23:H42)</f>
        <v>21847.877598670435</v>
      </c>
      <c r="M45" s="64" t="s">
        <v>31</v>
      </c>
      <c r="N45" s="5">
        <f>SUM($N$33:$N$42)/(COUNT($N$33:$N$42)-1)</f>
        <v>1559677378.0677183</v>
      </c>
      <c r="R45" s="59" t="s">
        <v>29</v>
      </c>
    </row>
    <row r="46" spans="6:20" x14ac:dyDescent="0.2">
      <c r="M46" s="31" t="s">
        <v>12</v>
      </c>
      <c r="N46" s="5">
        <f>SQRT(N45)</f>
        <v>39492.750955937699</v>
      </c>
      <c r="R46" s="1" t="s">
        <v>14</v>
      </c>
      <c r="S46" s="5">
        <f>N50</f>
        <v>136755.97597124681</v>
      </c>
    </row>
    <row r="47" spans="6:20" x14ac:dyDescent="0.2">
      <c r="G47" s="61">
        <f>$H$37/H44</f>
        <v>0.73373680352104986</v>
      </c>
      <c r="H47" s="61"/>
      <c r="M47" s="31" t="s">
        <v>13</v>
      </c>
      <c r="N47" s="35">
        <f>TINV(0.2,COUNT(N33:N42)-1)</f>
        <v>1.4149239276505079</v>
      </c>
      <c r="P47" s="1" t="s">
        <v>27</v>
      </c>
      <c r="R47" s="1" t="s">
        <v>15</v>
      </c>
      <c r="S47" s="69">
        <f>S$46*(1-S$42)</f>
        <v>108052.73456101614</v>
      </c>
    </row>
    <row r="48" spans="6:20" ht="13.5" thickBot="1" x14ac:dyDescent="0.25">
      <c r="G48" s="61">
        <f>$H$37/H45</f>
        <v>0.77906423281297665</v>
      </c>
      <c r="L48" s="70" t="s">
        <v>32</v>
      </c>
      <c r="R48" s="1" t="s">
        <v>16</v>
      </c>
      <c r="S48" s="69">
        <f>S$46*(1+S$42)</f>
        <v>165459.21738147747</v>
      </c>
    </row>
    <row r="49" spans="12:21" ht="13.5" thickBot="1" x14ac:dyDescent="0.25">
      <c r="L49" s="45" t="s">
        <v>14</v>
      </c>
      <c r="N49" s="37">
        <f>$N$47*$N$46</f>
        <v>55879.238296298718</v>
      </c>
    </row>
    <row r="50" spans="12:21" x14ac:dyDescent="0.2">
      <c r="L50" s="48" t="s">
        <v>15</v>
      </c>
      <c r="M50" s="46"/>
      <c r="N50" s="47">
        <f>M42</f>
        <v>136755.97597124681</v>
      </c>
      <c r="O50" s="52" t="s">
        <v>26</v>
      </c>
    </row>
    <row r="51" spans="12:21" ht="13.5" thickBot="1" x14ac:dyDescent="0.25">
      <c r="L51" s="50" t="s">
        <v>16</v>
      </c>
      <c r="M51" s="49"/>
      <c r="N51" s="54">
        <f>N50-N49</f>
        <v>80876.73767494809</v>
      </c>
      <c r="O51" s="52">
        <f>I40*N50</f>
        <v>19348.670985457189</v>
      </c>
      <c r="Q51" s="43"/>
    </row>
    <row r="52" spans="12:21" ht="13.5" thickBot="1" x14ac:dyDescent="0.25">
      <c r="M52" s="51"/>
      <c r="N52" s="55">
        <f>N50+N49</f>
        <v>192635.21426754553</v>
      </c>
      <c r="O52" s="53">
        <f>1-O51/H44</f>
        <v>0.16591766585492895</v>
      </c>
      <c r="P52" s="41"/>
      <c r="Q52" s="43"/>
    </row>
    <row r="53" spans="12:21" ht="15" x14ac:dyDescent="0.25">
      <c r="L53" s="1" t="s">
        <v>23</v>
      </c>
      <c r="P53" s="42"/>
      <c r="Q53" s="44"/>
      <c r="U53" s="60" t="s">
        <v>30</v>
      </c>
    </row>
    <row r="54" spans="12:21" x14ac:dyDescent="0.2">
      <c r="L54" s="1" t="s">
        <v>0</v>
      </c>
      <c r="P54" s="42"/>
      <c r="Q54" s="41"/>
    </row>
    <row r="55" spans="12:21" x14ac:dyDescent="0.2">
      <c r="L55" s="30">
        <v>1993</v>
      </c>
      <c r="M55" s="1" t="s">
        <v>24</v>
      </c>
      <c r="N55" s="1" t="s">
        <v>25</v>
      </c>
      <c r="P55" s="41"/>
    </row>
    <row r="56" spans="12:21" x14ac:dyDescent="0.2">
      <c r="L56" s="30">
        <v>1994</v>
      </c>
      <c r="M56" s="43">
        <f t="shared" ref="M56:M73" si="6">M18-O18</f>
        <v>117557.81822489068</v>
      </c>
      <c r="N56" s="43">
        <f t="shared" ref="N56:N73" si="7">M18+O18</f>
        <v>180014.18177510932</v>
      </c>
    </row>
    <row r="57" spans="12:21" x14ac:dyDescent="0.2">
      <c r="L57" s="30">
        <v>1995</v>
      </c>
      <c r="M57" s="43">
        <f t="shared" si="6"/>
        <v>112588.79480322238</v>
      </c>
      <c r="N57" s="43">
        <f t="shared" si="7"/>
        <v>172405.20519677762</v>
      </c>
      <c r="O57" s="41"/>
    </row>
    <row r="58" spans="12:21" x14ac:dyDescent="0.2">
      <c r="L58" s="30">
        <v>1996</v>
      </c>
      <c r="M58" s="43">
        <f t="shared" si="6"/>
        <v>149093</v>
      </c>
      <c r="N58" s="43">
        <f t="shared" si="7"/>
        <v>149093</v>
      </c>
      <c r="O58" s="41"/>
    </row>
    <row r="59" spans="12:21" x14ac:dyDescent="0.2">
      <c r="L59" s="30">
        <v>1997</v>
      </c>
      <c r="M59" s="43">
        <f t="shared" si="6"/>
        <v>135585</v>
      </c>
      <c r="N59" s="43">
        <f t="shared" si="7"/>
        <v>135585</v>
      </c>
      <c r="O59" s="41"/>
    </row>
    <row r="60" spans="12:21" x14ac:dyDescent="0.2">
      <c r="L60" s="30">
        <v>1998</v>
      </c>
      <c r="M60" s="43">
        <f t="shared" si="6"/>
        <v>98764.179950474732</v>
      </c>
      <c r="N60" s="43">
        <f t="shared" si="7"/>
        <v>151235.82004952527</v>
      </c>
      <c r="O60" s="41"/>
    </row>
    <row r="61" spans="12:21" x14ac:dyDescent="0.2">
      <c r="L61" s="30">
        <v>1999</v>
      </c>
      <c r="M61" s="43">
        <f t="shared" si="6"/>
        <v>121000</v>
      </c>
      <c r="N61" s="43">
        <f t="shared" si="7"/>
        <v>121000</v>
      </c>
    </row>
    <row r="62" spans="12:21" x14ac:dyDescent="0.2">
      <c r="L62" s="30">
        <v>2000</v>
      </c>
      <c r="M62" s="43">
        <f t="shared" si="6"/>
        <v>71110.209564341814</v>
      </c>
      <c r="N62" s="43">
        <f t="shared" si="7"/>
        <v>108889.79043565819</v>
      </c>
    </row>
    <row r="63" spans="12:21" x14ac:dyDescent="0.2">
      <c r="L63" s="30">
        <v>2001</v>
      </c>
      <c r="M63" s="43">
        <f t="shared" si="6"/>
        <v>103429.00969789556</v>
      </c>
      <c r="N63" s="43">
        <f t="shared" si="7"/>
        <v>158378.99030210444</v>
      </c>
    </row>
    <row r="64" spans="12:21" x14ac:dyDescent="0.2">
      <c r="L64" s="30">
        <v>2002</v>
      </c>
      <c r="M64" s="43">
        <f t="shared" si="6"/>
        <v>94669.812106447847</v>
      </c>
      <c r="N64" s="43">
        <f t="shared" si="7"/>
        <v>144966.18789355215</v>
      </c>
    </row>
    <row r="65" spans="12:14" x14ac:dyDescent="0.2">
      <c r="L65" s="30">
        <v>2003</v>
      </c>
      <c r="M65" s="43">
        <f t="shared" si="6"/>
        <v>120196</v>
      </c>
      <c r="N65" s="43">
        <f t="shared" si="7"/>
        <v>120196</v>
      </c>
    </row>
    <row r="66" spans="12:14" x14ac:dyDescent="0.2">
      <c r="L66" s="30">
        <v>2004</v>
      </c>
      <c r="M66" s="43">
        <f t="shared" si="6"/>
        <v>126213</v>
      </c>
      <c r="N66" s="43">
        <f t="shared" si="7"/>
        <v>126213</v>
      </c>
    </row>
    <row r="67" spans="12:14" x14ac:dyDescent="0.2">
      <c r="L67" s="30">
        <v>2005</v>
      </c>
      <c r="M67" s="43">
        <f t="shared" si="6"/>
        <v>143124</v>
      </c>
      <c r="N67" s="43">
        <f t="shared" si="7"/>
        <v>143124</v>
      </c>
    </row>
    <row r="68" spans="12:14" x14ac:dyDescent="0.2">
      <c r="L68" s="30">
        <v>2006</v>
      </c>
      <c r="M68" s="43">
        <f t="shared" si="6"/>
        <v>75873.803491713101</v>
      </c>
      <c r="N68" s="43">
        <f t="shared" si="7"/>
        <v>116184.1965082869</v>
      </c>
    </row>
    <row r="69" spans="12:14" x14ac:dyDescent="0.2">
      <c r="L69" s="30">
        <v>2007</v>
      </c>
      <c r="M69" s="43">
        <f t="shared" si="6"/>
        <v>102695.78442594325</v>
      </c>
      <c r="N69" s="43">
        <f t="shared" si="7"/>
        <v>157256.21557405675</v>
      </c>
    </row>
    <row r="70" spans="12:14" x14ac:dyDescent="0.2">
      <c r="L70" s="30">
        <v>2008</v>
      </c>
      <c r="M70" s="43">
        <f t="shared" si="6"/>
        <v>106322.17484792817</v>
      </c>
      <c r="N70" s="43">
        <f t="shared" si="7"/>
        <v>162809.24228438485</v>
      </c>
    </row>
    <row r="71" spans="12:14" x14ac:dyDescent="0.2">
      <c r="L71" s="30">
        <v>2009</v>
      </c>
      <c r="M71" s="43">
        <f t="shared" si="6"/>
        <v>103122.51496453045</v>
      </c>
      <c r="N71" s="43">
        <f t="shared" si="7"/>
        <v>157909.66040573336</v>
      </c>
    </row>
    <row r="72" spans="12:14" x14ac:dyDescent="0.2">
      <c r="L72" s="30">
        <v>2010</v>
      </c>
      <c r="M72" s="43">
        <f t="shared" si="6"/>
        <v>96236.190937598789</v>
      </c>
      <c r="N72" s="43">
        <f t="shared" si="7"/>
        <v>147364.75574635182</v>
      </c>
    </row>
    <row r="73" spans="12:14" x14ac:dyDescent="0.2">
      <c r="L73" s="30">
        <v>2011</v>
      </c>
      <c r="M73" s="43">
        <f t="shared" si="6"/>
        <v>115969.03779456642</v>
      </c>
      <c r="N73" s="43">
        <f t="shared" si="7"/>
        <v>177581.31075467245</v>
      </c>
    </row>
    <row r="74" spans="12:14" x14ac:dyDescent="0.2">
      <c r="L74" s="30">
        <v>2012</v>
      </c>
      <c r="M74" s="43"/>
      <c r="N74" s="43"/>
    </row>
    <row r="75" spans="12:14" x14ac:dyDescent="0.2">
      <c r="L75" s="30">
        <v>2013</v>
      </c>
      <c r="M75" s="43">
        <f>M37-O37</f>
        <v>97772.587583771965</v>
      </c>
      <c r="N75" s="43">
        <f>M37+O37</f>
        <v>149717.41241622803</v>
      </c>
    </row>
    <row r="76" spans="12:14" x14ac:dyDescent="0.2">
      <c r="L76" s="30">
        <v>2014</v>
      </c>
      <c r="M76" s="5">
        <v>135994</v>
      </c>
      <c r="N76" s="5">
        <v>202194</v>
      </c>
    </row>
    <row r="77" spans="12:14" x14ac:dyDescent="0.2">
      <c r="L77" s="30">
        <v>2015</v>
      </c>
      <c r="M77" s="1">
        <v>133842</v>
      </c>
      <c r="N77" s="1">
        <v>193118</v>
      </c>
    </row>
    <row r="78" spans="12:14" x14ac:dyDescent="0.2">
      <c r="M78" s="1">
        <v>133842</v>
      </c>
      <c r="N78" s="1">
        <v>193118</v>
      </c>
    </row>
  </sheetData>
  <mergeCells count="4">
    <mergeCell ref="R2:U2"/>
    <mergeCell ref="W2:Y2"/>
    <mergeCell ref="W6:Y6"/>
    <mergeCell ref="Q40:T40"/>
  </mergeCells>
  <pageMargins left="0.75" right="0.75" top="1" bottom="1" header="0.5" footer="0.5"/>
  <pageSetup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</vt:lpstr>
      <vt:lpstr>Historical scd</vt:lpstr>
    </vt:vector>
  </TitlesOfParts>
  <Company>ADF&amp;G-CF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fwest</dc:creator>
  <cp:lastModifiedBy>Dressel, Sherri C (DFG)</cp:lastModifiedBy>
  <dcterms:created xsi:type="dcterms:W3CDTF">2005-11-18T18:15:49Z</dcterms:created>
  <dcterms:modified xsi:type="dcterms:W3CDTF">2017-12-05T02:41:37Z</dcterms:modified>
</cp:coreProperties>
</file>